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vedrec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<sst xmlns="http://schemas.openxmlformats.org/spreadsheetml/2006/main" count="34489" uniqueCount="18232">
  <si>
    <t xml:space="preserve">Publication Type</t>
  </si>
  <si>
    <t xml:space="preserve">Authors</t>
  </si>
  <si>
    <t xml:space="preserve">Book Authors</t>
  </si>
  <si>
    <t xml:space="preserve">Book Editors</t>
  </si>
  <si>
    <t xml:space="preserve">Book Group Authors</t>
  </si>
  <si>
    <t xml:space="preserve">Author Full Names</t>
  </si>
  <si>
    <t xml:space="preserve">Book Author Full Names</t>
  </si>
  <si>
    <t xml:space="preserve">Group Authors</t>
  </si>
  <si>
    <t xml:space="preserve">Article Title</t>
  </si>
  <si>
    <t xml:space="preserve">Source Title</t>
  </si>
  <si>
    <t xml:space="preserve">Book Series Title</t>
  </si>
  <si>
    <t xml:space="preserve">Book Series Subtitle</t>
  </si>
  <si>
    <t xml:space="preserve">Language</t>
  </si>
  <si>
    <t xml:space="preserve">Document Type</t>
  </si>
  <si>
    <t xml:space="preserve">Conference Title</t>
  </si>
  <si>
    <t xml:space="preserve">Conference Date</t>
  </si>
  <si>
    <t xml:space="preserve">Conference Location</t>
  </si>
  <si>
    <t xml:space="preserve">Conference Sponsor</t>
  </si>
  <si>
    <t xml:space="preserve">Conference Host</t>
  </si>
  <si>
    <t xml:space="preserve">Author Keywords</t>
  </si>
  <si>
    <t xml:space="preserve">Keywords Plus</t>
  </si>
  <si>
    <t xml:space="preserve">Abstract</t>
  </si>
  <si>
    <t xml:space="preserve">Addresses</t>
  </si>
  <si>
    <t xml:space="preserve">Affiliations</t>
  </si>
  <si>
    <t xml:space="preserve">Reprint Addresses</t>
  </si>
  <si>
    <t xml:space="preserve">Email Addresses</t>
  </si>
  <si>
    <t xml:space="preserve">Researcher Ids</t>
  </si>
  <si>
    <t xml:space="preserve">ORCIDs</t>
  </si>
  <si>
    <t xml:space="preserve">Funding Orgs</t>
  </si>
  <si>
    <t xml:space="preserve">Funding Name Preferred</t>
  </si>
  <si>
    <t xml:space="preserve">Funding Text</t>
  </si>
  <si>
    <t xml:space="preserve">Cited References</t>
  </si>
  <si>
    <t xml:space="preserve">Cited Reference Count</t>
  </si>
  <si>
    <t xml:space="preserve">Times Cited, WoS Core</t>
  </si>
  <si>
    <t xml:space="preserve">Times Cited, All Databases</t>
  </si>
  <si>
    <t xml:space="preserve">180 Day Usage Count</t>
  </si>
  <si>
    <t xml:space="preserve">Since 2013 Usage Count</t>
  </si>
  <si>
    <t xml:space="preserve">Publisher</t>
  </si>
  <si>
    <t xml:space="preserve">Publisher City</t>
  </si>
  <si>
    <t xml:space="preserve">Publisher Address</t>
  </si>
  <si>
    <t xml:space="preserve">ISSN</t>
  </si>
  <si>
    <t xml:space="preserve">eISSN</t>
  </si>
  <si>
    <t xml:space="preserve">ISBN</t>
  </si>
  <si>
    <t xml:space="preserve">Journal Abbreviation</t>
  </si>
  <si>
    <t xml:space="preserve">Journal ISO Abbreviation</t>
  </si>
  <si>
    <t xml:space="preserve">Publication Date</t>
  </si>
  <si>
    <t xml:space="preserve">Publication Year</t>
  </si>
  <si>
    <t xml:space="preserve">Volume</t>
  </si>
  <si>
    <t xml:space="preserve">Issue</t>
  </si>
  <si>
    <t xml:space="preserve">Part Number</t>
  </si>
  <si>
    <t xml:space="preserve">Supplement</t>
  </si>
  <si>
    <t xml:space="preserve">Special Issue</t>
  </si>
  <si>
    <t xml:space="preserve">Meeting Abstract</t>
  </si>
  <si>
    <t xml:space="preserve">Start Page</t>
  </si>
  <si>
    <t xml:space="preserve">End Page</t>
  </si>
  <si>
    <t xml:space="preserve">Article Number</t>
  </si>
  <si>
    <t xml:space="preserve">DOI</t>
  </si>
  <si>
    <t xml:space="preserve">DOI Link</t>
  </si>
  <si>
    <t xml:space="preserve">Book DOI</t>
  </si>
  <si>
    <t xml:space="preserve">Early Access Date</t>
  </si>
  <si>
    <t xml:space="preserve">Number of Pages</t>
  </si>
  <si>
    <t xml:space="preserve">WoS Categories</t>
  </si>
  <si>
    <t xml:space="preserve">Web of Science Index</t>
  </si>
  <si>
    <t xml:space="preserve">Research Areas</t>
  </si>
  <si>
    <t xml:space="preserve">IDS Number</t>
  </si>
  <si>
    <t xml:space="preserve">Pubmed Id</t>
  </si>
  <si>
    <t xml:space="preserve">Open Access Designations</t>
  </si>
  <si>
    <t xml:space="preserve">Highly Cited Status</t>
  </si>
  <si>
    <t xml:space="preserve">Hot Paper Status</t>
  </si>
  <si>
    <t xml:space="preserve">Date of Export</t>
  </si>
  <si>
    <t xml:space="preserve">UT (Unique WOS ID)</t>
  </si>
  <si>
    <t xml:space="preserve">Web of Science Record</t>
  </si>
  <si>
    <t xml:space="preserve">C</t>
  </si>
  <si>
    <t xml:space="preserve">Fu, Y; Hu, Y; Sundstedt, V</t>
  </si>
  <si>
    <t xml:space="preserve">ACM</t>
  </si>
  <si>
    <t xml:space="preserve">Fu, Yu; Hu, Yan; Sundstedt, Veronica</t>
  </si>
  <si>
    <t xml:space="preserve">A Pilot Study of User Preferences of Posture and Display Technologies in Virtual Reality Exercise Games</t>
  </si>
  <si>
    <t xml:space="preserve">PROCEEDINGS OF 2024 8TH INTERNATIONAL CONFERENCE ON VIRTUAL AND AUGMENTED REALITY SIMULATIONS, ICVARS 2024</t>
  </si>
  <si>
    <t xml:space="preserve">English</t>
  </si>
  <si>
    <t xml:space="preserve">Proceedings Paper</t>
  </si>
  <si>
    <t xml:space="preserve">8th International Conference on Virtual and Augmented Reality Simulations (ICVARS)</t>
  </si>
  <si>
    <t xml:space="preserve">MAR 14-16, 2024</t>
  </si>
  <si>
    <t xml:space="preserve">Melbourne, AUSTRALIA</t>
  </si>
  <si>
    <t xml:space="preserve">virtual reality; exercise game; user preference; posture; head-mounted display; large screen</t>
  </si>
  <si>
    <t xml:space="preserve">With the continuous development of extended reality (XR), encompassing augmented reality (AR), virtual reality (VR), and mixed reality (MR), the increasing application of VR, especially combined with game technology in the health area, is trending. Due to this development, academia and industry have rising research and practices focusing on VR exercise game applications and their evaluation. This paper presented a pilot study addressing the comparison of user preferences in using VR exercise games. Eight volunteering participants with VR or rowing experience were involved in the pilot study. Their responses on using different postures (standing or sitting), display devices (VR or a large screen), and game tasks (collect coins vs distance travelled) were explored, as well as feedback suggestions for the study and VR games. The pilot study revealed the opportunities and challenges to enhance the VR exercise games, user experience, and performance. It tested the feasibility and duration of each session and potential improvements that could be made for the main experiment, including the instructions, game environments, process, devices, data gathering, and analysis methods.</t>
  </si>
  <si>
    <t xml:space="preserve">[Fu, Yu; Hu, Yan; Sundstedt, Veronica] Blekinge Inst Technol, Karlskrona, Blekinge, Sweden</t>
  </si>
  <si>
    <t xml:space="preserve">Blekinge Institute Technology</t>
  </si>
  <si>
    <t xml:space="preserve">Fu, Y (corresponding author), Blekinge Inst Technol, Karlskrona, Blekinge, Sweden.</t>
  </si>
  <si>
    <t xml:space="preserve">yu.fu@bth.se; yan.hu@bth.se; veronica.sundstedt@bth.se</t>
  </si>
  <si>
    <t xml:space="preserve">Sundstedt, Veronica/IAP-9305-2023; Hu, Yan/ABO-0679-2022</t>
  </si>
  <si>
    <t xml:space="preserve">Hu, Yan/0000-0002-3283-2819</t>
  </si>
  <si>
    <t xml:space="preserve">Knowledge Foundation, Sweden, through the Human-Centered Intelligent Realities (HINTS) Profile Project [20220068]</t>
  </si>
  <si>
    <t xml:space="preserve">Knowledge Foundation, Sweden, through the Human-Centered Intelligent Realities (HINTS) Profile Project</t>
  </si>
  <si>
    <t xml:space="preserve">This research was funded partly by the Knowledge Foundation, Sweden, through the Human-Centered Intelligent Realities (HINTS) Profile Project (Contract 20220068) (https://a.bth.se/hints/).Ethical approval was obtained by the Swedish Ethical Review Authority (Dnr. 2022-06267-01). We thank all the volunteers who participated in this study.</t>
  </si>
  <si>
    <t xml:space="preserve">ASSOC COMPUTING MACHINERY</t>
  </si>
  <si>
    <t xml:space="preserve">NEW YORK</t>
  </si>
  <si>
    <t xml:space="preserve">1601 Broadway, 10th Floor, NEW YORK, NY, UNITED STATES</t>
  </si>
  <si>
    <t xml:space="preserve">979-8-4007-0901-2</t>
  </si>
  <si>
    <t xml:space="preserve">10.1145/3657547.3657562</t>
  </si>
  <si>
    <t xml:space="preserve">Computer Science, Interdisciplinary Applications; Computer Science, Software Engineering</t>
  </si>
  <si>
    <t xml:space="preserve">Conference Proceedings Citation Index - Science (CPCI-S)</t>
  </si>
  <si>
    <t xml:space="preserve">Computer Science</t>
  </si>
  <si>
    <t xml:space="preserve">BX2KP</t>
  </si>
  <si>
    <t xml:space="preserve">2025-02-19</t>
  </si>
  <si>
    <t xml:space="preserve">WOS:001263811200004</t>
  </si>
  <si>
    <t xml:space="preserve">Palm, BG; Ludwig-Barbosa, V</t>
  </si>
  <si>
    <t xml:space="preserve">IEEE</t>
  </si>
  <si>
    <t xml:space="preserve">Palm, Bruna G.; Ludwig-Barbosa, Vinicius</t>
  </si>
  <si>
    <t xml:space="preserve">Teaching Methods and Students' Motivation in STEM Large Classes: A Survey at BTH</t>
  </si>
  <si>
    <t xml:space="preserve">2024 IEEE GLOBAL ENGINEERING EDUCATION CONFERENCE, EDUCON 2024</t>
  </si>
  <si>
    <t xml:space="preserve">IEEE Global Engineering Education Conference</t>
  </si>
  <si>
    <t xml:space="preserve">15th IEEE Global Engineering Education Conference (IEEE EDUCON)</t>
  </si>
  <si>
    <t xml:space="preserve">MAY 08-11, 2024</t>
  </si>
  <si>
    <t xml:space="preserve">GREECE</t>
  </si>
  <si>
    <t xml:space="preserve">IEEE,Univ Piraeus Res Ctr,Aristotle Univ Thessaloniki,Univ W Attica,MathWorks,IEEE Educ Soc,Comp Log,Aegean Airlines,Avance Car Rental,Binarylogic,IEEE Try Engn</t>
  </si>
  <si>
    <t xml:space="preserve">Student's motivation; large classes; teaching methods; survey; Swedish university</t>
  </si>
  <si>
    <t xml:space="preserve">ENGAGEMENT; ENVIRONMENT; SIZE</t>
  </si>
  <si>
    <t xml:space="preserve">The combination of a large number of students and a diverse student population poses additional pedagogical challenges in higher education courses. The teacher's perception of student engagement becomes more challenging in a large group, and students may experience reduced motivation despite the teacher's efforts and pedagogical approach. This paper discusses the challenges of teaching approaches and students' motivation in large groups. For that, a survey at Blekinge Tekniska H ogskola (BTH) in Sweden was performed to evaluate and discuss learning improvement in science, technology, engineering, and mathematical (STEM) courses attended by Swedish and international students. The survey explores how teachers can encourage student motivation in large classes, and it was based on related works reporting teaching methods and common issues in teaching STEM courses. Based on the survey's result analysis, we can observe that the physical learning environment and teaching style do not play an essential role in the student's motivation. However, the teacher and student interaction influences their motivation. These findings provide insight into the diverse perceptions of students regarding the connections between teaching style, feedback, learning environment, and motivation, for example. The conclusions derived from the survey are expected to serve as guidelines for improving student performance in large STEM groups.</t>
  </si>
  <si>
    <t xml:space="preserve">[Palm, Bruna G.; Ludwig-Barbosa, Vinicius] Blekinge Inst Technol, Dept Math &amp; Nat Sci, Karlskrona, Sweden</t>
  </si>
  <si>
    <t xml:space="preserve">Palm, BG (corresponding author), Blekinge Inst Technol, Dept Math &amp; Nat Sci, Karlskrona, Sweden.</t>
  </si>
  <si>
    <t xml:space="preserve">bruna.palm@bth.se; vinicius.ludwig.barbosa@bth.se</t>
  </si>
  <si>
    <t xml:space="preserve">G. Palm, Bruna/AAZ-4107-2021</t>
  </si>
  <si>
    <t xml:space="preserve">345 E 47TH ST, NEW YORK, NY 10017 USA</t>
  </si>
  <si>
    <t xml:space="preserve">2165-9559</t>
  </si>
  <si>
    <t xml:space="preserve">979-8-3503-9402-3; 979-8-3503-9403-0</t>
  </si>
  <si>
    <t xml:space="preserve">IEEE GLOB ENG EDUC C</t>
  </si>
  <si>
    <t xml:space="preserve">10.1109/EDUCON60312.2024.10578615</t>
  </si>
  <si>
    <t xml:space="preserve">Computer Science, Interdisciplinary Applications; Education, Scientific Disciplines; Engineering, Multidisciplinary</t>
  </si>
  <si>
    <t xml:space="preserve">Computer Science; Education &amp; Educational Research; Engineering</t>
  </si>
  <si>
    <t xml:space="preserve">BX4FQ</t>
  </si>
  <si>
    <t xml:space="preserve">WOS:001289091100058</t>
  </si>
  <si>
    <t xml:space="preserve">Chu, TMC; Zepernick, HJ</t>
  </si>
  <si>
    <t xml:space="preserve">Thi My Chinh Chu; Zepernick, Hans-Jurgen</t>
  </si>
  <si>
    <t xml:space="preserve">Hybrid Orthogonal-Nonorthogonal Multiple Access for CR-Assisted Cooperative UAV Systems</t>
  </si>
  <si>
    <t xml:space="preserve">2024 IEEE TENTH INTERNATIONAL CONFERENCE ON COMMUNICATIONS AND ELECTRONICS, ICCE 2024</t>
  </si>
  <si>
    <t xml:space="preserve">International Conference on Communications and Electronics ICCE</t>
  </si>
  <si>
    <t xml:space="preserve">10th IEEE International Conference on Communications and Electronics (IEEE ICCE)</t>
  </si>
  <si>
    <t xml:space="preserve">JUL 31-AUG 02, 2024</t>
  </si>
  <si>
    <t xml:space="preserve">Danang, VIETNAM</t>
  </si>
  <si>
    <t xml:space="preserve">IEEE,Samsung Vietnam R&amp;D Ctr,Keysight Technologies,Tektronix,VNPT Technol,Vingroup Innovat Fdn,BAI HOC BACH KHOA,BACH KHOA DANANC,BK TP HCM,IEEE Vietnam Sect,APS,IEEE Photon Soc,Korean Inst Commun &amp; Informat Sci,REV,ASIC Technologies,Hoi An Planners,Sch Elect &amp; Elect Engn</t>
  </si>
  <si>
    <t xml:space="preserve">OMA; NOMA; Cognitive Radio; Cooperative Communications; UAV; Outage Probability; Sum Rate</t>
  </si>
  <si>
    <t xml:space="preserve">Non-terrestrial networks based on unmanned aerial vehicles (UAVs) are considered for integration with 6G mobile networks to provide ubiquitous communication through heterogeneous networks. UAVs offer benefits such as flexible deployment, mobility control, and strong line-of-sight links. In this paper, orthogonal multiple access (OMA) and nonorthogonal multiple access (NOMA) are combined to form a hybrid OMA-NOMA cognitive radio (CR) assisted cooperative UAV system. The selection of either the OMA or NOMA mode is carried out such that the best link quality is offered to the user equipments (UEs) compared to the individual modes. In this system, the base station uses the NOMA mode for the transmission to the UAVs which act as decode-and-forward relays each serving a cluster of UEs. The CR paradigm is used for the NOMA mode of the hybrid system to reduce the interference caused by the UAVs to adjacent clusters of UEs. Analytical expressions of the outage probability and sum rate of the OMA, NOMA, and hybrid OMA-NOMA systems are derived. Numerical results are provided to reveal the performance advantages of the proposed hybrid OMA-NOMA CR-assisted cooperative UAV system over Nakagami-m fading. Further, design options and tradeoffs between the OMA, NOMA, and hybrid OMA-NOMA systems are illustrated.</t>
  </si>
  <si>
    <t xml:space="preserve">[Thi My Chinh Chu; Zepernick, Hans-Jurgen] Blekinge Inst Technol, SE-37179 Karlskrona, Sweden</t>
  </si>
  <si>
    <t xml:space="preserve">Chu, TMC (corresponding author), Blekinge Inst Technol, SE-37179 Karlskrona, Sweden.</t>
  </si>
  <si>
    <t xml:space="preserve">cch@bth.se; hjz@bth.se</t>
  </si>
  <si>
    <t xml:space="preserve">Zepernick, Hans-Jürgen/AFJ-2429-2022</t>
  </si>
  <si>
    <t xml:space="preserve">Swedish Governmental Agency for Innovation Systems [2023-01949]; Vinnova [2023-01949] Funding Source: Vinnova; Swedish Research Council [2023-01949] Funding Source: Swedish Research Council</t>
  </si>
  <si>
    <t xml:space="preserve">Swedish Governmental Agency for Innovation Systems(Vinnova); Vinnova(Vinnova); Swedish Research Council(Swedish Research Council)</t>
  </si>
  <si>
    <t xml:space="preserve">This work was funded in part by the Swedish Governmental Agency for Innovation Systems under Grant 2023-01949.</t>
  </si>
  <si>
    <t xml:space="preserve">2836-4384</t>
  </si>
  <si>
    <t xml:space="preserve">979-8-3503-7980-8; 979-8-3503-7979-2</t>
  </si>
  <si>
    <t xml:space="preserve">Int Conf Commun Elec</t>
  </si>
  <si>
    <t xml:space="preserve">10.1109/ICCE62051.2024.10634673</t>
  </si>
  <si>
    <t xml:space="preserve">Engineering, Electrical &amp; Electronic; Telecommunications</t>
  </si>
  <si>
    <t xml:space="preserve">Engineering; Telecommunications</t>
  </si>
  <si>
    <t xml:space="preserve">BX7XJ</t>
  </si>
  <si>
    <t xml:space="preserve">WOS:001327716100010</t>
  </si>
  <si>
    <t xml:space="preserve">Laiq, M</t>
  </si>
  <si>
    <t xml:space="preserve">Laiq, Muhammad</t>
  </si>
  <si>
    <t xml:space="preserve">An Intelligent Tool for Classifying Issue Reports</t>
  </si>
  <si>
    <t xml:space="preserve">2023 IEEE/ACM 2ND INTERNATIONAL WORKSHOP ON NATURAL LANGUAGE-BASED SOFTWARE ENGINEERING, NLBSE</t>
  </si>
  <si>
    <t xml:space="preserve">2nd IEEE/ACM International Workshop on Natural Language-Based Software Engineering (NLBSE)</t>
  </si>
  <si>
    <t xml:space="preserve">MAY 20, 2023</t>
  </si>
  <si>
    <t xml:space="preserve">IEEE,Assoc Comp Machinery,IEEE Comp Soc</t>
  </si>
  <si>
    <t xml:space="preserve">Software Analytics; Software Maintenance; Issue Classification; Bug Reports; Natural Language Processing</t>
  </si>
  <si>
    <t xml:space="preserve">A considerable amount of issue reports are submitted daily in large-scale software development. Manually reviewing and classifying each issue report is challenging and error-prone. Thus, to assist practitioners, in this paper, we propose and evaluate an automatic supervised machine learning-based approach that can automatically predict the newly submitted issue report type (i.e., bug, feature, question, or documentation). We applied the supervised machine learning-based approach to over 1.4 million issue reports data from real open-source projects. We performed our experiments using Stochastic Gradient Descent (SGD)-based classifier and achieved an F1 micro average score of 0.8523.</t>
  </si>
  <si>
    <t xml:space="preserve">[Laiq, Muhammad] Blekinge Inst Technol, Karlskrona, Sweden</t>
  </si>
  <si>
    <t xml:space="preserve">Laiq, M (corresponding author), Blekinge Inst Technol, Karlskrona, Sweden.</t>
  </si>
  <si>
    <t xml:space="preserve">muhammad.laiq@bth.se</t>
  </si>
  <si>
    <t xml:space="preserve">Laiq, Muhammad/0000-0002-5964-5554</t>
  </si>
  <si>
    <t xml:space="preserve">ELLIIT; Swedish government</t>
  </si>
  <si>
    <t xml:space="preserve">This work has been supported by ELLIIT. ELLIIT is a strategic research environment in information technology and mobile communications funded by the Swedish government.</t>
  </si>
  <si>
    <t xml:space="preserve">IEEE COMPUTER SOC</t>
  </si>
  <si>
    <t xml:space="preserve">LOS ALAMITOS</t>
  </si>
  <si>
    <t xml:space="preserve">10662 LOS VAQUEROS CIRCLE, PO BOX 3014, LOS ALAMITOS, CA 90720-1264 USA</t>
  </si>
  <si>
    <t xml:space="preserve">979-8-3503-0178-6</t>
  </si>
  <si>
    <t xml:space="preserve">10.1109/NLBSE59153.2023.00010</t>
  </si>
  <si>
    <t xml:space="preserve">Computer Science, Artificial Intelligence; Computer Science, Software Engineering</t>
  </si>
  <si>
    <t xml:space="preserve">BV4QQ</t>
  </si>
  <si>
    <t xml:space="preserve">Green Published</t>
  </si>
  <si>
    <t xml:space="preserve">WOS:001039169700004</t>
  </si>
  <si>
    <t xml:space="preserve">J</t>
  </si>
  <si>
    <t xml:space="preserve">Vu, VT; Pettersson, MI</t>
  </si>
  <si>
    <t xml:space="preserve">Vu, Viet T.; Pettersson, Mats, I</t>
  </si>
  <si>
    <t xml:space="preserve">Tilt Phenomenon in Bistatic SAR Image</t>
  </si>
  <si>
    <t xml:space="preserve">IEEE GEOSCIENCE AND REMOTE SENSING LETTERS</t>
  </si>
  <si>
    <t xml:space="preserve">Article</t>
  </si>
  <si>
    <t xml:space="preserve">Synthetic aperture radar; Apertures; Transmitters; Receivers; Radar polarimetry; Geometry; Radar; Bistatic; synthetic aperture radar (SAR); skew; tilt; ultrawidebeam (UWB)</t>
  </si>
  <si>
    <t xml:space="preserve">RESOLUTION</t>
  </si>
  <si>
    <t xml:space="preserve">The tilt phenomenon or skew in bistatic synthetic aperture radar (SAR) images has been known. This can be observed from the SAR image of a point-like scatterer, even with a symmetrical bistatic aperture. This letter explains this phenomenon in bistatic SAR images and shows that the phenomenon depends on the initial and the last positions of the transmitter and receiver platforms. A formula to calculate the tilt angle based on a general bistatic geometry is provided. This formula supports bistatic SAR system design and bistatic image quality measurements.</t>
  </si>
  <si>
    <t xml:space="preserve">[Vu, Viet T.; Pettersson, Mats, I] Blekinge Inst Technol, S-37179 Karlskrona, Sweden</t>
  </si>
  <si>
    <t xml:space="preserve">Vu, VT (corresponding author), Blekinge Inst Technol, S-37179 Karlskrona, Sweden.</t>
  </si>
  <si>
    <t xml:space="preserve">viet.thuy.vu@bth.se</t>
  </si>
  <si>
    <t xml:space="preserve">Vu, Viet/JDW-0738-2023; Pettersson, Mats/N-1063-2016</t>
  </si>
  <si>
    <t xml:space="preserve">Pettersson, Mats/0000-0002-6643-312X</t>
  </si>
  <si>
    <t xml:space="preserve">IEEE-INST ELECTRICAL ELECTRONICS ENGINEERS INC</t>
  </si>
  <si>
    <t xml:space="preserve">PISCATAWAY</t>
  </si>
  <si>
    <t xml:space="preserve">445 HOES LANE, PISCATAWAY, NJ 08855-4141 USA</t>
  </si>
  <si>
    <t xml:space="preserve">1545-598X</t>
  </si>
  <si>
    <t xml:space="preserve">1558-0571</t>
  </si>
  <si>
    <t xml:space="preserve">IEEE GEOSCI REMOTE S</t>
  </si>
  <si>
    <t xml:space="preserve">IEEE Geosci. Remote Sens. Lett.</t>
  </si>
  <si>
    <t xml:space="preserve">10.1109/LGRS.2022.3141845</t>
  </si>
  <si>
    <t xml:space="preserve">Geochemistry &amp; Geophysics; Engineering, Electrical &amp; Electronic; Remote Sensing; Imaging Science &amp; Photographic Technology</t>
  </si>
  <si>
    <t xml:space="preserve">Science Citation Index Expanded (SCI-EXPANDED)</t>
  </si>
  <si>
    <t xml:space="preserve">Geochemistry &amp; Geophysics; Engineering; Remote Sensing; Imaging Science &amp; Photographic Technology</t>
  </si>
  <si>
    <t xml:space="preserve">YN7QH</t>
  </si>
  <si>
    <t xml:space="preserve">Green Published, hybrid</t>
  </si>
  <si>
    <t xml:space="preserve">WOS:000747448500006</t>
  </si>
  <si>
    <t xml:space="preserve">Wingqvist, D; Wickström, F; Memeti, S</t>
  </si>
  <si>
    <t xml:space="preserve">Gittens, C; Quevedo, AJU; Chapa, SGM; Taylor, R</t>
  </si>
  <si>
    <t xml:space="preserve">Wingqvist, David; Wickstrom, Filip; Memeti, Suejb</t>
  </si>
  <si>
    <t xml:space="preserve">Evaluating the performance of object-oriented and data-oriented design with multi-threading in game development</t>
  </si>
  <si>
    <t xml:space="preserve">2022 IEEE GAMES, ENTERTAINMENT, MEDIA CONFERENCE (GEM)</t>
  </si>
  <si>
    <t xml:space="preserve">IEEE Games, Entertainment, Media Conference (GEM)</t>
  </si>
  <si>
    <t xml:space="preserve">NOV 27-30, 2022</t>
  </si>
  <si>
    <t xml:space="preserve">St. Michael, BARBADOS</t>
  </si>
  <si>
    <t xml:space="preserve">data-oriented design; object-oriented design; multi-threading; game development</t>
  </si>
  <si>
    <t xml:space="preserve">The frame rate of a game is important for both the end-user and the developer, and for a game to be considered playable, the minimum requirement of 60 FPS should be maintained. With respect to the programming design pattern, the current industry standard is to use Object-Oriented Design (OOD). While the demand for efficient game applications is increasing, applications developed using OOD are struggling to efficiently utilize the available computing resources and consequently meet the minimum frame-rate requirements. A design pattern that may be able to cope with the current and future requirements of resource-intensive game applications is the Data-Oriented Design (DOD), which focuses on the efficient CPU memory utilization. The main difference between OOD and DOD is related to the way data is organized and accessed. While DOD is able to efficiently utilize the cache memory, programming using the data-oriented design is perceived as much more complex compared to programming applications using object-oriented design. In this paper, we will first develop a simple game application using both programming design patterns. Thereafter, we evaluate the performance of both implementations with respect to the overall execution time, CPU and memory utilization. Furthermore, we will develop the corresponding multi-threading versions to explore how the memory is utilized when multiple cores access data from shared cache memory. The results of the empirical evaluation show that the code sections that use DOD perform significantly faster than the corresponding parts implemented using OOD for both single-threaded and multi-threaded applications. The maximum observed speedup of 13.25 times demonstrates that games and applications developed using DOD can utilize the available resources more efficiently.</t>
  </si>
  <si>
    <t xml:space="preserve">[Wingqvist, David; Wickstrom, Filip; Memeti, Suejb] Blekinge Inst Technol BTH, Dept Comp Sci DIDA, Karlskrona, Sweden</t>
  </si>
  <si>
    <t xml:space="preserve">Wingqvist, D (corresponding author), Blekinge Inst Technol BTH, Dept Comp Sci DIDA, Karlskrona, Sweden.</t>
  </si>
  <si>
    <t xml:space="preserve">daag19@student.bth.se; fiail8@student.bth.se; suejb.memeti@bth.se</t>
  </si>
  <si>
    <t xml:space="preserve">Memeti, Suejb/IAQ-7675-2023</t>
  </si>
  <si>
    <t xml:space="preserve">978-1-6654-6138-2</t>
  </si>
  <si>
    <t xml:space="preserve">10.1109/GEM56474.2022.10017610</t>
  </si>
  <si>
    <t xml:space="preserve">Computer Science, Information Systems; Computer Science, Interdisciplinary Applications; Computer Science, Software Engineering</t>
  </si>
  <si>
    <t xml:space="preserve">BU6OU</t>
  </si>
  <si>
    <t xml:space="preserve">Green Submitted</t>
  </si>
  <si>
    <t xml:space="preserve">WOS:000926890300011</t>
  </si>
  <si>
    <t xml:space="preserve">Usman, M; Bin Ali, N; Wohlin, C</t>
  </si>
  <si>
    <t xml:space="preserve">Usman, Muhammad; Bin Ali, Nauman; Wohlin, Claes</t>
  </si>
  <si>
    <t xml:space="preserve">A Quality Assessment Instrument for Systematic Literature Reviews in Software Engineering</t>
  </si>
  <si>
    <t xml:space="preserve">E-INFORMATICA SOFTWARE ENGINEERING JOURNAL</t>
  </si>
  <si>
    <t xml:space="preserve">Systematic reviews; quality assessment; critical appraisal; AMSTAR 2; systematic literature review; tertiary study</t>
  </si>
  <si>
    <t xml:space="preserve">AGILE</t>
  </si>
  <si>
    <t xml:space="preserve">Background: Systematic literature reviews (SLRs) have become a standard practice as part of software engineering (SE) research, although their quality varies. To build on the reviews, both for future research and industry practice, they need to be of high quality.Aim: To assess the quality of SLRs in SE, we put forward an appraisal instrument for SLRs.Method: A well-established appraisal instrument from research in healthcare was used as a starting point to develop the instrument. It is adapted to SE using guidelines, checklists, and experiences from SE. The first version was reviewed by four external experts on SLRs in SE and updated based on their feedback. To demonstrate its use, the updated version was also used by the authors to assess a sample of six selected systematic literature studies.Results: The outcome of the research is an appraisal instrument for quality assessment of SLRs in SE. The instrument includes 15 items with different options to capture the quality. The instrument also supports consolidating the items into groups, which are then used to assess the overall quality of an SLR.Conclusion: The presented instrument may be helpful support for an appraiser in assessing the quality of SLRs in SE.</t>
  </si>
  <si>
    <t xml:space="preserve">[Usman, Muhammad; Bin Ali, Nauman; Wohlin, Claes] Blekinge Inst Technol, Dept Software Engn, Karlskrona, Sweden</t>
  </si>
  <si>
    <t xml:space="preserve">Usman, M (corresponding author), Blekinge Inst Technol, Dept Software Engn, Karlskrona, Sweden.</t>
  </si>
  <si>
    <t xml:space="preserve">muhammad.usman@bth.se; nauman.ali@bth.se; claes.wohlin@bth.se</t>
  </si>
  <si>
    <t xml:space="preserve">Ali, Nauman bin/J-4293-2015</t>
  </si>
  <si>
    <t xml:space="preserve">Ali, Nauman bin/0000-0001-7266-5632</t>
  </si>
  <si>
    <t xml:space="preserve">ELLIIT - Swedish Government; Knowledge Foundation in Sweden [20180127, 20190081]; Knowledge Foundation in Sweden</t>
  </si>
  <si>
    <t xml:space="preserve">ELLIIT - Swedish Government; Knowledge Foundation in Sweden; Knowledge Foundation in Sweden</t>
  </si>
  <si>
    <t xml:space="preserve">We would like to express our sincere thanks to the external experts: Prof. Daniela S. Cruzes, Prof. Barbara Kitchenham, Prof. Stephen G. MacDonell and Prof. Kai Petersen for their constructive feedback on QAISER.We would also like to thank Prof. Juergen Boerstler for his kind participation in the pilot of the study. His detailed feedback helped us to improve the planning and execution of the evaluations with external experts. We also extend our gratitude to Dr. Jefferson S.Molleri for providing the listing of articles from the work with CERSE. Lastly, we are also thankful to the anonymous reviewers for their value feedback, which has helped us to further improve the Manuscript.This work has been supported by ELLIIT, a Strategic Area within IT and Mobile Communications, funded by the Swedish Government. The work has also been supported by research grants for the VITS project (reference number 20180127) and the OSIR project(reference number 20190081) from the Knowledge Foundation in Sweden</t>
  </si>
  <si>
    <t xml:space="preserve">WROCLAW UNIV TECHNOLOGY, FAC COMPUTER SCIENCE &amp; MANAGEMENT</t>
  </si>
  <si>
    <t xml:space="preserve">WROCLAW</t>
  </si>
  <si>
    <t xml:space="preserve">WYBRZEZE WYSPIANSKIEGO 27, WROCLAW, 50-370, POLAND</t>
  </si>
  <si>
    <t xml:space="preserve">1897-7979</t>
  </si>
  <si>
    <t xml:space="preserve">2084-4840</t>
  </si>
  <si>
    <t xml:space="preserve">E-INFORMATICA</t>
  </si>
  <si>
    <t xml:space="preserve">e-Informatica</t>
  </si>
  <si>
    <t xml:space="preserve">10.37190/e-Inf230105</t>
  </si>
  <si>
    <t xml:space="preserve">Computer Science, Software Engineering</t>
  </si>
  <si>
    <t xml:space="preserve">Emerging Sources Citation Index (ESCI)</t>
  </si>
  <si>
    <t xml:space="preserve">9P3TN</t>
  </si>
  <si>
    <t xml:space="preserve">Green Submitted, gold, Green Published</t>
  </si>
  <si>
    <t xml:space="preserve">WOS:000944209900001</t>
  </si>
  <si>
    <t xml:space="preserve">Lännström, D; Öinert, J</t>
  </si>
  <si>
    <t xml:space="preserve">Lannstrom, Daniel; Oinert, Johan</t>
  </si>
  <si>
    <t xml:space="preserve">Graded von Neumann regularity of rings graded by semigroups</t>
  </si>
  <si>
    <t xml:space="preserve">BEITRAGE ZUR ALGEBRA UND GEOMETRIE-CONTRIBUTIONS TO ALGEBRA AND GEOMETRY</t>
  </si>
  <si>
    <t xml:space="preserve">Graded ring; Regular ring; von Neumann regular ring; Semigroup; Groupoid</t>
  </si>
  <si>
    <t xml:space="preserve">In this article, we give a complete characterization of semigroup graded rings which are graded von Neumann regular. We also demonstrate our results by applying them to several classes of examples, including matrix rings and groupoid graded rings.</t>
  </si>
  <si>
    <t xml:space="preserve">[Lannstrom, Daniel; Oinert, Johan] Blekinge Inst Technol, Dept Math &amp; Nat Sci, S-37179 Karlskrona, Sweden</t>
  </si>
  <si>
    <t xml:space="preserve">Öinert, J (corresponding author), Blekinge Inst Technol, Dept Math &amp; Nat Sci, S-37179 Karlskrona, Sweden.</t>
  </si>
  <si>
    <t xml:space="preserve">daniel.lannstrom@bth.se; johan.oinert@bth.se</t>
  </si>
  <si>
    <t xml:space="preserve">Lännström, Daniel/ABD-9907-2020</t>
  </si>
  <si>
    <t xml:space="preserve">Lannstrom, Daniel/0000-0001-8445-3936</t>
  </si>
  <si>
    <t xml:space="preserve">Blekinge Institute of Technology</t>
  </si>
  <si>
    <t xml:space="preserve">Open access funding provided by Blekinge Institute of Technology.</t>
  </si>
  <si>
    <t xml:space="preserve">SPRINGER HEIDELBERG</t>
  </si>
  <si>
    <t xml:space="preserve">HEIDELBERG</t>
  </si>
  <si>
    <t xml:space="preserve">TIERGARTENSTRASSE 17, D-69121 HEIDELBERG, GERMANY</t>
  </si>
  <si>
    <t xml:space="preserve">0138-4821</t>
  </si>
  <si>
    <t xml:space="preserve">2191-0383</t>
  </si>
  <si>
    <t xml:space="preserve">BEITR ALGEBR GEOM</t>
  </si>
  <si>
    <t xml:space="preserve">Beitr. Algebr. Geom.</t>
  </si>
  <si>
    <t xml:space="preserve">MAR</t>
  </si>
  <si>
    <t xml:space="preserve">10.1007/s13366-022-00673-9</t>
  </si>
  <si>
    <t xml:space="preserve">NOV 2022</t>
  </si>
  <si>
    <t xml:space="preserve">Mathematics</t>
  </si>
  <si>
    <t xml:space="preserve">IX8X9</t>
  </si>
  <si>
    <t xml:space="preserve">hybrid</t>
  </si>
  <si>
    <t xml:space="preserve">WOS:000886883200001</t>
  </si>
  <si>
    <t xml:space="preserve">Bertoni, M</t>
  </si>
  <si>
    <t xml:space="preserve">Camarinha-Matos, LM; Ortiz, A; Boucher, X; Osorio, AL</t>
  </si>
  <si>
    <t xml:space="preserve">Bertoni, Marco</t>
  </si>
  <si>
    <t xml:space="preserve">Boosting Value Co-creation in Design Through the Product-Service System Digital Twin: Questions to Be Answered</t>
  </si>
  <si>
    <t xml:space="preserve">COLLABORATIVE NETWORKS IN DIGITALIZATION AND SOCIETY 5.0, PRO-VE 2022</t>
  </si>
  <si>
    <t xml:space="preserve">IFIP Advances in Information and Communication Technology</t>
  </si>
  <si>
    <t xml:space="preserve">23rd IFIP WG 5.5 Working Conference on Virtual Enterprises (PRO-VE)</t>
  </si>
  <si>
    <t xml:space="preserve">SEP 19-21, 2022</t>
  </si>
  <si>
    <t xml:space="preserve">Lisbon, PORTUGAL</t>
  </si>
  <si>
    <t xml:space="preserve">IFIP WG 5.5 COVE Cooperation Infrastructure Virtual Enterprises &amp; Electronic Business,Soc Collaborative Networks,Polytech de Lisboa,ISEL,Politec &amp; ID,Nova Univ,Nova School Sci &amp; Tech,Uninova Cent Tech &amp; Systems,Univ Politechnica de Valencia,Mines-Saint Etienne</t>
  </si>
  <si>
    <t xml:space="preserve">Product-Service Systems; Digital Twins; Servitization; Circularity</t>
  </si>
  <si>
    <t xml:space="preserve">BUSINESS MODELS; SERVITIZATION</t>
  </si>
  <si>
    <t xml:space="preserve">Digital Twins (DTs) are among the most hyped technologies of the 2020 s. Yet, the research dealing with the use of DTs in early Product-Service Systems design remains insufficiently systematized. Based on the findings of multiple-case studies in the Swedish manufacturing industry, the objective of this paper is to collect and present a set of 'questions that need to be answered' to foster the development and utilization of DTs in the PSS realm. The results highlight how the DTs should be composed of several layers to boost value co-creation in design, in a way to incorporate the digital 'counterpart' for more abstract entities, from processes to human behaviors to more intangible assets.</t>
  </si>
  <si>
    <t xml:space="preserve">[Bertoni, Marco] Blekinge Inst Technol, Dept Mech Engn, Karlskrona, Sweden</t>
  </si>
  <si>
    <t xml:space="preserve">Bertoni, M (corresponding author), Blekinge Inst Technol, Dept Mech Engn, Karlskrona, Sweden.</t>
  </si>
  <si>
    <t xml:space="preserve">marco.bertoni@bth.se</t>
  </si>
  <si>
    <t xml:space="preserve">Swedish Knowledge and Competence Development Foundation (Stiftelsen for kunskaps-och kompetensutveckling), Sweden, through the Model Driven Development and Decision Support research profile at Blekinge Institute of Technology, Sweden</t>
  </si>
  <si>
    <t xml:space="preserve">This research has received financial support from the Swedish Knowledge and Competence Development Foundation (Stiftelsen for kunskaps-och kompetensutveckling), Sweden, through the Model Driven Development and Decision Support research profile at Blekinge Institute of Technology, Sweden.</t>
  </si>
  <si>
    <t xml:space="preserve">SPRINGER INTERNATIONAL PUBLISHING AG</t>
  </si>
  <si>
    <t xml:space="preserve">CHAM</t>
  </si>
  <si>
    <t xml:space="preserve">GEWERBESTRASSE 11, CHAM, CH-6330, SWITZERLAND</t>
  </si>
  <si>
    <t xml:space="preserve">1868-4238</t>
  </si>
  <si>
    <t xml:space="preserve">1868-422X</t>
  </si>
  <si>
    <t xml:space="preserve">978-3-031-14846-0; 978-3-031-14844-6; 978-3-031-14843-9</t>
  </si>
  <si>
    <t xml:space="preserve">IFIP ADV INF COMM TE</t>
  </si>
  <si>
    <t xml:space="preserve">10.1007/978-3-031-14844-6_47</t>
  </si>
  <si>
    <t xml:space="preserve">Computer Science, Artificial Intelligence; Computer Science, Information Systems; Computer Science, Interdisciplinary Applications; Telecommunications</t>
  </si>
  <si>
    <t xml:space="preserve">Computer Science; Telecommunications</t>
  </si>
  <si>
    <t xml:space="preserve">BY0PY</t>
  </si>
  <si>
    <t xml:space="preserve">WOS:001359443000047</t>
  </si>
  <si>
    <t xml:space="preserve">Nasir, U; Laiq, M</t>
  </si>
  <si>
    <t xml:space="preserve">Nasir, Usman; Laiq, Muhammad</t>
  </si>
  <si>
    <t xml:space="preserve">Threshold Concepts and Skills in Software Architecture: Instructors' Perspectives</t>
  </si>
  <si>
    <t xml:space="preserve">2022 29TH ASIA-PACIFIC SOFTWARE ENGINEERING CONFERENCE, APSEC</t>
  </si>
  <si>
    <t xml:space="preserve">29th Asia-Pacific Software Engineering Conference (APSEC)</t>
  </si>
  <si>
    <t xml:space="preserve">DEC 06-09, 2022</t>
  </si>
  <si>
    <t xml:space="preserve">ELECTR NETWORK</t>
  </si>
  <si>
    <t xml:space="preserve">Informat Proc Japan, Special Interesting Grp Software Engn</t>
  </si>
  <si>
    <t xml:space="preserve">Software Engineering Education; Teaching Software Architecture; Threshold concepts; Threshold skills</t>
  </si>
  <si>
    <t xml:space="preserve">Context: Software Architecture is an important subject and core course in the Software Engineering degree that teaches multiple co-mingled concepts and skills. The academic community believes that students find the course difficult to grasp and master. However, to revise the course curriculum, identification of threshold concepts and skills can help prioritize topics ensuring alignment with course learning objectives. Objective: The aim of the study was to identify threshold concepts and skills in Software Architecture to help instructors focus on redesigning the curriculum and improving didactics. Method: We applied the Delphi technique to identify threshold concepts and skills from instructors with teaching experience in university-level Software Architecture courses. Results: We identified eleven threshold concepts and nine threshold skills with more than 80% agreement among the participants. Six out of twenty-one threshold concepts and skills achieved 100% agreement from participants indicating high consensus. Furthermore, all participants agreed that applying skills to design Software Architecture is more difficult than understanding the underlying theoretical concepts. Conclusion: The Software Architecture course is demanding, and the industry expects graduating students are prepared to design solutions for complex systems. The identified threshold concepts and skills can help academics to redesign Software Architecture courses, focus on hard to grasp topics, and offer support for skills that are difficult to master. Often theoretical concepts are considered more important than the skills required to apply them in practice. However, instructors agreed that students struggle to apply theoretical concepts in designing solutions. Thus, skills development should be equally emphasized.</t>
  </si>
  <si>
    <t xml:space="preserve">[Nasir, Usman; Laiq, Muhammad] Blekinge Inst Technol, Dept Software Engn, Karlskrona, Sweden</t>
  </si>
  <si>
    <t xml:space="preserve">Nasir, U (corresponding author), Blekinge Inst Technol, Dept Software Engn, Karlskrona, Sweden.</t>
  </si>
  <si>
    <t xml:space="preserve">usman.nasir@bth.se; muhammad.laiq@bth.se</t>
  </si>
  <si>
    <t xml:space="preserve">978-1-6654-5537-4</t>
  </si>
  <si>
    <t xml:space="preserve">10.1109/APSEC57359.2022.00076</t>
  </si>
  <si>
    <t xml:space="preserve">BV0KP</t>
  </si>
  <si>
    <t xml:space="preserve">WOS:000972671800064</t>
  </si>
  <si>
    <t xml:space="preserve">Ivanenko, Y; Vu, VT; Pettersson, MI</t>
  </si>
  <si>
    <t xml:space="preserve">Ivanenko, Yevhen; Vu, Viet T.; Pettersson, Mats, I</t>
  </si>
  <si>
    <t xml:space="preserve">Interpolation Methods for SAR Backprojection at THz Frequencies</t>
  </si>
  <si>
    <t xml:space="preserve">2021 FOURTH INTERNATIONAL WORKSHOP ON MOBILE TERAHERTZ SYSTEMS (IWMTS)</t>
  </si>
  <si>
    <t xml:space="preserve">4th International Workshop on Mobile Terahertz Systems (IWMTS)</t>
  </si>
  <si>
    <t xml:space="preserve">JUL 05-07, 2021</t>
  </si>
  <si>
    <t xml:space="preserve">Essen, GERMANY</t>
  </si>
  <si>
    <t xml:space="preserve">IEEE,IEEE MTT S,Univ Duisburg Essen</t>
  </si>
  <si>
    <t xml:space="preserve">Complex-valued data interpolation; THz SAR; GBP</t>
  </si>
  <si>
    <t xml:space="preserve">The paper proposes the extensions of the available linear and cubic interpolation methods for backprojecting complex SAR data into an image plane. Due to the fact that the phase of complex SAR data is very sensitive to the shift in time, the proposed interpolations include the phase control of the interpolated complex values. The proposed methods are examined with the global backprojection algorithm that is used to process SAR data at THz frequencies. In numerical examples, a two-dimensional indoor THz SAR imaging for a point target is considered, where the developed interpolation methods are compared with the nearest neighbor approach.</t>
  </si>
  <si>
    <t xml:space="preserve">[Ivanenko, Yevhen; Vu, Viet T.; Pettersson, Mats, I] Blekinge Inst Technol, Dept Math &amp; Nat Sci, S-37179 Karlskrona, Sweden</t>
  </si>
  <si>
    <t xml:space="preserve">Ivanenko, Y (corresponding author), Blekinge Inst Technol, Dept Math &amp; Nat Sci, S-37179 Karlskrona, Sweden.</t>
  </si>
  <si>
    <t xml:space="preserve">yevhen.ivanenko@bth.se; viet.thuy.vu@bth.se; mats.pettersson@bth.se</t>
  </si>
  <si>
    <t xml:space="preserve">ELLIIT research environment under the project Multistatic High-resolution Sensing at THz</t>
  </si>
  <si>
    <t xml:space="preserve">This work was supported by ELLIIT research environment under the project Multistatic High-resolution Sensing at THz.</t>
  </si>
  <si>
    <t xml:space="preserve">978-1-7281-8439-5</t>
  </si>
  <si>
    <t xml:space="preserve">10.1109/IWMTS51331.2021.9486824</t>
  </si>
  <si>
    <t xml:space="preserve">Engineering, Electrical &amp; Electronic; Optics; Telecommunications</t>
  </si>
  <si>
    <t xml:space="preserve">Engineering; Optics; Telecommunications</t>
  </si>
  <si>
    <t xml:space="preserve">BS3ND</t>
  </si>
  <si>
    <t xml:space="preserve">WOS:000713452400014</t>
  </si>
  <si>
    <t xml:space="preserve">Josyula, SP; Krasemann, JT; Lundberg, L</t>
  </si>
  <si>
    <t xml:space="preserve">Josyula, Sai Prashanth; Krasemann, Johanna Tornquist; Lundberg, Lars</t>
  </si>
  <si>
    <t xml:space="preserve">An Evaluation Framework and Algorithms for Train Rescheduling</t>
  </si>
  <si>
    <t xml:space="preserve">ALGORITHMS</t>
  </si>
  <si>
    <t xml:space="preserve">algorithm evaluation; decision support systems; parallel algorithms; multi-objective optimization; train rescheduling</t>
  </si>
  <si>
    <t xml:space="preserve">TRAFFIC MANAGEMENT; DECISION-SUPPORT; RAILWAY; OPTIMIZATION</t>
  </si>
  <si>
    <t xml:space="preserve">In railway traffic systems, whenever disturbances occur, it is important to effectively reschedule trains while optimizing the goals of various stakeholders. Algorithms can provide significant benefits to support the traffic controllers in train rescheduling, if well integrated into the overall traffic management process. In the railway research literature, many algorithms are proposed to tackle different versions of the train rescheduling problem. However, limited research has been performed to assess the capabilities and performance of alternative approaches, with the purpose of identifying their main strengths and weaknesses. Evaluation of train rescheduling algorithms enables practitioners and decision support systems to select a suitable algorithm based on the properties of the type of disturbance scenario in focus. It also guides researchers and algorithm designers in improving the algorithms. In this paper, we (1) propose an evaluation framework for train rescheduling algorithms, (2) present two train rescheduling algorithms: a heuristic and a MILP-based exact algorithm, and (3) conduct an experiment to compare the two multi-objective algorithms using the proposed framework (a proof-of-concept). It is found that the heuristic algorithm is suitable for solving simpler disturbance scenarios since it is quick in producing decent solutions. For complex disturbances wherein multiple trains experience a primary delay due to an infrastructure failure, the exact algorithm is found to be more appropriate.</t>
  </si>
  <si>
    <t xml:space="preserve">[Josyula, Sai Prashanth; Krasemann, Johanna Tornquist; Lundberg, Lars] Blekinge Inst Technol, Dept Comp Sci, S-37141 Karlskrona, Sweden</t>
  </si>
  <si>
    <t xml:space="preserve">Josyula, SP (corresponding author), Blekinge Inst Technol, Dept Comp Sci, S-37141 Karlskrona, Sweden.</t>
  </si>
  <si>
    <t xml:space="preserve">sai.prashanth.josyula@bth.se; johanna.tornquist.krasemann@bth.se; lars.lundberg@bth.se</t>
  </si>
  <si>
    <t xml:space="preserve">Josyula, Sai Prashanth/IAR-0364-2023</t>
  </si>
  <si>
    <t xml:space="preserve">Josyula, Sai Prashanth/0000-0001-8377-8536</t>
  </si>
  <si>
    <t xml:space="preserve">Trafikverket via KAJT [826206, TRV 2018/108023]</t>
  </si>
  <si>
    <t xml:space="preserve">Trafikverket via KAJT</t>
  </si>
  <si>
    <t xml:space="preserve">This research was funded by the Shift2Rail project: FR8Rail II (Grant No: 826206), and the research project BLIXTEN (Grant No: TRV 2018/108023) funded by Trafikverket via KAJT.</t>
  </si>
  <si>
    <t xml:space="preserve">MDPI</t>
  </si>
  <si>
    <t xml:space="preserve">BASEL</t>
  </si>
  <si>
    <t xml:space="preserve">ST ALBAN-ANLAGE 66, CH-4052 BASEL, SWITZERLAND</t>
  </si>
  <si>
    <t xml:space="preserve">1999-4893</t>
  </si>
  <si>
    <t xml:space="preserve">Algorithms</t>
  </si>
  <si>
    <t xml:space="preserve">DEC</t>
  </si>
  <si>
    <t xml:space="preserve">10.3390/a13120332</t>
  </si>
  <si>
    <t xml:space="preserve">Computer Science, Artificial Intelligence; Computer Science, Theory &amp; Methods</t>
  </si>
  <si>
    <t xml:space="preserve">PJ6KE</t>
  </si>
  <si>
    <t xml:space="preserve">Green Submitted, gold</t>
  </si>
  <si>
    <t xml:space="preserve">WOS:000601873200001</t>
  </si>
  <si>
    <t xml:space="preserve">Schulte, J; Villamil, C; Hallstedt, SI</t>
  </si>
  <si>
    <t xml:space="preserve">Schulte, Jesko; Villamil, Carolina; Hallstedt, Sophie, I</t>
  </si>
  <si>
    <t xml:space="preserve">Strategic Sustainability Risk Management in Product Development Companies: Key Aspects and Conceptual Approach</t>
  </si>
  <si>
    <t xml:space="preserve">SUSTAINABILITY</t>
  </si>
  <si>
    <t xml:space="preserve">sustainable product development; backcasting; strategic sustainable development; transition design; Environmental Social and Governance (ESG)</t>
  </si>
  <si>
    <t xml:space="preserve">BUSINESS</t>
  </si>
  <si>
    <t xml:space="preserve">Society's transition towards sustainability comes with radical change, which entails significant threats and opportunities for product development and manufacturing companies, for example related to new legislation, shifting customer preferences, and increasing raw material prices. Smart risk management therefore plays a key role for successfully maneuvering society's sustainability transition. However, from a company perspective, it remains challenging to connect the macro-level societal change with tangible risks for the business on the micro level. Based on interviews with academic and industrial experts, this study identified 21 key aspects for sustainability risk management. Drawing on these results and research from the areas of transition design, strategic sustainable development, and sustainability risk management, a conceptual approach for strategic risk management within the sustainability transition is presented. It builds on layered, double-flow scenario modelling in which backcasting from a vision, framed by basic principles for sustainability, is combined with forecasting from the present. The implications of such scenarios, i.e., risks, can then be identified and managed. By doing so on different scales, connections between macro- and micro-level change can be established. Thereby, product development companies shall be supported in making sustainability an intrinsic part of decision-making across the strategic, tactical, and operational levels to increase competitiveness while contributing to the transition towards a sustainable society.</t>
  </si>
  <si>
    <t xml:space="preserve">[Schulte, Jesko; Villamil, Carolina; Hallstedt, Sophie, I] Blekinge Inst Technol, Dept Strateg Sustainable Dev, SE-37179 Karlskrona, Sweden</t>
  </si>
  <si>
    <t xml:space="preserve">Schulte, J (corresponding author), Blekinge Inst Technol, Dept Strateg Sustainable Dev, SE-37179 Karlskrona, Sweden.</t>
  </si>
  <si>
    <t xml:space="preserve">jesko.schulte@bth.se; denny.carolina.villamil.velasquez@bth.se; sophie.hallstedt@bth.se</t>
  </si>
  <si>
    <t xml:space="preserve">Schulte, Jesko/J-5717-2019</t>
  </si>
  <si>
    <t xml:space="preserve">Villamil, Carolina/0000-0003-2015-3349; I. Hallstedt, Sophie/0000-0002-7382-1825; Schulte, Jesko/0000-0003-2563-8273</t>
  </si>
  <si>
    <t xml:space="preserve">Knowledge Foundation in Sweden [20180159]</t>
  </si>
  <si>
    <t xml:space="preserve">Knowledge Foundation in Sweden</t>
  </si>
  <si>
    <t xml:space="preserve">This research and the APC were funded by the Knowledge Foundation in Sweden, grant number 20180159.</t>
  </si>
  <si>
    <t xml:space="preserve">2071-1050</t>
  </si>
  <si>
    <t xml:space="preserve">SUSTAINABILITY-BASEL</t>
  </si>
  <si>
    <t xml:space="preserve">Sustainability</t>
  </si>
  <si>
    <t xml:space="preserve">10.3390/su122410531</t>
  </si>
  <si>
    <t xml:space="preserve">Green &amp; Sustainable Science &amp; Technology; Environmental Sciences; Environmental Studies</t>
  </si>
  <si>
    <t xml:space="preserve">Science Citation Index Expanded (SCI-EXPANDED); Social Science Citation Index (SSCI)</t>
  </si>
  <si>
    <t xml:space="preserve">Science &amp; Technology - Other Topics; Environmental Sciences &amp; Ecology</t>
  </si>
  <si>
    <t xml:space="preserve">PL7HB</t>
  </si>
  <si>
    <t xml:space="preserve">Green Published, gold</t>
  </si>
  <si>
    <t xml:space="preserve">WOS:000603287000001</t>
  </si>
  <si>
    <t xml:space="preserve">Christiansen, L; Lindberg, C; Berglund, JS; Anderberg, P; Skär, L</t>
  </si>
  <si>
    <t xml:space="preserve">Christiansen, Line; Lindberg, Catharina; Berglund, Johan Sanmartin; Anderberg, Peter; Skar, Lisa</t>
  </si>
  <si>
    <t xml:space="preserve">Using Mobile Health and the Impact on Health-Related Quality of Life: Perceptions of Older Adults with Cognitive Impairment</t>
  </si>
  <si>
    <t xml:space="preserve">INTERNATIONAL JOURNAL OF ENVIRONMENTAL RESEARCH AND PUBLIC HEALTH</t>
  </si>
  <si>
    <t xml:space="preserve">aging; cognitive impairment; health-related quality of life; health technology use; phenomenography</t>
  </si>
  <si>
    <t xml:space="preserve">DEMENTIA; PEOPLE; USABILITY; CARE</t>
  </si>
  <si>
    <t xml:space="preserve">Digital health technologies such as mobile health (mHealth) are considered to have the potential to support the needs of older adults with cognitive impairment. However, the evidence for improving health with the use of mHealth applications is of limited quality. Few studies have reported on the consequences of technology use concerning the older adults' quality of life. The purpose of this study was to describe perceptions of mHealth and its impact on health-related quality of life (HRQoL) among older adults with cognitive impairment. The study was conducted using a qualitative design with a phenomenographic approach. A total of 18 older participants with cognitive impairment were interviewed. The interviews were analyzed in order to apply phenomenography in a home-care context. The results showed variations in the older adults' perceptions that were comprised within three categories of description; Require technology literacy, Maintain social interaction, and Facilitate independent living. In conclusion, the development and design of mHealth technologies need to be tailored based on older adults ' needs in order to be understood and perceived as useful in a home-care context. For mHealth to support HRQoL, healthcare should be provided in a way that encourages various forms of communication and interaction.</t>
  </si>
  <si>
    <t xml:space="preserve">[Christiansen, Line; Lindberg, Catharina; Berglund, Johan Sanmartin; Anderberg, Peter; Skar, Lisa] Blekinge Inst Technol, Dept Hlth, SE-37179 Karlskrona, Sweden</t>
  </si>
  <si>
    <t xml:space="preserve">Christiansen, L (corresponding author), Blekinge Inst Technol, Dept Hlth, SE-37179 Karlskrona, Sweden.</t>
  </si>
  <si>
    <t xml:space="preserve">catharina.lindberg@bth.se; line.christiansen@bth.se; johan.sanmartin.berglund@bth.se; peter.anderberg@bth.se; lisa.skar@bth.se</t>
  </si>
  <si>
    <t xml:space="preserve">Sanmartin Berglund, Johan/HGB-0471-2022; Christiansen, Line/AFL-6657-2022; Anderberg, Peter/B-5541-2012</t>
  </si>
  <si>
    <t xml:space="preserve">Berglund, Johan/0000-0003-4312-2246; Anderberg, Peter/0000-0001-9870-8477; Christiansen, Line/0000-0002-5135-0452</t>
  </si>
  <si>
    <t xml:space="preserve">Blekinge Institute of Technology, Sweden; European Commission Horizon 2020 Research and Innovation programme [643399]; H2020 Societal Challenges Programme [643399] Funding Source: H2020 Societal Challenges Programme</t>
  </si>
  <si>
    <t xml:space="preserve">Blekinge Institute of Technology, Sweden; European Commission Horizon 2020 Research and Innovation programme(Horizon 2020); H2020 Societal Challenges Programme(Horizon 2020European Union (EU)H2020 Societal Challenges Programme)</t>
  </si>
  <si>
    <t xml:space="preserve">This research was funded by Blekinge Institute of Technology, Sweden and The Support, Monitoring and Reminder Technology for Mild Dementia (SMART4MD) project which is financially supported by the European Commission Horizon 2020 Research and Innovation programme [Grant Number 643399].</t>
  </si>
  <si>
    <t xml:space="preserve">1660-4601</t>
  </si>
  <si>
    <t xml:space="preserve">INT J ENV RES PUB HE</t>
  </si>
  <si>
    <t xml:space="preserve">Int. J. Environ. Res. Public Health</t>
  </si>
  <si>
    <t xml:space="preserve">APR</t>
  </si>
  <si>
    <t xml:space="preserve">10.3390/ijerph17082650</t>
  </si>
  <si>
    <t xml:space="preserve">Environmental Sciences; Public, Environmental &amp; Occupational Health</t>
  </si>
  <si>
    <t xml:space="preserve">Environmental Sciences &amp; Ecology; Public, Environmental &amp; Occupational Health</t>
  </si>
  <si>
    <t xml:space="preserve">LR5OL</t>
  </si>
  <si>
    <t xml:space="preserve">WOS:000535744100035</t>
  </si>
  <si>
    <t xml:space="preserve">Jedrzejewski, FV</t>
  </si>
  <si>
    <t xml:space="preserve">Assoc Computing Machinery</t>
  </si>
  <si>
    <t xml:space="preserve">Jedrzejewski, Felix Viktor</t>
  </si>
  <si>
    <t xml:space="preserve">Threat Modeling of ML-intensive Systems: Research Proposal</t>
  </si>
  <si>
    <t xml:space="preserve">PROCEEDINGS 2024 IEEE/ACM 3RD INTERNATIONAL CONFERENCE ON AI ENGINEERING-SOFTWARE ENGINEERING FOR AI, CAIN 2024</t>
  </si>
  <si>
    <t xml:space="preserve">IEEE/ACM 3rd International Conference on AI Engineering - Software Engineering for AI (CAIN)</t>
  </si>
  <si>
    <t xml:space="preserve">APR 14-15, 2024</t>
  </si>
  <si>
    <t xml:space="preserve">Adversarial Machine Learning; Threat Modeling; Industry</t>
  </si>
  <si>
    <t xml:space="preserve">Context: The rise of Artificial Intelligence (AI) and Machine Learning (ML) applied in many software-intensive products and services introduces new opportunities but also new security challenges. Motivation: AI and ML will gain even more attention from industry in the future, but threats caused by already discovered attacks specifically targeting ML models are either overseen, ignored, or mishandled. Problem Statement: Current Software Engineering security practices and tools are insufficient to detect and mitigate ML Threats systematically. Contribution: We will develop and evaluate a threat modeling technique for non-security experts assessing ML-intensive systems in close collaboration with industry and academia.</t>
  </si>
  <si>
    <t xml:space="preserve">[Jedrzejewski, Felix Viktor] Blekinge Inst Technol, Karlskrona, Blekinge, Sweden</t>
  </si>
  <si>
    <t xml:space="preserve">Jedrzejewski, FV (corresponding author), Blekinge Inst Technol, Karlskrona, Blekinge, Sweden.</t>
  </si>
  <si>
    <t xml:space="preserve">felix.jedrzejewski@bth.se</t>
  </si>
  <si>
    <t xml:space="preserve">Jedrzejewski, Felix Viktor/0000-0001-7090-2753</t>
  </si>
  <si>
    <t xml:space="preserve">979-8-4007-0591-5</t>
  </si>
  <si>
    <t xml:space="preserve">10.1145/3644815.3644975</t>
  </si>
  <si>
    <t xml:space="preserve">Computer Science, Artificial Intelligence; Computer Science, Software Engineering; Computer Science, Theory &amp; Methods</t>
  </si>
  <si>
    <t xml:space="preserve">BX1TC</t>
  </si>
  <si>
    <t xml:space="preserve">Bronze</t>
  </si>
  <si>
    <t xml:space="preserve">WOS:001251227200037</t>
  </si>
  <si>
    <t xml:space="preserve">Machchhar, RJ; Bertoni, A</t>
  </si>
  <si>
    <t xml:space="preserve">Machchhar, Raj Jiten; Bertoni, Alessandro</t>
  </si>
  <si>
    <t xml:space="preserve">Designing Value-Robust Product-Service Systems by Incorporating Changeability: A Reference Framework</t>
  </si>
  <si>
    <t xml:space="preserve">Product-Service Systems; Uncertainty; Risk; Changeability; Value robustness; Value-driven design</t>
  </si>
  <si>
    <t xml:space="preserve">FLEXIBILITY</t>
  </si>
  <si>
    <t xml:space="preserve">When a Product-Service System (PSS) has a longer lifecycle, it is subjected to several internal and external changes along its path that may deteriorate its value. A PSS capable of delivering value despite the circumstances is called a value robust PSS, and one way of achieving value robustness is by incorporating changeability. A lot of uncertainties prevail in decision-making concerning changeability as change is a phenomenon not clearly understood in PSS design. To bridge this gap, this paper presents a reference framework to support the definition and quantification of changeability in PSS design to enable the delivery of a value robust PSS. The paper is mainly focused mainly on the realization of the concept of changeability in PSS design, crossing the boundary between rich literature in the field of PSS and Systems Engineering.</t>
  </si>
  <si>
    <t xml:space="preserve">[Machchhar, Raj Jiten; Bertoni, Alessandro] Blekinge Inst Technol, Dept Mech Engn, S-37179 Karlskrona, Sweden</t>
  </si>
  <si>
    <t xml:space="preserve">Machchhar, RJ (corresponding author), Blekinge Inst Technol, Dept Mech Engn, S-37179 Karlskrona, Sweden.</t>
  </si>
  <si>
    <t xml:space="preserve">raj.jiten.machchhar@bth.se; alessandro.bertoni@bth.se</t>
  </si>
  <si>
    <t xml:space="preserve">Bertoni, Alessandro/AAG-6876-2020</t>
  </si>
  <si>
    <t xml:space="preserve">Swedish Innovation Agency (VINNOVA); Swedish Research Council for Sustainable Development, (FORMAS); Swedish Energy Agency (Energimyndigheten); Swedish Knowledge &amp; Competence Development Foundation through the MD3S research profile at Blekinge Institute of Technology</t>
  </si>
  <si>
    <t xml:space="preserve">Swedish Innovation Agency (VINNOVA)(Vinnova); Swedish Research Council for Sustainable Development, (FORMAS)(Swedish Research Council Formas); Swedish Energy Agency (Energimyndigheten)(Swedish Energy Agency); Swedish Knowledge &amp; Competence Development Foundation through the MD3S research profile at Blekinge Institute of Technology</t>
  </si>
  <si>
    <t xml:space="preserve">The work was performed in the frame of the Strategic Innovation Program Swedish Mining Innovation, concurrently funded by the Swedish Innovation Agency (VINNOVA), the Swedish Research Council for Sustainable Development, (FORMAS) &amp; the Swedish Energy Agency (Energimyndigheten). The research also received financial support from the Swedish Knowledge &amp; Competence Development Foundation through the MD3S research profile at Blekinge Institute of Technology.</t>
  </si>
  <si>
    <t xml:space="preserve">10.1007/978-3-031-14844-6_50</t>
  </si>
  <si>
    <t xml:space="preserve">WOS:001359443000050</t>
  </si>
  <si>
    <t xml:space="preserve">Thomson, G; Ny, H; Nikulina, V; Borén, S; Ayers, J; Bryant, J</t>
  </si>
  <si>
    <t xml:space="preserve">Thomson, Giles; Ny, Henrik; Nikulina, Varvara; Boren, Sven; Ayers, James; Bryant, Jayne</t>
  </si>
  <si>
    <t xml:space="preserve">'Rapid Scenario Planning' to Support a Regional Sustainability Transformation Vision: A Case Study from Blekinge, Sweden</t>
  </si>
  <si>
    <t xml:space="preserve">strategic sustainable development; scenario planning; transdisciplinary; regional development; sustainability governance; sustainability transformation; urban planning</t>
  </si>
  <si>
    <t xml:space="preserve">TRANSPORT-SYSTEM DEVELOPMENT; STRATEGIC APPROACH; CLIMATE-CHANGE; TRANSITIONS; DESIGN; FRAMEWORK; PLANNERS</t>
  </si>
  <si>
    <t xml:space="preserve">This paper presents a case study of a transdisciplinary scenario planning workshop that was designed to link global challenges to local governance. The workshop was held to improve stakeholder integration and explore scenarios for a regional planning project (to 2050) in Blekinge, Sweden. Scenario planning and transdisciplinary practices are often disregarded by practitioners due to the perception of onerous resource requirements, however, this paper describes a 'rapid scenario planning' process that was designed to be agile and time-efficient, requiring the 43 participants from 13 stakeholder organizations to gather only for one day. The process was designed to create an environment whereby stakeholders could learn from, and with, each other and use their expert knowledge to inform the scenario process. The Framework for Strategic Sustainable Development (FSSD) was used to structure and focus the scenario planning exercise and its subsequent recommendations. The process was evaluated through a workshop participant survey and post-workshop evaluative interview with the regional government project manager to indicate the effectiveness of the approach. The paper closes with a summary of findings which will support those wishing to conduct similar rapid scenario planning exercises to inform policy planning for complex systems.</t>
  </si>
  <si>
    <t xml:space="preserve">[Thomson, Giles; Ny, Henrik; Nikulina, Varvara; Boren, Sven; Ayers, James; Bryant, Jayne] Blekinge Inst Technol BTH, Dept Strateg Sustainable Dev, S-37179 Karlskrona, Sweden</t>
  </si>
  <si>
    <t xml:space="preserve">Thomson, G (corresponding author), Blekinge Inst Technol BTH, Dept Strateg Sustainable Dev, S-37179 Karlskrona, Sweden.</t>
  </si>
  <si>
    <t xml:space="preserve">grt@bth.se; henrik.ny@bth.se; varvara.nikulina@bth.se; sven.boren@bth.se; james.ayers@bth.se; jayne.bryant@bth.se</t>
  </si>
  <si>
    <t xml:space="preserve">; Nikulina, Varvara/E-1495-2017</t>
  </si>
  <si>
    <t xml:space="preserve">Bryant, Jayne/0000-0002-7993-7116; Ny, Henrik/0000-0001-5116-5524; Nikulina, Varvara/0000-0003-0974-3196; Thomson, Giles/0000-0002-9873-3872</t>
  </si>
  <si>
    <t xml:space="preserve">Region Blekinge; BTH faculty fund</t>
  </si>
  <si>
    <t xml:space="preserve">Region Blekinge funded the workshop and part-funded the pre-workshop preparation and post-workshop report with additional time on the project supported through BTH faculty funding.</t>
  </si>
  <si>
    <t xml:space="preserve">SEP</t>
  </si>
  <si>
    <t xml:space="preserve">10.3390/su12176928</t>
  </si>
  <si>
    <t xml:space="preserve">NQ7PP</t>
  </si>
  <si>
    <t xml:space="preserve">WOS:000571061800001</t>
  </si>
  <si>
    <t xml:space="preserve">Wälitalo, L; Robèrt, KH; Broman, G</t>
  </si>
  <si>
    <t xml:space="preserve">Walitalo, Lisa; Robert, Karl-Henrik; Broman, Goran</t>
  </si>
  <si>
    <t xml:space="preserve">An Overarching Model for Cross-Sector Strategic Transitions towards Sustainability in Municipalities and Regions</t>
  </si>
  <si>
    <t xml:space="preserve">strategic sustainable development; cross-sector collaboration; participatory action research; evaluation; municipalities and regions</t>
  </si>
  <si>
    <t xml:space="preserve">FRAMEWORK; BARRIERS</t>
  </si>
  <si>
    <t xml:space="preserve">Municipal and regional governments can play a key role in global society's transition towards sustainability. However, municipal leaders often lack a sufficient overview of sustainability and thereby the capacity to coordinate efforts across sectors. Several municipal planning frameworks are available but vary greatly in terms of definitions, scope, and hands-on advice on processes. To complement and unify approaches, the framework for strategic sustainable development (FSSD) has been developed. It utilizes backcasting from operational boundary conditions for the full scope of social and ecological sustainability. This study aims to evaluate a recently developed model for long-term implementation of FSSD across sectors for more cohesive cooperation towards sustainability. This is done through participatory action research (PAR) in ten Swedish municipalities and regions. The evaluation is done to examine if the implementation model (i) lives up to its purpose to help sectors cooperate effectively by using the FSSD as a shared mental model, (ii) aid the handling of previously identified barriers to strategic sustainable development in municipalities and regions, (iii) may contain barriers of its own for appropriate use and (iv) has room for improvement. We used observations, dialogues, and surveys to capture the strengths, weaknesses, enablers, and barriers of the preliminary implementation model. While the compliance of the model varied, our findings show a general appreciation and identified the needs for the approach. From experiencing barriers for the application of the model, practitioners provided several ideas for additional support, such as assessment and alignment support of on-going work and further developed guiding material. In a second phase of the PAR project, application of the implementation model will continue, and such additional support will be developed and evaluated.</t>
  </si>
  <si>
    <t xml:space="preserve">[Walitalo, Lisa; Robert, Karl-Henrik; Broman, Goran] Blekinge Inst Technol, Dept Strateg Sustainable Dev, S-37179 Karlskrona, Sweden</t>
  </si>
  <si>
    <t xml:space="preserve">Wälitalo, L (corresponding author), Blekinge Inst Technol, Dept Strateg Sustainable Dev, S-37179 Karlskrona, Sweden.</t>
  </si>
  <si>
    <t xml:space="preserve">lisa.walitalo@bth.se; karl-henrik.robert@bth.se; goran.broman@bth.se</t>
  </si>
  <si>
    <t xml:space="preserve">Walitalo, Lisa/0000-0001-9602-4135</t>
  </si>
  <si>
    <t xml:space="preserve">National Association of Swedish Eco-municipalities; municipality of Hudiksvall; municipality of Karlskrona; municipality of Nybro; municipality of Oskarshamn; municipality of Ronneby; municipality of Torsas; municipality of Vastervik; Region Blekinge; Region Jonkoping County; Aland's Provincial Government; Blekinge Institute of Technology</t>
  </si>
  <si>
    <t xml:space="preserve">This research was funded by The National Association of Swedish Eco-municipalities, the municipalities of Hudiksvall, Karlskrona, Nybro, Oskarshamn, Ronneby, Torsas and Vastervik, Region Blekinge, Region Jonkoping County and Aland's Provincial Government. The APC was funded by Blekinge Institute of Technology.</t>
  </si>
  <si>
    <t xml:space="preserve">10.3390/su12177046</t>
  </si>
  <si>
    <t xml:space="preserve">NQ8FM</t>
  </si>
  <si>
    <t xml:space="preserve">WOS:000571103700001</t>
  </si>
  <si>
    <t xml:space="preserve">Lind, E; Gonzalez-Huerta, J; Alégroth, E</t>
  </si>
  <si>
    <t xml:space="preserve">Mendez, D; Winkler, D; Kross, J; Biffl, S; Bergsmann, J</t>
  </si>
  <si>
    <t xml:space="preserve">Lind, Emil; Gonzalez-Huerta, Javier; Alegroth, Emil</t>
  </si>
  <si>
    <t xml:space="preserve">Requirements Quality vs. Process and Stakeholders' Well-Being: A Case of a Nordic Bank</t>
  </si>
  <si>
    <t xml:space="preserve">SOFTWARE QUALITY: HIGHER SOFTWARE QUALITY THROUGH ZERO WASTE DEVELOPMENT, SWQD 2023</t>
  </si>
  <si>
    <t xml:space="preserve">Lecture Notes in Business Information Processing</t>
  </si>
  <si>
    <t xml:space="preserve">15th Software Quality Days Conference (SWQD)</t>
  </si>
  <si>
    <t xml:space="preserve">MAY 23-25, 2023</t>
  </si>
  <si>
    <t xml:space="preserve">Munich, GERMANY</t>
  </si>
  <si>
    <t xml:space="preserve">Requirements Engineering; Requirements Quality; Human Factors; Empirical Study</t>
  </si>
  <si>
    <t xml:space="preserve">Requirements are key artefacts to describe the intended purpose of a software system. The quality of requirements is crucial for deciding what to do next, impacting the development process' effectiveness and efficiency. However, we know very little about the connection between practitioners' perceptions regarding requirements quality and its impact on the process or the feelings of the professionals involved in the development process. Objectives: This study investigates: i) How software development practitioners define requirements quality, ii) how the perceived quality of requirements impact process and stakeholders' well-being, and iii) what are the causes and potential solutions for poor-quality requirements. Method: This study was performed as a descriptive interview study at a sub-organization of a Nordic bank that develops its own web and mobile apps. The data collection comprises interviews with 20 practitioners, including requirements engineers, developers, testers, and newly employed developers, with five interviewees from each group. Results: The results show that different roles have different views on what makes a requirement good quality. Participants highlighted that, in general, they experience negative emotions, more work, and overhead communication when they work with requirements they perceive to be of poor quality. The practitioners also describe positive effects on their performance and positive feelings when they work with requirements that they perceive to be good.</t>
  </si>
  <si>
    <t xml:space="preserve">[Lind, Emil; Gonzalez-Huerta, Javier; Alegroth, Emil] Blekinge Inst Technol, Software Engn Res Lab SERL, S-37179 Karlskrona, Sweden</t>
  </si>
  <si>
    <t xml:space="preserve">Gonzalez-Huerta, J (corresponding author), Blekinge Inst Technol, Software Engn Res Lab SERL, S-37179 Karlskrona, Sweden.</t>
  </si>
  <si>
    <t xml:space="preserve">emil.lind@bth.se; javier.gonzalez.huerta@bth.se; emil.alegroth@bth.se</t>
  </si>
  <si>
    <t xml:space="preserve">Lind, Erik/C-6892-2008</t>
  </si>
  <si>
    <t xml:space="preserve">Alegroth, Emil/0000-0001-7526-3727</t>
  </si>
  <si>
    <t xml:space="preserve">KKS foundation through the SHADE KKS Hog project Blekinge Institute of Technology [20170176]; KKS foundation through KKS SERT Research Profile project Blekinge Institute of Technology [2018010]</t>
  </si>
  <si>
    <t xml:space="preserve">KKS foundation through the SHADE KKS Hog project Blekinge Institute of Technology; KKS foundation through KKS SERT Research Profile project Blekinge Institute of Technology</t>
  </si>
  <si>
    <t xml:space="preserve">This research was supported by the KKS foundation through the SHADE KKS Hog project (Ref: 20170176) and through the KKS SERT Research Profile project (Ref. 2018010) Blekinge Institute of Technology.</t>
  </si>
  <si>
    <t xml:space="preserve">1865-1348</t>
  </si>
  <si>
    <t xml:space="preserve">1865-1356</t>
  </si>
  <si>
    <t xml:space="preserve">978-3-031-31487-2; 978-3-031-31488-9</t>
  </si>
  <si>
    <t xml:space="preserve">LECT NOTES BUS INF P</t>
  </si>
  <si>
    <t xml:space="preserve">10.1007/978-3-031-31488-9_2</t>
  </si>
  <si>
    <t xml:space="preserve">Computer Science, Interdisciplinary Applications; Computer Science, Software Engineering; Computer Science, Theory &amp; Methods</t>
  </si>
  <si>
    <t xml:space="preserve">BX2VA</t>
  </si>
  <si>
    <t xml:space="preserve">WOS:001269092500002</t>
  </si>
  <si>
    <t xml:space="preserve">Zepernick, HJ; Fiedler, M; Chu, TMC; Kelkkanen, V</t>
  </si>
  <si>
    <t xml:space="preserve">Zepernick, Hans-Juergen; Fiedler, Markus; Chu, Thi My Chinh; Kelkkanen, Viktor</t>
  </si>
  <si>
    <t xml:space="preserve">Video Freeze Assessment of TPCAST Wireless Virtual Reality: An Experimental Study</t>
  </si>
  <si>
    <t xml:space="preserve">APPLIED SCIENCES-BASEL</t>
  </si>
  <si>
    <t xml:space="preserve">wireless virtual reality; TPCAST wireless adapter; WirelessHD; head-mounted display; VR video; video freezes; video freeze analysis</t>
  </si>
  <si>
    <t xml:space="preserve">Wireless virtual reality (VR) offers a seamless user experience but has to cope with higher sensitivity to temporal impairments induced on the wireless link. Apart from bandwidth dynamics and latency, video freezes and their lengths are important temporal performance indicators that impact on the quality of experience (QoE) of networked VR applications and services. This paper reports an experimental study that focuses on the VR video frame freeze length characteristics of a wireless VR solution. A comprehensive measurement campaign using a commercial TPCAST wireless VR solution with an HTC Vive head-mounted display was conducted to obtain real VR video traces. The number of detected freezes and freeze intensities are reported both accumulated over four room quadrants as well as for each of the four quadrants subject to six transmitter-receiver distances. The statistical analysis of the VR video traces of the different experiments includes histograms of the freeze lengths and cumulative complementary histograms of the freeze length. The results of this analysis offer insights into the density of the underlying distributions of the measured data, illustrate the impact of the room topology on the freeze characteristics, and suggest the statistical modeling of the freeze characteristics as exponential and geometric distributions. The statistical models of the freeze characteristics may be included in wireless VR simulators supporting the development of physical layer, medium access layer, and higher layer functionalities. They also may serve as network-disturbance models for VR QoE studies, e.g., generating realistic freeze events in wireless VR stimuli.</t>
  </si>
  <si>
    <t xml:space="preserve">[Zepernick, Hans-Juergen; Fiedler, Markus; Chu, Thi My Chinh; Kelkkanen, Viktor] Blekinge Inst Technol, SE-37179 Karlskrona, Sweden</t>
  </si>
  <si>
    <t xml:space="preserve">Zepernick, HJ (corresponding author), Blekinge Inst Technol, SE-37179 Karlskrona, Sweden.</t>
  </si>
  <si>
    <t xml:space="preserve">hans-jurgen.zepernick@bth.se; markus.fiedler@bth.se; thi.my.chinh.chu@bth.se; viktor.kelkkanen@bth.se</t>
  </si>
  <si>
    <t xml:space="preserve">Kelkkanen, Viktor/IAQ-6752-2023; Zepernick, Hans-Jürgen/AFJ-2429-2022</t>
  </si>
  <si>
    <t xml:space="preserve">Fiedler, Markus/0000-0001-8929-4911; KELKKANEN, VIKTOR/0000-0002-0536-7165; Zepernick, Hans-Jurgen/0000-0003-3604-2766</t>
  </si>
  <si>
    <t xml:space="preserve">Knowledge Foundation, Sweden [20170056]</t>
  </si>
  <si>
    <t xml:space="preserve">Knowledge Foundation, Sweden</t>
  </si>
  <si>
    <t xml:space="preserve">FundingThis research was funded in part by The Knowledge Foundation, Sweden, through the ViaTecH project (Contract 20170056).</t>
  </si>
  <si>
    <t xml:space="preserve">2076-3417</t>
  </si>
  <si>
    <t xml:space="preserve">APPL SCI-BASEL</t>
  </si>
  <si>
    <t xml:space="preserve">Appl. Sci.-Basel</t>
  </si>
  <si>
    <t xml:space="preserve">FEB</t>
  </si>
  <si>
    <t xml:space="preserve">10.3390/app12031733</t>
  </si>
  <si>
    <t xml:space="preserve">Chemistry, Multidisciplinary; Engineering, Multidisciplinary; Materials Science, Multidisciplinary; Physics, Applied</t>
  </si>
  <si>
    <t xml:space="preserve">Chemistry; Engineering; Materials Science; Physics</t>
  </si>
  <si>
    <t xml:space="preserve">ZC3GA</t>
  </si>
  <si>
    <t xml:space="preserve">gold, Green Published</t>
  </si>
  <si>
    <t xml:space="preserve">WOS:000757411400001</t>
  </si>
  <si>
    <t xml:space="preserve">Elwardy, M; Zepernick, HJ; Chu, TMC; Hu, Y</t>
  </si>
  <si>
    <t xml:space="preserve">Wysocki, TA; Wysocki, BJ</t>
  </si>
  <si>
    <t xml:space="preserve">Elwardy, Majed; Zepernick, Hans-Jurgen; Chu, Thi My Chinh; Hu, Yan</t>
  </si>
  <si>
    <t xml:space="preserve">On the Opinion Score Consistency in Repeated 360° Video Quality Assessment for Standing and Seated Viewing on Head-Mounted Displays</t>
  </si>
  <si>
    <t xml:space="preserve">2021 15TH INTERNATIONAL CONFERENCE ON SIGNAL PROCESSING AND COMMUNICATION SYSTEMS (ICSPCS)</t>
  </si>
  <si>
    <t xml:space="preserve">15th International Conference on Signal Processing and Communication Systems (ICSPCS)</t>
  </si>
  <si>
    <t xml:space="preserve">DEC 13-15, 2021</t>
  </si>
  <si>
    <t xml:space="preserve">IEEE,IEEE Commun Soc,IEEE Nebraska Sect,Bydgoszcz Univ Sci &amp; Technol, Fac Telecommunicat Comp Sci &amp; Elect Engn</t>
  </si>
  <si>
    <t xml:space="preserve">360 degrees videos; subjective tests; mean opinion score; standing viewing; seated viewing; head-mounted display</t>
  </si>
  <si>
    <t xml:space="preserve">The development of immersive media systems and services relies on subjective tests that provide ground truth on the quality of experience as perceived by humans. In this paper, we investigate the opinion score consistency through a repeated subjective 360 degrees video quality assessment experiment. The test stimuli are presented on a head-mounted display with participants given the task to rate the video quality in three repeated sessions for both standing and seated viewing. The statistical analysis of the data from the subjective tests aims at revealing if participants change their rating behavior over time or keep their opinion scores given to the test stimuli in standing and seated viewing consistent in a statistical sense. The experimental results are reported in terms of histograms of opinion scores, skewness and kurtosis of opinion scores, mean opinion scores, standard deviation of opinion scores (SOS), SOS fitting functions, and analysis of variance tests. The statistical analysis supports the conjecture that each participant has its own but consistent rating behavior throughout the respective sessions for standing and seated viewing. The finding that the quality rating behavior of the individual participant does not fundamentally change over time may, e.g., assist in scheduling subjective tests under pandemic conditions where experimental campaigns may need to be stalled for an unknown period of time.</t>
  </si>
  <si>
    <t xml:space="preserve">[Elwardy, Majed; Zepernick, Hans-Jurgen; Chu, Thi My Chinh; Hu, Yan] Blekinge Inst Technol, SE-37179 Karlskrona, Sweden</t>
  </si>
  <si>
    <t xml:space="preserve">Elwardy, M (corresponding author), Blekinge Inst Technol, SE-37179 Karlskrona, Sweden.</t>
  </si>
  <si>
    <t xml:space="preserve">mew@bth.se; hjz@bth.se; cch@bth.se; yhx@bth.se</t>
  </si>
  <si>
    <t xml:space="preserve">Zepernick, Hans-Jürgen/AFJ-2429-2022; Elwardy, Majed/AFH-8599-2022; Hu, Yan/ABO-0679-2022</t>
  </si>
  <si>
    <t xml:space="preserve">This work has been supported in part by the Knowledge Foundation, Sweden, through the ViaTecH project under contract 20170056. We thank the volunteers for their time participating in this study.</t>
  </si>
  <si>
    <t xml:space="preserve">978-1-6654-3699-1</t>
  </si>
  <si>
    <t xml:space="preserve">10.1109/ICSPCS53099.2021.9660331</t>
  </si>
  <si>
    <t xml:space="preserve">Computer Science, Artificial Intelligence; Computer Science, Software Engineering; Telecommunications</t>
  </si>
  <si>
    <t xml:space="preserve">BT1SY</t>
  </si>
  <si>
    <t xml:space="preserve">WOS:000802223300039</t>
  </si>
  <si>
    <t xml:space="preserve">Rameez, M; Javadi, S; Dahl, M; Pettersson, MI</t>
  </si>
  <si>
    <t xml:space="preserve">Rameez, Muhammad; Javadi, Saleh; Dahl, Mattias; Pettersson, Mats, I</t>
  </si>
  <si>
    <t xml:space="preserve">Signal Reconstruction Using Bi-LSTM for Automotive Radar Interference Mitigation</t>
  </si>
  <si>
    <t xml:space="preserve">2021 18TH EUROPEAN RADAR CONFERENCE (EURAD)</t>
  </si>
  <si>
    <t xml:space="preserve">European Radar Conference EuRAD</t>
  </si>
  <si>
    <t xml:space="preserve">18th European Radar Conference (EuRAD) / European Microwave Week (EuMW)</t>
  </si>
  <si>
    <t xml:space="preserve">APR 02-07, 2022</t>
  </si>
  <si>
    <t xml:space="preserve">London, ENGLAND</t>
  </si>
  <si>
    <t xml:space="preserve">GAAS,EurAAP,IEEE Electron Devices Soc,IEEE APS,European Microwave Assoc,IEEE,IEEE Microwave Theory &amp; Tech Soc</t>
  </si>
  <si>
    <t xml:space="preserve">FMCW radar; Interference suppression; Recurrent neural networks; Signal reconstruction; Radar signal processing</t>
  </si>
  <si>
    <t xml:space="preserve">Automotive radar has emerged as an important sensor for environmental perception in modern vehicles. A rapid increase in the number of radars present in traffic operating at unregulated frequencies has given rise to a mutual interference problem. In order for radar-based systems to function reliably, such interference must be mitigated. In this paper, this problem is addressed with a bidirectional long short-term memory (Bi-LSTM) network as a deep learning approach. Using the Bi-LSTM network, we reconstruct the intermediate frequency (IF) signal and recover samples lost to interference. The proposed signal reconstruction method is evaluated via real measurement data. The proposed Bi-LSTM network provides a better performance than an autoregressive model-based signal reconstruction method.</t>
  </si>
  <si>
    <t xml:space="preserve">[Rameez, Muhammad; Javadi, Saleh; Dahl, Mattias; Pettersson, Mats, I] Blekinge Inst Technol, Karlskrona, Sweden</t>
  </si>
  <si>
    <t xml:space="preserve">Rameez, M (corresponding author), Blekinge Inst Technol, Karlskrona, Sweden.</t>
  </si>
  <si>
    <t xml:space="preserve">muhammad.rameez@bth.se; saleh.javadi@bth.se; mattias.dahl@bth.se; mats.pettersson@bth.se</t>
  </si>
  <si>
    <t xml:space="preserve">Pettersson, Mats/N-1063-2016; Javadi, Saleh/JDW-1296-2023; Rameez, Muhammad/ABC-1347-2020</t>
  </si>
  <si>
    <t xml:space="preserve">978-2-87487-065-1</t>
  </si>
  <si>
    <t xml:space="preserve">EUROP RADAR CONF</t>
  </si>
  <si>
    <t xml:space="preserve">Engineering, Electrical &amp; Electronic; Remote Sensing; Telecommunications</t>
  </si>
  <si>
    <t xml:space="preserve">Engineering; Remote Sensing; Telecommunications</t>
  </si>
  <si>
    <t xml:space="preserve">BT5VY</t>
  </si>
  <si>
    <t xml:space="preserve">WOS:000838709300018</t>
  </si>
  <si>
    <t xml:space="preserve">Piculell, E; Skär, L; Berglund, JS; Anderberg, P; Bohman, D</t>
  </si>
  <si>
    <t xml:space="preserve">Piculell, Erik; Skar, Lisa; Sanmartin Berglund, Johan; Anderberg, Peter; Bohman, Doris</t>
  </si>
  <si>
    <t xml:space="preserve">A concept analysis of health communication in a home environment: Perspectives of older persons and their informal caregivers</t>
  </si>
  <si>
    <t xml:space="preserve">SCANDINAVIAN JOURNAL OF CARING SCIENCES</t>
  </si>
  <si>
    <t xml:space="preserve">health communication; home environment; informal caregivers; older persons; technology</t>
  </si>
  <si>
    <t xml:space="preserve">MILD ALZHEIMERS-DISEASE; FAMILY CAREGIVERS; DEMENTIA; CARE; INTERVENTION; PEOPLE; EDUCATION; ADULTS; LONG; PERCEPTIONS</t>
  </si>
  <si>
    <t xml:space="preserve">Background Health communication (HC) is a vast research field focusing on changing health behaviours, and rapidly evolving technology is creating different ways and possibilities to reach target groups and audiences. In the context of home care, a deeper understanding of HC is lacking, specifically for older persons with care needs and their informal caregivers. The aim of this concept analysis is to identify and construct the meaning of HC from the perspective of older persons in need of care in the home environment and their informal caregivers. Materials and methods This study utilised Rogers' (2000) Evolutionary Concept Analysis Method (EMCA) to create and construct a meaning of the concept of HC. The EMCA was based on a systematic literature review of scientific articles, using CINAHL, Pubmed and Inspec (2000-2017). A total of 29 articles were retrieved and analysed. Results The identified attributes of the concept were as follows: resources of the recipient, influence on decisions and advantages of tailored information. HC was described as both contributing to knowledge as well as being overwhelming where habits and resources influenced the use of information. The attributes led to the following descriptive definition of HC: 'Tailored HC, based on needs and resources of the recipient influence care decisions'. The home environment influenced HC by habits and interactions between older persons and their informal caregivers. Conclusions The home environment influenced HC in terms of social aspects of interactions and habits and between the older person and the informal caregiver. Tailored information with the use of technology contributed to knowledge in care of older persons and their informal caregivers. HC was shown to contribute to improve care for older people in their home environment.</t>
  </si>
  <si>
    <t xml:space="preserve">[Piculell, Erik; Skar, Lisa; Sanmartin Berglund, Johan; Anderberg, Peter; Bohman, Doris] Blekinge Inst Technol, Dept Hlth, Karlskrona, Sweden</t>
  </si>
  <si>
    <t xml:space="preserve">Piculell, E (corresponding author), Blekinge Inst Technol, Dept Hlth, Fac Engn, S-37179 Karlskrona, Sweden.</t>
  </si>
  <si>
    <t xml:space="preserve">erik.piculell@bth.se</t>
  </si>
  <si>
    <t xml:space="preserve">Sanmartin Berglund, Johan/HGB-0471-2022; Anderberg, Peter/B-5541-2012</t>
  </si>
  <si>
    <t xml:space="preserve">Bohman, Doris/0000-0002-5687-7894; Anderberg, Peter/0000-0001-9870-8477; Berglund, Johan/0000-0003-4312-2246; Skar, Lisa/0000-0002-5731-2799</t>
  </si>
  <si>
    <t xml:space="preserve">Blekinge Institute of Technology; SMART4MD project (The European Union, Horizon 2020) [643399]; H2020 Societal Challenges Programme [643399] Funding Source: H2020 Societal Challenges Programme</t>
  </si>
  <si>
    <t xml:space="preserve">Blekinge Institute of Technology; SMART4MD project (The European Union, Horizon 2020); H2020 Societal Challenges Programme(Horizon 2020European Union (EU)H2020 Societal Challenges Programme)</t>
  </si>
  <si>
    <t xml:space="preserve">We would like to thank assistant professor Catharina Lindberg for valuable discussions about the method of concept analysis. The first author was funded by Blekinge Institute of Technology and the SMART4MD project (The European Union, Horizon 2020, grant number 643399).</t>
  </si>
  <si>
    <t xml:space="preserve">WILEY</t>
  </si>
  <si>
    <t xml:space="preserve">HOBOKEN</t>
  </si>
  <si>
    <t xml:space="preserve">111 RIVER ST, HOBOKEN 07030-5774, NJ USA</t>
  </si>
  <si>
    <t xml:space="preserve">0283-9318</t>
  </si>
  <si>
    <t xml:space="preserve">1471-6712</t>
  </si>
  <si>
    <t xml:space="preserve">SCAND J CARING SCI</t>
  </si>
  <si>
    <t xml:space="preserve">Scand. J. Caring Sci.</t>
  </si>
  <si>
    <t xml:space="preserve">10.1111/scs.12928</t>
  </si>
  <si>
    <t xml:space="preserve">NOV 2020</t>
  </si>
  <si>
    <t xml:space="preserve">Nursing</t>
  </si>
  <si>
    <t xml:space="preserve">Social Science Citation Index (SSCI)</t>
  </si>
  <si>
    <t xml:space="preserve">UA8DI</t>
  </si>
  <si>
    <t xml:space="preserve">hybrid, Green Published</t>
  </si>
  <si>
    <t xml:space="preserve">WOS:000585679000001</t>
  </si>
  <si>
    <t xml:space="preserve">Machchhar, RJ; Bertoni, A; Wall, J; Larsson, T</t>
  </si>
  <si>
    <t xml:space="preserve">Machchhar, Raj J.; Bertoni, Alessandro; Wall, Johan; Larsson, Tobias</t>
  </si>
  <si>
    <t xml:space="preserve">Incorporating changeability for value-robust product-service systems: an integrative review</t>
  </si>
  <si>
    <t xml:space="preserve">DESIGN SCIENCE</t>
  </si>
  <si>
    <t xml:space="preserve">Review</t>
  </si>
  <si>
    <t xml:space="preserve">Product-service systems; Systems engineering; Changeability; Uncertainty; Early design phase</t>
  </si>
  <si>
    <t xml:space="preserve">CHANGE PROPAGATION; DESIGN; FRAMEWORK; FLEXIBILITY; COMPLEXITY; OPTIONS; QUANTIFICATION; CUSTOMIZATION; OPTIMIZATION; NETWORK</t>
  </si>
  <si>
    <t xml:space="preserve">The ongoing servitization journey of the manufacturing industries instills a through-life perspective of value, where a combination of products and services is delivered to meet expectations. Often described as a product-service system (PSS), these systems are poised with many complexity aspects, introducing uncertainties during the design phase. Incorporating changeability is one of the known strategies to deal with such uncertainties, where the system changes in the face of uncertainty to sustain value, thereby achieving value robustness. While the theme of dealing with multiple uncertainties has been discussed since the inception of PSS, changeability is still poorly addressed. To bridge this gap, an integrative literature review is performed to outline various complexities aspects and their link to uncertainty from a PSS perspective. Also, the state-of-the-art approach to achieving value robustness is presented via changeability incorporation. Subsequently, a reference framework is proposed to guide decision-makers in changeability incorporation in PSS, especially during the early design stages.</t>
  </si>
  <si>
    <t xml:space="preserve">[Machchhar, Raj J.; Bertoni, Alessandro; Wall, Johan; Larsson, Tobias] Blekinge Inst Technol, Dept Mech Engn, Karlskrona, Sweden</t>
  </si>
  <si>
    <t xml:space="preserve">Machchhar, RJ (corresponding author), Blekinge Inst Technol, Dept Mech Engn, Karlskrona, Sweden.</t>
  </si>
  <si>
    <t xml:space="preserve">raj.jiten.machchhar@bth.se</t>
  </si>
  <si>
    <t xml:space="preserve">Larsson, Tobias/A-6795-2008; Bertoni, Alessandro/AAG-6876-2020</t>
  </si>
  <si>
    <t xml:space="preserve">Bertoni, Alessandro/0000-0001-5114-4811; Larsson, Tobias/0000-0002-9662-4576</t>
  </si>
  <si>
    <t xml:space="preserve">VINNOVA; Swedish Innovation Agency (VINNOVA) through the FFI Fossil-free mobile work machine initiative</t>
  </si>
  <si>
    <t xml:space="preserve">VINNOVA(Vinnova); Swedish Innovation Agency (VINNOVA) through the FFI Fossil-free mobile work machine initiative</t>
  </si>
  <si>
    <t xml:space="preserve">The work was partially performed in the frame of the TRUST-SOS and ASPECT projects funded by the Swedish Innovation Agency (VINNOVA) through the FFI Fossil-free mobile work machine initiative.</t>
  </si>
  <si>
    <t xml:space="preserve">CAMBRIDGE UNIV PRESS</t>
  </si>
  <si>
    <t xml:space="preserve">CAMBRIDGE</t>
  </si>
  <si>
    <t xml:space="preserve">EDINBURGH BLDG, SHAFTESBURY RD, CB2 8RU CAMBRIDGE, ENGLAND</t>
  </si>
  <si>
    <t xml:space="preserve">2053-4701</t>
  </si>
  <si>
    <t xml:space="preserve">DES SCI</t>
  </si>
  <si>
    <t xml:space="preserve">DES. SCI.</t>
  </si>
  <si>
    <t xml:space="preserve">MAR 12</t>
  </si>
  <si>
    <t xml:space="preserve">e8</t>
  </si>
  <si>
    <t xml:space="preserve">10.1017/dsj.2024.5</t>
  </si>
  <si>
    <t xml:space="preserve">Engineering, Manufacturing</t>
  </si>
  <si>
    <t xml:space="preserve">Engineering</t>
  </si>
  <si>
    <t xml:space="preserve">MG0Q0</t>
  </si>
  <si>
    <t xml:space="preserve">gold</t>
  </si>
  <si>
    <t xml:space="preserve">WOS:001192359400001</t>
  </si>
  <si>
    <t xml:space="preserve">Villamil, C</t>
  </si>
  <si>
    <t xml:space="preserve">Villamil, Carolina</t>
  </si>
  <si>
    <t xml:space="preserve">A Gamified Approach to Engage Sustainable User Behavior in Product Service System Solutions</t>
  </si>
  <si>
    <t xml:space="preserve">EUROPEAN JOURNAL OF SUSTAINABLE DEVELOPMENT</t>
  </si>
  <si>
    <t xml:space="preserve">strategic sustainable development; game elements; product development; smart PSS; behavior change</t>
  </si>
  <si>
    <t xml:space="preserve">PRODUCT/SERVICE-SYSTEMS; ENERGY-CONSUMPTION; GAMIFICATION; CHALLENGES; FRAMEWORK</t>
  </si>
  <si>
    <t xml:space="preserve">Product service system solutions encourage to share products, reducing manufacturing processes and increasing the product life. Therefore, this might contribute to offer more sustainable solutions to users, by considering the complete socio-ecological system, the context, the stakeholder relationship, among other aspects. Where the sustainability behavior of consumers and the data provided for new information and technology (ICT) devices are key factors in the development of solutions with a higher sustainability performance. Moreover, game elements and ICT have been used in different fields to engage users. The aim of this research is to investigate if a gamified approach motivates a substantiable behavior change in users of product service system solutions. Based on a literature review, a model is proposed and applied to a product service system case of a shared laundry facility in Sweden. The model was evaluated with experts semi-structured interviews and a survey with users of the shared laundry facility. Concluding that a gamified approach has a potential to motivate behavior change towards sustainability in product service system. In future research, the proposed model will be adapted to be tested in other product service system cases, with the purpose to improve it for its application in industry and education.</t>
  </si>
  <si>
    <t xml:space="preserve">[Villamil, Carolina] Blekinge Inst Technol BTH, Dept Strateg Sustainable Dev, Karlskrona, Sweden</t>
  </si>
  <si>
    <t xml:space="preserve">Villamil, C (corresponding author), Blekinge Inst Technol BTH, Dept Strateg Sustainable Dev, Karlskrona, Sweden.</t>
  </si>
  <si>
    <t xml:space="preserve">Knowledge Foundation; Vinnova in Sweden</t>
  </si>
  <si>
    <t xml:space="preserve">Knowledge Foundation; Vinnova in Sweden(Vinnova)</t>
  </si>
  <si>
    <t xml:space="preserve">The author is thankful for the financial support from the Knowledge Foundation and Vinnova in Sweden. Furthermore, for the supervisor reviews and feedback from expertsand survey participants.</t>
  </si>
  <si>
    <t xml:space="preserve">EUROPEAN CENTER SUSTAINABLE DEVELOPMENT</t>
  </si>
  <si>
    <t xml:space="preserve">ROME</t>
  </si>
  <si>
    <t xml:space="preserve">VIA DEI FIORI 34, ROME, 00172, ITALY</t>
  </si>
  <si>
    <t xml:space="preserve">2239-5938</t>
  </si>
  <si>
    <t xml:space="preserve">2239-6101</t>
  </si>
  <si>
    <t xml:space="preserve">EUR J SUSTAIN DEV</t>
  </si>
  <si>
    <t xml:space="preserve">Eur. J. Sustain. Dev.</t>
  </si>
  <si>
    <t xml:space="preserve">10.14207/ejsd.2023.v12n3p152</t>
  </si>
  <si>
    <t xml:space="preserve">Environmental Sciences</t>
  </si>
  <si>
    <t xml:space="preserve">Environmental Sciences &amp; Ecology</t>
  </si>
  <si>
    <t xml:space="preserve">Z9DL2</t>
  </si>
  <si>
    <t xml:space="preserve">WOS:001115004400016</t>
  </si>
  <si>
    <t xml:space="preserve">Badampudi, D; Usman, M; Chen, XR</t>
  </si>
  <si>
    <t xml:space="preserve">Badampudi, Deepika; Usman, Muhammad; Chen, Xingru</t>
  </si>
  <si>
    <t xml:space="preserve">Large scale reuse of microservices using CI/CD and InnerSource practices - a case study</t>
  </si>
  <si>
    <t xml:space="preserve">EMPIRICAL SOFTWARE ENGINEERING</t>
  </si>
  <si>
    <t xml:space="preserve">SOFTWARE-DEVELOPMENT</t>
  </si>
  <si>
    <t xml:space="preserve">Contemporary practices such as InnerSource (adopting open source practices within an organization), continuous integration and delivery (CI/CD), and the use of microservices promote software reuse. Although the benefits of individual contemporary practices on reuse may be known, the implications of collective contemporary practices, mainly challenges and improvements to mitigate the challenges, are to a large extent unknown. In this study, we investigate the additional effort (cost factors), benefits, challenges, and potential improvements in contemporary reuse at Ericsson. We performed the study in two phases: a) the initial data collection based on a combination of data collection methods (e.g., interviews, discussions, company portals), and b) a follow-up group discussion after a year to understand the status of the challenges and improvements identified in the first phase. Our results indicate that developing reusable assets resulted in upfront cost factors, such as additional effort in ensuring compliance. Furthermore, development with reuse also resulted in cost factors, for example, additional effort in integrating and understanding reusable assets. Ericsson perceived the cost factors as an investment resulting in long-term benefits such as improved quality, productivity, customer experience, and way of working. The main challenge faced by Ericsson was the pressure on the producers of reusable assets. Our study shows how InnerSource can lead to an increase in contributions to reusable assets. Furthermore, Ericsson implemented measures like automating compliance checks that improved the maturity of reusable assets, resulting in an increase in their reuse. In summary, effective use of contemporary practices such as InnerSource and CI/CD, along with the use of microservices, can facilitate large scale reuse.</t>
  </si>
  <si>
    <t xml:space="preserve">[Badampudi, Deepika; Usman, Muhammad; Chen, Xingru] Blekinge Inst Technol, Dept Software Engn, Karlskrona, Sweden</t>
  </si>
  <si>
    <t xml:space="preserve">Badampudi, D (corresponding author), Blekinge Inst Technol, Dept Software Engn, Karlskrona, Sweden.</t>
  </si>
  <si>
    <t xml:space="preserve">deepika.badampudi@bth.se; muhammad.usman@bth.se; xingru.chen@bth.se</t>
  </si>
  <si>
    <t xml:space="preserve">Knowledge Foundation</t>
  </si>
  <si>
    <t xml:space="preserve">We are grateful to the Ericsson practitioners who participated in interviews and group discussions and reviewed the manuscript. We would also like to thank the anonymous reviewers for their valuable feedback, which has helped us improve the manuscript.</t>
  </si>
  <si>
    <t xml:space="preserve">SPRINGER</t>
  </si>
  <si>
    <t xml:space="preserve">DORDRECHT</t>
  </si>
  <si>
    <t xml:space="preserve">VAN GODEWIJCKSTRAAT 30, 3311 GZ DORDRECHT, NETHERLANDS</t>
  </si>
  <si>
    <t xml:space="preserve">1382-3256</t>
  </si>
  <si>
    <t xml:space="preserve">1573-7616</t>
  </si>
  <si>
    <t xml:space="preserve">EMPIR SOFTW ENG</t>
  </si>
  <si>
    <t xml:space="preserve">Empir. Softw. Eng.</t>
  </si>
  <si>
    <t xml:space="preserve">10.1007/s10664-024-10595-w</t>
  </si>
  <si>
    <t xml:space="preserve">P3O7L</t>
  </si>
  <si>
    <t xml:space="preserve">WOS:001377050600003</t>
  </si>
  <si>
    <t xml:space="preserve">Lövstål, E; Sällberg, H; Wrenne, A</t>
  </si>
  <si>
    <t xml:space="preserve">Lovstal, Eva; Sallberg, Henrik; Wrenne, Anders</t>
  </si>
  <si>
    <t xml:space="preserve">Determinants of Electric Road System Adoption by Road Freight Companies</t>
  </si>
  <si>
    <t xml:space="preserve">INTERNATIONAL JOURNAL OF INNOVATION AND TECHNOLOGY MANAGEMENT</t>
  </si>
  <si>
    <t xml:space="preserve">Technology adoption; innovation; TOE framework; electric road; road freight companies</t>
  </si>
  <si>
    <t xml:space="preserve">CLOUD COMPUTING ADOPTION; TECHNOLOGY ADOPTION; INNOVATION ADOPTION; SMES ADOPTION; MODEL; FIT; ORGANIZATION; PREFERENCES; FRAMEWORK; KNOWLEDGE</t>
  </si>
  <si>
    <t xml:space="preserve">This study analyzes the determinants of road freight companies' adoption intention regarding the electric road systems (e-roads) on Swedish motorways. A research model was developed based on the technology adoption literature and Technology-Organization-Environment (TOE) framework. Survey data were gathered from 160 Swedish road freight companies, and structural equation modeling was performed to test the model empirically. The results reveal relative advantage, a technology characteristic, as the main determinant of road freight companies' intention to adopt electric road systems. The study contributes to the TOE framework by reporting on the indirect effects of technological and organizational determinants on organizational intention to adopt technologies.</t>
  </si>
  <si>
    <t xml:space="preserve">[Lovstal, Eva; Sallberg, Henrik; Wrenne, Anders] Blekinge Inst Technol, Dept Ind Econ, Karlskrona, Sweden</t>
  </si>
  <si>
    <t xml:space="preserve">Lövstål, E (corresponding author), Blekinge Inst Technol, Dept Ind Econ, Karlskrona, Sweden.</t>
  </si>
  <si>
    <t xml:space="preserve">eva.lovstal@bth.se</t>
  </si>
  <si>
    <t xml:space="preserve">Sällberg, Henrik/JRY-7301-2023</t>
  </si>
  <si>
    <t xml:space="preserve">Sallberg, Henrik/0000-0002-9787-7620</t>
  </si>
  <si>
    <t xml:space="preserve">European Regional Development Fund</t>
  </si>
  <si>
    <t xml:space="preserve">European Regional Development Fund(European Union (EU))</t>
  </si>
  <si>
    <t xml:space="preserve">This work was supported by the European Regional Development Fund.</t>
  </si>
  <si>
    <t xml:space="preserve">WORLD SCIENTIFIC PUBL CO PTE LTD</t>
  </si>
  <si>
    <t xml:space="preserve">SINGAPORE</t>
  </si>
  <si>
    <t xml:space="preserve">5 TOH TUCK LINK, SINGAPORE 596224, SINGAPORE</t>
  </si>
  <si>
    <t xml:space="preserve">0219-8770</t>
  </si>
  <si>
    <t xml:space="preserve">1793-6950</t>
  </si>
  <si>
    <t xml:space="preserve">INT J INNOV TECHNOL</t>
  </si>
  <si>
    <t xml:space="preserve">Int. J. Innov. Technol. Manag.</t>
  </si>
  <si>
    <t xml:space="preserve">AUG</t>
  </si>
  <si>
    <t xml:space="preserve">10.1142/S0219877023500323</t>
  </si>
  <si>
    <t xml:space="preserve">APR 2023</t>
  </si>
  <si>
    <t xml:space="preserve">Management</t>
  </si>
  <si>
    <t xml:space="preserve">Business &amp; Economics</t>
  </si>
  <si>
    <t xml:space="preserve">N4YC2</t>
  </si>
  <si>
    <t xml:space="preserve">WOS:000975684000001</t>
  </si>
  <si>
    <t xml:space="preserve">Bertoni, A; Machchhar, RJ</t>
  </si>
  <si>
    <t xml:space="preserve">Kim, DY; VonCieminski, G; Romero, D</t>
  </si>
  <si>
    <t xml:space="preserve">Bertoni, Alessandro; Machchhar, Raj Jiten</t>
  </si>
  <si>
    <t xml:space="preserve">A Framework to Address Complexity and Changeability in the Design of Circular Product-Service Systems</t>
  </si>
  <si>
    <t xml:space="preserve">ADVANCES IN PRODUCTION MANAGEMENT SYSTEMS: SMART MANUFACTURING AND LOGISTICS SYSTEMS: TURNING IDEAS INTO ACTION, APMS 2022, PT II</t>
  </si>
  <si>
    <t xml:space="preserve">IFIP WG 5.7 International Conference on Advances in Production Management Systems (APMS) - Smart Manufacturing and Logistics Systems - Turning Ideas into Action</t>
  </si>
  <si>
    <t xml:space="preserve">SEP 25-29, 2022</t>
  </si>
  <si>
    <t xml:space="preserve">Gyeongju, SOUTH KOREA</t>
  </si>
  <si>
    <t xml:space="preserve">IFIP WG 5 7,Pohang Iron,Steel Co,POSTECH,Seoul Natl Univ, Inst Ind Syst Innovat</t>
  </si>
  <si>
    <t xml:space="preserve">Changeability; Product-service systems; Complexity; Circularity</t>
  </si>
  <si>
    <t xml:space="preserve">FLEXIBILITY; SHIP</t>
  </si>
  <si>
    <t xml:space="preserve">The design of a circular PSS solution goes beyond the traditional perspective of circular product design encompassing multiple complexity dimensions that need to be considered and addressed in the early stages of design. The paper provides a literature-based outlook on the levels of complexity to be faced when making decisions in early PSS design by positioning the concept of changeability inherited from the systems engineering literature into the context of the design of circular PSS. The paper ultimately stresses the need to consider the changeability of PSS as a relevant dimension in the assessment of its circularity potential. It does so by proposing a framework for the design of circular PSS solutions, summarizing the main design strategies and approaches currently described in the literature to mitigate the uncertainties generated by PSS complexity.</t>
  </si>
  <si>
    <t xml:space="preserve">[Bertoni, Alessandro; Machchhar, Raj Jiten] Blekinge Inst Technol, Dept Mech Engn, S-37179 Karlskrona, Sweden</t>
  </si>
  <si>
    <t xml:space="preserve">Bertoni, A (corresponding author), Blekinge Inst Technol, Dept Mech Engn, S-37179 Karlskrona, Sweden.</t>
  </si>
  <si>
    <t xml:space="preserve">alessandro.bertoni@bth.se</t>
  </si>
  <si>
    <t xml:space="preserve">Machchhar, Raj Jiten/0000-0001-7581-439X; Bertoni, Alessandro/0000-0001-5114-4811</t>
  </si>
  <si>
    <t xml:space="preserve">978-3-031-16411-8; 978-3-031-16410-1</t>
  </si>
  <si>
    <t xml:space="preserve">10.1007/978-3-031-16411-8_3</t>
  </si>
  <si>
    <t xml:space="preserve">Green &amp; Sustainable Science &amp; Technology; Engineering, Industrial; Engineering, Manufacturing</t>
  </si>
  <si>
    <t xml:space="preserve">Science &amp; Technology - Other Topics; Engineering</t>
  </si>
  <si>
    <t xml:space="preserve">BU0IN</t>
  </si>
  <si>
    <t xml:space="preserve">WOS:000869729400003</t>
  </si>
  <si>
    <t xml:space="preserve">Minhas, TN; Fiedler, M</t>
  </si>
  <si>
    <t xml:space="preserve">Minhas, Tahir Nawaz; Fiedler, Markus</t>
  </si>
  <si>
    <t xml:space="preserve">Mitigation of the Effects of Network Outage on Video QoE Using a Sender Buffer</t>
  </si>
  <si>
    <t xml:space="preserve">ELECTRONICS</t>
  </si>
  <si>
    <t xml:space="preserve">quality of experience; network outage; video streaming; sender buffer; user experiments</t>
  </si>
  <si>
    <t xml:space="preserve">MANAGEMENT</t>
  </si>
  <si>
    <t xml:space="preserve">With the growth of multimedia applications and the mobile Internet, quality sense and quality expectation of the end-user are rising rapidly. A small notable distortion in the multimedia applications may degrade the degree of delight of the user, who is very considerate of the video Quality of Experience (QoE). During live streaming, a network outage may result in video freezes and video jumps. To dampen the impact of a network outage on the video QoE, we propose the use of a well-sized sender buffer. We present the concept, derive key analytical relations, and perform a set of subjective tests. Based on those, we report a significant enhancement of user ratings due to the proposed sender buffer in the presence of network outages.</t>
  </si>
  <si>
    <t xml:space="preserve">[Minhas, Tahir Nawaz; Fiedler, Markus] Blekinge Inst Technol, Dept Technol &amp; Aesthet, SE-37424 Karlshamn, Sweden</t>
  </si>
  <si>
    <t xml:space="preserve">Minhas, TN (corresponding author), Blekinge Inst Technol, Dept Technol &amp; Aesthet, SE-37424 Karlshamn, Sweden.</t>
  </si>
  <si>
    <t xml:space="preserve">tahir.nawaz.minhas@bth.se; markus.fiedler@bth.se</t>
  </si>
  <si>
    <t xml:space="preserve">Minhas, Tahir Nawaz/0000-0002-0654-088X; Fiedler, Markus/0000-0001-8929-4911</t>
  </si>
  <si>
    <t xml:space="preserve">2079-9292</t>
  </si>
  <si>
    <t xml:space="preserve">ELECTRONICS-SWITZ</t>
  </si>
  <si>
    <t xml:space="preserve">Electronics</t>
  </si>
  <si>
    <t xml:space="preserve">MAY</t>
  </si>
  <si>
    <t xml:space="preserve">10.3390/electronics10101209</t>
  </si>
  <si>
    <t xml:space="preserve">Computer Science, Information Systems; Engineering, Electrical &amp; Electronic; Physics, Applied</t>
  </si>
  <si>
    <t xml:space="preserve">Computer Science; Engineering; Physics</t>
  </si>
  <si>
    <t xml:space="preserve">SI5YD</t>
  </si>
  <si>
    <t xml:space="preserve">WOS:000654901400001</t>
  </si>
  <si>
    <t xml:space="preserve">Abarkan, A</t>
  </si>
  <si>
    <t xml:space="preserve">Abarkan, Abdellah</t>
  </si>
  <si>
    <t xml:space="preserve">Urbanism - fundamentals and prospects</t>
  </si>
  <si>
    <t xml:space="preserve">URBAN MORPHOLOGY</t>
  </si>
  <si>
    <t xml:space="preserve">Book Review</t>
  </si>
  <si>
    <t xml:space="preserve">[Abarkan, Abdellah] Blekinge Inst Technol, Dept Spatial Planning, Karlskrona, Sweden</t>
  </si>
  <si>
    <t xml:space="preserve">Abarkan, A (corresponding author), Blekinge Inst Technol, Dept Spatial Planning, Karlskrona, Sweden.</t>
  </si>
  <si>
    <t xml:space="preserve">abdellah.abarkan@bth.se</t>
  </si>
  <si>
    <t xml:space="preserve">INT SEMINAR URBAN FORM</t>
  </si>
  <si>
    <t xml:space="preserve">CHICAGO</t>
  </si>
  <si>
    <t xml:space="preserve">UNIV CHICAGO, COMMITTEE GEOGRAPHICAL STUDIES, 5828 S UNIVERSITY AVE, 60637-1583 CHICAGO, IL USA</t>
  </si>
  <si>
    <t xml:space="preserve">1027-4278</t>
  </si>
  <si>
    <t xml:space="preserve">URBAN MORPHOL</t>
  </si>
  <si>
    <t xml:space="preserve">Urb. Morphol.</t>
  </si>
  <si>
    <t xml:space="preserve">Architecture</t>
  </si>
  <si>
    <t xml:space="preserve">Arts &amp; Humanities Citation Index (A&amp;HCI)</t>
  </si>
  <si>
    <t xml:space="preserve">WG0ZL</t>
  </si>
  <si>
    <t xml:space="preserve">WOS:000706728200015</t>
  </si>
  <si>
    <t xml:space="preserve">Tran, DN; Zepernick, HJ; Chu, TMC</t>
  </si>
  <si>
    <t xml:space="preserve">Dang Ninh Tran; Zepernick, Hans-Jurgen; Thi My Chinh Chu</t>
  </si>
  <si>
    <t xml:space="preserve">Viewing Direction Weighted Bit Plane LSB Data Hiding in 360° Videos</t>
  </si>
  <si>
    <t xml:space="preserve">LSB data hiding; 360 degrees videos; viewing direction; bit plane; capacity; non-content-based perceptual SSIM</t>
  </si>
  <si>
    <t xml:space="preserve">IMAGE STEGANOGRAPHY; EDGE-DETECTION</t>
  </si>
  <si>
    <t xml:space="preserve">In this paper, we propose a viewing direction weighted bit plane least significant bit (LSB) data hiding method for 360 degrees videos. Normalized Gaussian mixture models (GMMs) of the distributions of the relative viewing direction frequency for latitude, longitude, and both latitude and longitude are used to describe the human viewing behavior of 360 degrees videos on head-mounted displays (HMDs). Apart from formulating data hiding weight functions to control the amount of secret data to be hidden at given latitudes and longitudes, the GMMs are used in this work also to define viewing direction weighted bit plane functions. These viewing direction weighted bit plane functions specify the number of bit planes to be used for data hiding depending on the latitude and longitude. As humans pay more attention to the central front view of 360 degrees videos when watched on HMDs, the number of engaged bit planes is decreased accordingly from the poles to the equator, and from the west and the east to the front view. A performance assessment of the proposed viewing direction weighted bit plane LSB data hiding method is conducted, showing the trade-offs between capacity and objective perceptual video quality. The results indicate that it is preferable to first utilize a given bit plane for data hiding in an entire 360 degrees video frame before engaging the next higher bit plane subject to the viewing direction weighted bit plane functions.</t>
  </si>
  <si>
    <t xml:space="preserve">[Dang Ninh Tran; Zepernick, Hans-Jurgen; Thi My Chinh Chu] Blekinge Inst Technol, SE-37179 Karlskrona, Sweden</t>
  </si>
  <si>
    <t xml:space="preserve">Tran, DN (corresponding author), Blekinge Inst Technol, SE-37179 Karlskrona, Sweden.</t>
  </si>
  <si>
    <t xml:space="preserve">dnt@bth.se; hjz@bth.se; cch@bth.se</t>
  </si>
  <si>
    <t xml:space="preserve">Knowledge Foundation, Sweden [20170056]; Vietnamese Government</t>
  </si>
  <si>
    <t xml:space="preserve">Knowledge Foundation, Sweden; Vietnamese Government</t>
  </si>
  <si>
    <t xml:space="preserve">This work has been supported in part by The Knowledge Foundation, Sweden, through the ViaTecH project (Contract 20170056). Dang Ninh Tran has been supported by a VIED scholarship awarded by the Vietnamese Government.</t>
  </si>
  <si>
    <t xml:space="preserve">10.1109/ICSPCS53099.2021.9660281</t>
  </si>
  <si>
    <t xml:space="preserve">WOS:000802223300023</t>
  </si>
  <si>
    <t xml:space="preserve">Goswami, P</t>
  </si>
  <si>
    <t xml:space="preserve">Goswami, Prashant</t>
  </si>
  <si>
    <t xml:space="preserve">A survey of modeling, rendering and animation of clouds in computer graphics</t>
  </si>
  <si>
    <t xml:space="preserve">VISUAL COMPUTER</t>
  </si>
  <si>
    <t xml:space="preserve">Clouds; Modeling; Rendering; Animation</t>
  </si>
  <si>
    <t xml:space="preserve">3-DIMENSIONAL NUMERICAL-MODEL; SIMULATION</t>
  </si>
  <si>
    <t xml:space="preserve">Clouds play an important role in enhancing the realism of outdoor scenes in computer graphics (CG). Realistic cloud generation is a challenging task, which entails processes such as modeling, photorealistic rendering and simulation of the clouds. To these ends, several techniques have been proposed within the CG community in the last 4 decades with one or more of the above stated focuses. The growth of modern hardware has also enabled development of techniques that can achieve cloud display and animation at interactive frame rates. In this survey, we review the prominent work in the domain and also summarize the evolution of the research over the time.</t>
  </si>
  <si>
    <t xml:space="preserve">[Goswami, Prashant] BTH Karlskrona, Karlskrona, Sweden</t>
  </si>
  <si>
    <t xml:space="preserve">Goswami, P (corresponding author), BTH Karlskrona, Karlskrona, Sweden.</t>
  </si>
  <si>
    <t xml:space="preserve">prashant.goswami@bth.se</t>
  </si>
  <si>
    <t xml:space="preserve">Goswami, Prashant/0000-0002-6920-9983</t>
  </si>
  <si>
    <t xml:space="preserve">ONE NEW YORK PLAZA, SUITE 4600, NEW YORK, NY, UNITED STATES</t>
  </si>
  <si>
    <t xml:space="preserve">0178-2789</t>
  </si>
  <si>
    <t xml:space="preserve">1432-2315</t>
  </si>
  <si>
    <t xml:space="preserve">VISUAL COMPUT</t>
  </si>
  <si>
    <t xml:space="preserve">Visual Comput.</t>
  </si>
  <si>
    <t xml:space="preserve">JUL</t>
  </si>
  <si>
    <t xml:space="preserve">10.1007/s00371-020-01953-y</t>
  </si>
  <si>
    <t xml:space="preserve">AUG 2020</t>
  </si>
  <si>
    <t xml:space="preserve">SZ5DG</t>
  </si>
  <si>
    <t xml:space="preserve">WOS:000559670300001</t>
  </si>
  <si>
    <t xml:space="preserve">Badampudi, D; Unterkalmsteiner, M; Britto, R</t>
  </si>
  <si>
    <t xml:space="preserve">Badampudi, Deepika; Unterkalmsteiner, Michael; Britto, Ricardo</t>
  </si>
  <si>
    <t xml:space="preserve">Modern Code Reviews-Survey of Literature and Practice</t>
  </si>
  <si>
    <t xml:space="preserve">ACM TRANSACTIONS ON SOFTWARE ENGINEERING AND METHODOLOGY</t>
  </si>
  <si>
    <t xml:space="preserve">Modern code review; literature survey; practitioner survey</t>
  </si>
  <si>
    <t xml:space="preserve">PULL-REQUESTS; RECOMMENDATION; IMPACT; TOOL; INSPECTIONS; CHALLENGES; INSIGHTS; DESIGN</t>
  </si>
  <si>
    <t xml:space="preserve">Background: Modern Code Review (MCR) is a lightweight alternative to traditional code inspections. While secondary studies on MCR exist, it is uanknown whether the research community has targeted themes that practitioners consider important. Objectives: The objectives are to provide an overview of MCR research, analyze the practitioners' opinions on the importance of MCR research, investigate the alignment between research and practice, and propose future MCR research avenues. Method: We conducted a systematic mapping study to survey state of the art until and including 2021, employed the Q-Methodology to analyze the practitioners' perception of the relevance of MCR research, and analyzed the primary studies' research impact. Results: We analyzed 244 primary studies, resulting in five themes. As a result of the 1,300 survey data points, we found that the respondents are positive about research investigating the impact of MCR on product quality and MCR process properties. In contrast, they are negative about human factor- and support systems-related research. Conclusion: These results indicate a misalignment between the state of the art and the themes deemed important by most survey respondents. Researchers should focus on solutions that can improve the state of MCR practice. We provide an MCR research agenda that can potentially increase the impact of MCR research.</t>
  </si>
  <si>
    <t xml:space="preserve">[Badampudi, Deepika; Unterkalmsteiner, Michael; Britto, Ricardo] Blekinge Inst Technol, Software Engn Res &amp; Educ Lab Sweden, Valahallavagen 1, S-37141 Karlskrona, Sweden</t>
  </si>
  <si>
    <t xml:space="preserve">Badampudi, D (corresponding author), Blekinge Inst Technol, Software Engn Res &amp; Educ Lab Sweden, Valahallavagen 1, S-37141 Karlskrona, Sweden.</t>
  </si>
  <si>
    <t xml:space="preserve">deepika.badampudi@bth.se; michael.unterkalmsteiner@bth.se; ricardo.britto@bth.se</t>
  </si>
  <si>
    <t xml:space="preserve">Unterkalmsteiner, Michael/0000-0003-4118-0952; Britto, Ricardo/0000-0002-7220-9570</t>
  </si>
  <si>
    <t xml:space="preserve">Knowledge Foundation [20190081]</t>
  </si>
  <si>
    <t xml:space="preserve">We acknowledge that this work was supported by the Knowledge Foundation through the projects SERT - Software Engineering ReThought and OSIR Open-source inspired reuse (reference number 20190081) at Blekinge Institute of Technology, Sweden.</t>
  </si>
  <si>
    <t xml:space="preserve">1601 Broadway, 10th Floor, NEW YORK, NY USA</t>
  </si>
  <si>
    <t xml:space="preserve">1049-331X</t>
  </si>
  <si>
    <t xml:space="preserve">1557-7392</t>
  </si>
  <si>
    <t xml:space="preserve">ACM T SOFTW ENG METH</t>
  </si>
  <si>
    <t xml:space="preserve">ACM Trans. Softw. Eng. Methodol.</t>
  </si>
  <si>
    <t xml:space="preserve">10.1145/3585004</t>
  </si>
  <si>
    <t xml:space="preserve">L0SO0</t>
  </si>
  <si>
    <t xml:space="preserve">Green Submitted, Green Published</t>
  </si>
  <si>
    <t xml:space="preserve">WOS:001020441100026</t>
  </si>
  <si>
    <t xml:space="preserve">Behrens, A; Berglund, JS; Anderberg, P</t>
  </si>
  <si>
    <t xml:space="preserve">Behrens, Anders; Berglund, Johan Sanmartin; Anderberg, Peter</t>
  </si>
  <si>
    <t xml:space="preserve">CoGNIT Automated Tablet Computer Cognitive Testing in Patients With Mild Cognitive Impairment: Feasibility Study</t>
  </si>
  <si>
    <t xml:space="preserve">JMIR FORMATIVE RESEARCH</t>
  </si>
  <si>
    <t xml:space="preserve">internet; cognitive testing; software; testing; impairment; cognition; feasibility; diagnosis; app; assessment; cognitive impairment</t>
  </si>
  <si>
    <t xml:space="preserve">OLDER-ADULTS</t>
  </si>
  <si>
    <t xml:space="preserve">Background: Early diagnosis of cognitive disorders is becoming increasingly important. Limited resources for specialist assessment and an increasing demographical challenge warrants the need for efficient methods of evaluation. In response, CoGNIT, a tablet app for automatic, standardized, and efficient assessment of cognitive function, was developed. Included tests span the cognitive domains regarded as important for assessment in a general memory clinic (memory, language, psychomotor speed, executive function, attention, visuospatial ability, manual dexterity, and symptoms of depression). Objective: The aim of this study was to assess the feasibility of automatic cognitive testing with CoGNIT in older patients with symptoms of mild cognitive impairment (MCI). Methods: Patients older than 55 years with symptoms of MCI (n=36) were recruited at the research clinic at the Blekinge Institute of Technology (BTH), Karlskrona, Sweden. A research nurse administered the Mini-Mental State Exam (MMSE) and the CoGNIT app on a tablet computer. Technical and testing issues were documented. Results: The test battery was completed by all 36 patients. One test, the four-finger-tapping test, was performed incorrectly by 42% of the patients. Issues regarding clarity of instructions were found in 2 tests (block design test and the one finger-tapping test). Minor software bugs were identified. Conclusions: The overall feasibility of automatic cognitive testing with the CoGNIT app in patients with symptoms of MCI was good. The study highlighted tests that did not function optimally. The four-finger-tapping test will be discarded, and minor improvements to the software will be added before further studies and deployment in the clinic.</t>
  </si>
  <si>
    <t xml:space="preserve">[Behrens, Anders; Berglund, Johan Sanmartin; Anderberg, Peter] Blekinge Inst Technol, Dept Hlth, Valhallavagen 1, S-37141 Karlskrona, Sweden</t>
  </si>
  <si>
    <t xml:space="preserve">Anderberg, P (corresponding author), Blekinge Inst Technol, Dept Hlth, Valhallavagen 1, S-37141 Karlskrona, Sweden.</t>
  </si>
  <si>
    <t xml:space="preserve">pan@bth.se</t>
  </si>
  <si>
    <t xml:space="preserve">Berglund, Johan/0000-0003-4312-2246; Anderberg, Peter/0000-0001-9870-8477; Behrens, Anders/0000-0002-9099-0348</t>
  </si>
  <si>
    <t xml:space="preserve">JMIR PUBLICATIONS, INC</t>
  </si>
  <si>
    <t xml:space="preserve">TORONTO</t>
  </si>
  <si>
    <t xml:space="preserve">130 QUEENS QUAY East, Unit 1100, TORONTO, ON M5A 0P6, CANADA</t>
  </si>
  <si>
    <t xml:space="preserve">2561-326X</t>
  </si>
  <si>
    <t xml:space="preserve">JMIR FORM RES</t>
  </si>
  <si>
    <t xml:space="preserve">JMIR Form. Res.</t>
  </si>
  <si>
    <t xml:space="preserve">e23589</t>
  </si>
  <si>
    <t xml:space="preserve">10.2196/23589</t>
  </si>
  <si>
    <t xml:space="preserve">Health Care Sciences &amp; Services; Medical Informatics</t>
  </si>
  <si>
    <t xml:space="preserve">4N5QK</t>
  </si>
  <si>
    <t xml:space="preserve">WOS:000854073700026</t>
  </si>
  <si>
    <t xml:space="preserve">Lännström, D</t>
  </si>
  <si>
    <t xml:space="preserve">Lannstrom, Daniel</t>
  </si>
  <si>
    <t xml:space="preserve">Chain Conditions for Epsilon-Strongly Graded Rings with Applications to Leavitt Path Algebras</t>
  </si>
  <si>
    <t xml:space="preserve">ALGEBRAS AND REPRESENTATION THEORY</t>
  </si>
  <si>
    <t xml:space="preserve">Group graded ring; Epsilon-strongly graded ring; Chain conditions; Leavitt path algebra; Partial crossed product</t>
  </si>
  <si>
    <t xml:space="preserve">TWISTED PARTIAL ACTIONS; CROSSED-PRODUCTS; IDEAL STRUCTURE; COEFFICIENTS</t>
  </si>
  <si>
    <t xml:space="preserve">LetGbe a group with neutral elementeand let S = circle plus S-g is an element of G(g) be aG-graded ring. A necessary condition forSto be noetherian is that the principal componentS(e)is noetherian. The following partial converse is well-known: IfSis strongly-graded andGis a polycyclic-by-finite group, thenS(e)being noetherian implies thatSis noetherian. We will generalize the noetherianity result to the recently introduced class of epsilon-strongly graded rings. We will also provide results on the artinianity of epsilon-strongly graded rings. As our main application we obtain characterizations of noetherian and artinian Leavitt path algebras with coefficients in a general unital ring. This extends a recent characterization by Steinberg for Leavitt path algebras with coefficients in a commutative unital ring and previous characterizations by Abrams, Aranda Pino and Siles Molina for Leavitt path algebras with coefficients in a field. Secondly, we obtain characterizations of noetherian and artinian unital partial crossed products.</t>
  </si>
  <si>
    <t xml:space="preserve">[Lannstrom, Daniel] Blekinge Inst Technol, Dept Math &amp; Nat Sci, SE-37179 Karlskrona, Sweden</t>
  </si>
  <si>
    <t xml:space="preserve">Lännström, D (corresponding author), Blekinge Inst Technol, Dept Math &amp; Nat Sci, SE-37179 Karlskrona, Sweden.</t>
  </si>
  <si>
    <t xml:space="preserve">daniel.lannstrom@bth.se</t>
  </si>
  <si>
    <t xml:space="preserve">Crafoord Foundation [20170843]</t>
  </si>
  <si>
    <t xml:space="preserve">Crafoord Foundation</t>
  </si>
  <si>
    <t xml:space="preserve">This research was partially supported by the Crafoord Foundation (grant no. 20170843). The author is grateful to Johan oinert, Stefan Wagner and Patrik Nystedt for giving comments and feedback that helped to improve this manuscript.</t>
  </si>
  <si>
    <t xml:space="preserve">1386-923X</t>
  </si>
  <si>
    <t xml:space="preserve">1572-9079</t>
  </si>
  <si>
    <t xml:space="preserve">ALGEBR REPRESENT TH</t>
  </si>
  <si>
    <t xml:space="preserve">Algebr. Represent. Theory</t>
  </si>
  <si>
    <t xml:space="preserve">10.1007/s10468-019-09909-0</t>
  </si>
  <si>
    <t xml:space="preserve">MM6BY</t>
  </si>
  <si>
    <t xml:space="preserve">hybrid, Green Submitted, Green Published</t>
  </si>
  <si>
    <t xml:space="preserve">WOS:000550240900022</t>
  </si>
  <si>
    <t xml:space="preserve">Bertoni, A; Bertoni, M</t>
  </si>
  <si>
    <t xml:space="preserve">Bertoni, Alessandro; Bertoni, Marco</t>
  </si>
  <si>
    <t xml:space="preserve">PSS cost engineering: A model-based approach for concept design</t>
  </si>
  <si>
    <t xml:space="preserve">CIRP JOURNAL OF MANUFACTURING SCIENCE AND TECHNOLOGY</t>
  </si>
  <si>
    <t xml:space="preserve">Product-Service Systems; Cost engineering; Concept design; Product development; Life cycle cost; Aerospace</t>
  </si>
  <si>
    <t xml:space="preserve">PRODUCT-SERVICE SYSTEM; INTEGRATED PRODUCT; BOUNDARY OBJECTS; FRAMEWORK; SERVITIZATION; AVAILABILITY</t>
  </si>
  <si>
    <t xml:space="preserve">Manufacturing companies are increasingly moving toward delivering combinations of products and services to provide higher value to their customers. The development of such Product Service Systems (PSS) escalates in complexity when several products developed by different suppliers need to be integrated into a unique system. For first tier suppliers, it is a great challenge to model and simulate the impact of changing design variables at the micro-level on both hardware properties and governing behaviors of services over the entire life-cycle of the PSS. The paper describes a model-based approach developed to estimate the life cycle cost of a PSS hardware already at a concept design stage. The proposed approach computes the relative cost efficiency of a set of design variants using as input the data generated by the simulations run in the Computer Aided Engineering (CAE) environment. The approach allows the exploration of the design space of a PSS given by the variation of the geometry of a Computer Aided Design (CAD) model, building on the computation of customized cost modules selected by a generic list of PSS cost dimensions. For each evaluated design case, the model produces as output a unique monetary figure of the cost expected to incur by owning or using the asset throughout the lifetime. The work has been conducted in collaboration with a tier-one aerospace component manufacturer, and the application of the model is exemplified through a case study related to the development of a turbine rear structure (TRS) for commercial jet engines. The approach is most suitable for the development of complex systems in which new products and components are integrated into a shared product platform. The results are discussed in relation to the current literature on PSS cost engineering, highlighting challenges to be addressed to increase cost estimation accuracy and increase uncertainty identification and awareness. (C) 2018 CIRP.</t>
  </si>
  <si>
    <t xml:space="preserve">[Bertoni, Alessandro; Bertoni, Marco] Blekinge Inst Technol, Dept Mech Engn, Karlskrona, Sweden</t>
  </si>
  <si>
    <t xml:space="preserve">Bertoni, A (corresponding author), Blekinge Inst Technol, Dept Mech Engn, Karlskrona, Sweden.</t>
  </si>
  <si>
    <t xml:space="preserve">alessandro.bertoni@bth.se; marco.bertoni@bth.se</t>
  </si>
  <si>
    <t xml:space="preserve">Bertoni, Alessandro/AAG-6876-2020; Bertoni, Marco/P-6226-2014</t>
  </si>
  <si>
    <t xml:space="preserve">Bertoni, Marco/0000-0002-5076-3300; Bertoni, Alessandro/0000-0001-5114-4811</t>
  </si>
  <si>
    <t xml:space="preserve">Swedish Knowledge Foundation through the Model Driven Development and Decision Support research profile at Blekinge Institute of Technology; Swedish Governmental Agency for Innovation Systems (VINNOVA)</t>
  </si>
  <si>
    <t xml:space="preserve">Swedish Knowledge Foundation through the Model Driven Development and Decision Support research profile at Blekinge Institute of Technology; Swedish Governmental Agency for Innovation Systems (VINNOVA)(Vinnova)</t>
  </si>
  <si>
    <t xml:space="preserve">The research has received financial support from the Swedish Knowledge Foundation through the Model Driven Development and Decision Support research profile at Blekinge Institute of Technology, and from the Swedish Governmental Agency for Innovation Systems (VINNOVA), in the frame of the NFFP &amp; VITUM project.</t>
  </si>
  <si>
    <t xml:space="preserve">ELSEVIER</t>
  </si>
  <si>
    <t xml:space="preserve">AMSTERDAM</t>
  </si>
  <si>
    <t xml:space="preserve">RADARWEG 29, 1043 NX AMSTERDAM, NETHERLANDS</t>
  </si>
  <si>
    <t xml:space="preserve">1755-5817</t>
  </si>
  <si>
    <t xml:space="preserve">CIRP J MANUF SCI TEC</t>
  </si>
  <si>
    <t xml:space="preserve">CIRP J. Manuf. Sci. Technol.</t>
  </si>
  <si>
    <t xml:space="preserve">B</t>
  </si>
  <si>
    <t xml:space="preserve">10.1016/j.cirpj.2018.08.001</t>
  </si>
  <si>
    <t xml:space="preserve">LZ1WR</t>
  </si>
  <si>
    <t xml:space="preserve">WOS:000541020600004</t>
  </si>
  <si>
    <t xml:space="preserve">Sällberg, H; Folino, E</t>
  </si>
  <si>
    <t xml:space="preserve">Sallberg, Henrik; Folino, Emil</t>
  </si>
  <si>
    <t xml:space="preserve">The relative importance of distance education challenges to instructors in higher education - A ranking-type Delphi study</t>
  </si>
  <si>
    <t xml:space="preserve">EDUCATION AND INFORMATION TECHNOLOGIES</t>
  </si>
  <si>
    <t xml:space="preserve">Article; Early Access</t>
  </si>
  <si>
    <t xml:space="preserve">Distance education; Challenges; Delphi study; Higher education; Instructors</t>
  </si>
  <si>
    <t xml:space="preserve">PERFORMANCE INDICATORS; TEACHING PRESENCE; PUBLIC TRANSPORT; ONLINE; DESIGN; SATISFACTION; ISSUES</t>
  </si>
  <si>
    <t xml:space="preserve">The many challenges faced by instructors in distance education have been extensively documented in current literature. Nevertheless, the relative importance of such challenges has not been researched to the same extent. As instructors and institutions face limitations in terms of time and budget, the ability to effectively prioritise challenges becomes increasingly vital. This paper aims to investigate the relative importance of various distance education challenges to instructors. For this purpose, a ranking-type Delphi study of 90 instructors was conducted at a Swedish higher education institution of technology. In total 26 unique challenges were identified, out of which the top 13 challenges were further ranked by instructors. The ranking revealed that pedagogical challenges were regarded as being of highest relative importance, whereas technological and organisational challenges were of lesser significance. Instructors rated the following challenges as the most significant: lack of student responsiveness, diminished collaboration due to social distancing among students, substantial upfront course design investments by instructors, and limitations in instructor accessibility. These rankings were found to be largely consistent across different instructor characteristics. The findings of the study indicate the importance of investing in faculty training and support functions within higher education institutions to ensure the quality of distance education.</t>
  </si>
  <si>
    <t xml:space="preserve">[Sallberg, Henrik] Blekinge Inst Technol, Dept Ind Econ, Karlskrona, Sweden; [Folino, Emil] Blekinge Inst Technol, Dept Comp Sci, Karlskrona, Sweden</t>
  </si>
  <si>
    <t xml:space="preserve">Blekinge Institute Technology; Blekinge Institute Technology</t>
  </si>
  <si>
    <t xml:space="preserve">Folino, E (corresponding author), Blekinge Inst Technol, Dept Comp Sci, Karlskrona, Sweden.</t>
  </si>
  <si>
    <t xml:space="preserve">Emil.folino@bth.se</t>
  </si>
  <si>
    <t xml:space="preserve">Folino, Emil/0000-0003-0235-6361; Sallberg, Henrik/0000-0002-9787-7620</t>
  </si>
  <si>
    <t xml:space="preserve">No Statement Available</t>
  </si>
  <si>
    <t xml:space="preserve">1360-2357</t>
  </si>
  <si>
    <t xml:space="preserve">1573-7608</t>
  </si>
  <si>
    <t xml:space="preserve">EDUC INF TECHNOL</t>
  </si>
  <si>
    <t xml:space="preserve">Educ. Inf. Technol.</t>
  </si>
  <si>
    <t xml:space="preserve">2023 DEC 16</t>
  </si>
  <si>
    <t xml:space="preserve">10.1007/s10639-023-12345-9</t>
  </si>
  <si>
    <t xml:space="preserve">DEC 2023</t>
  </si>
  <si>
    <t xml:space="preserve">Education &amp; Educational Research</t>
  </si>
  <si>
    <t xml:space="preserve">CI0H7</t>
  </si>
  <si>
    <t xml:space="preserve">WOS:001124501800004</t>
  </si>
  <si>
    <t xml:space="preserve">Goswami, P; Cheddad, A; Junede, F; Asp, S</t>
  </si>
  <si>
    <t xml:space="preserve">Goswami, Prashant; Cheddad, Abbas; Junede, Fredrik; Asp, Samuel</t>
  </si>
  <si>
    <t xml:space="preserve">Interactive landscape-scale cloud animation using DCGAN</t>
  </si>
  <si>
    <t xml:space="preserve">FRONTIERS IN COMPUTER SCIENCE</t>
  </si>
  <si>
    <t xml:space="preserve">cloud animation; deep convolutional generative adversarial networks (DCGAN); multimedia (image; video; music); machine learning; image processing</t>
  </si>
  <si>
    <t xml:space="preserve">SIMULATION; CLASSIFICATION</t>
  </si>
  <si>
    <t xml:space="preserve">This article presents an interactive method for 3D cloud animation at the landscape scale by employing machine learning. To this end, we utilize deep convolutional generative adversarial network (DCGAN) on GPU for training on home-captured cloud videos and producing coherent animation frames. We limit the size of input images provided to DCGAN, thereby reducing the training time and yet producing detailed 3D animation frames. This is made possible through our preprocessing of the source videos, wherein several corrections are applied to the extracted frames to provide an adequate input training data set to DCGAN. A significant advantage of the presented cloud animation is that it does not require any underlying physics simulation. We present detailed results of our approach and verify its effectiveness using human perceptual evaluation. Our results indicate that the proposed method is capable of convincingly realistic 3D cloud animation, as perceived by the participants, without introducing too much computational overhead.</t>
  </si>
  <si>
    <t xml:space="preserve">[Goswami, Prashant; Cheddad, Abbas; Junede, Fredrik; Asp, Samuel] Blekinge Inst Technol, Dept Comp Sci, Karlskrona, Sweden</t>
  </si>
  <si>
    <t xml:space="preserve">Goswami, P (corresponding author), Blekinge Inst Technol, Dept Comp Sci, Karlskrona, Sweden.</t>
  </si>
  <si>
    <t xml:space="preserve">Cheddad, Abbas/R-7061-2018</t>
  </si>
  <si>
    <t xml:space="preserve">Cheddad, Abbas/0000-0002-4390-411X</t>
  </si>
  <si>
    <t xml:space="preserve">FRONTIERS MEDIA SA</t>
  </si>
  <si>
    <t xml:space="preserve">LAUSANNE</t>
  </si>
  <si>
    <t xml:space="preserve">AVENUE DU TRIBUNAL FEDERAL 34, LAUSANNE, CH-1015, SWITZERLAND</t>
  </si>
  <si>
    <t xml:space="preserve">2624-9898</t>
  </si>
  <si>
    <t xml:space="preserve">FRONT COMP SCI-SWITZ</t>
  </si>
  <si>
    <t xml:space="preserve">Front. Comput. Sci.-Switz</t>
  </si>
  <si>
    <t xml:space="preserve">MAR 8</t>
  </si>
  <si>
    <t xml:space="preserve">10.3389/fcomp.2023.957920</t>
  </si>
  <si>
    <t xml:space="preserve">Computer Science, Interdisciplinary Applications</t>
  </si>
  <si>
    <t xml:space="preserve">A3ZP3</t>
  </si>
  <si>
    <t xml:space="preserve">WOS:000954548500001</t>
  </si>
  <si>
    <t xml:space="preserve">Watz, M; Johansson, C; Bertoni, A; Hallstedt, SI</t>
  </si>
  <si>
    <t xml:space="preserve">Watz, Matilda; Johansson, Christian; Bertoni, Alessandro; Hallstedt, Sophie I.</t>
  </si>
  <si>
    <t xml:space="preserve">Investigating effects of group model building on sustainable design decision-making</t>
  </si>
  <si>
    <t xml:space="preserve">SUSTAINABLE PRODUCTION AND CONSUMPTION</t>
  </si>
  <si>
    <t xml:space="preserve">Sustainable product development; Group model building; Decision -making effects; System analysis; Sustainable design support</t>
  </si>
  <si>
    <t xml:space="preserve">PRODUCT DEVELOPMENT; REQUIREMENTS; SYSTEMS; SUPPORT; FRAMEWORK; TOOLS; KEY</t>
  </si>
  <si>
    <t xml:space="preserve">This research seeks to investigate the effects of a Group Model Building approach on the sustainability knowledge base prior to the weighting of design requirements. Current practice shows that the knowledge about sustainabil-ity impacts and implications on other design objectives often is limited and dispersed among decision-makers. Including sustainability criteria in needs and requirements, therefore, tend to rely on limited knowledge and decision-support, leading to decision-makers often prioritizing design objectives that they are more experienced with. The aim of this research was to capture and discuss effects on team alignment of contextual sustainability understanding from co-modeling impacts and implications of sustainability on other design objectives. The re-search question guiding the study is 'what are the effects of a group model building approach on early sustainability design decisions?'. A mixed-methods research, structured according to four assumptions, was designed to analyze effects quantitatively and qualitatively. The assumptions were that the proposed approach helps design teams foster an improved contextual sustainability understanding, align the view of the relative importance of sustain -ability, identify suitable sustainability improvement, and increase the knowledge maturity of their design deci-sions. The results triangulation showed that the participants showed signs of improved sustainability understanding of their design projects and that improvement actions were identified from applying the ap-proach. A statistically relevant converging effect could be found on the team alignment of the weighting of sus-tainability criteria but not on the knowledge maturity. These findings are discussed to conclude on main contributions, limitations, and areas for future work.(c) 2022 The Authors. Published by Elsevier Ltd on behalf of Institution of Chemical Engineers. This is an open access article under the CC BY-NC-ND license (http://creativecommons.org/licenses/by-nc-nd/4.0/).</t>
  </si>
  <si>
    <t xml:space="preserve">[Watz, Matilda; Johansson, Christian; Bertoni, Alessandro; Hallstedt, Sophie I.] Blekinge Inst Technol, Campus Grasvik, S-37179 Karlskrona, Sweden</t>
  </si>
  <si>
    <t xml:space="preserve">Watz, M (corresponding author), Blekinge Inst Technol, Campus Grasvik, S-37179 Karlskrona, Sweden.</t>
  </si>
  <si>
    <t xml:space="preserve">matilda.watz@bth.se</t>
  </si>
  <si>
    <t xml:space="preserve">Watz, Matilda/AFL-7313-2022; Bertoni, Alessandro/AAG-6876-2020</t>
  </si>
  <si>
    <t xml:space="preserve">Sandgren Watz, Matilda/0000-0003-0813-3193</t>
  </si>
  <si>
    <t xml:space="preserve">Knowledge Foundation [2199]</t>
  </si>
  <si>
    <t xml:space="preserve">The authors are grateful for the support from the Knowledge Foundation [grant number 2199] , which enabled this research collabo- ration between research and education at two departments at Blekinge Institute of Technology and industry. Sincere thanks go to the company partner, case participants, and internal reviewers.</t>
  </si>
  <si>
    <t xml:space="preserve">2352-5509</t>
  </si>
  <si>
    <t xml:space="preserve">SUSTAIN PROD CONSUMP</t>
  </si>
  <si>
    <t xml:space="preserve">Sustain. Prod. Consump.</t>
  </si>
  <si>
    <t xml:space="preserve">10.1016/j.spc.2022.08.005</t>
  </si>
  <si>
    <t xml:space="preserve">AUG 2022</t>
  </si>
  <si>
    <t xml:space="preserve">Green &amp; Sustainable Science &amp; Technology; Environmental Studies</t>
  </si>
  <si>
    <t xml:space="preserve">4E8VN</t>
  </si>
  <si>
    <t xml:space="preserve">WOS:000848098000014</t>
  </si>
  <si>
    <t xml:space="preserve">Ljung, K; Gonzalez-Huerta, J</t>
  </si>
  <si>
    <t xml:space="preserve">Taibi, D; Kuhrmann, M; Mikkonen, T; Klunder, J; Abrahamsson, P</t>
  </si>
  <si>
    <t xml:space="preserve">Ljung, Kevin; Gonzalez-Huerta, Javier</t>
  </si>
  <si>
    <t xml:space="preserve">To Clean Code or Not to Clean Code A Survey Among Practitioners</t>
  </si>
  <si>
    <t xml:space="preserve">PRODUCT-FOCUSED SOFTWARE PROCESS IMPROVEMENT, PROFES 2022</t>
  </si>
  <si>
    <t xml:space="preserve">Lecture Notes in Computer Science</t>
  </si>
  <si>
    <t xml:space="preserve">23rd International Conference on Product-Focused Software Process Improvement (PROFES)</t>
  </si>
  <si>
    <t xml:space="preserve">NOV 21-23, 2022</t>
  </si>
  <si>
    <t xml:space="preserve">Jyvaskyla, FINLAND</t>
  </si>
  <si>
    <t xml:space="preserve">Clean code; Survey; Code quality</t>
  </si>
  <si>
    <t xml:space="preserve">QUALITY</t>
  </si>
  <si>
    <t xml:space="preserve">Context: Writing code that is understandable by other collaborators has become crucial to enhancing collaboration and productivity. Clean Code has become one of the most relevant software craftsmanship practices and has been widely embraced as a synonym for code quality by software developers and software development organizations all over the world. However, very little is known regarding whether developers agree with Clean Code principles and how they apply them in practice. Objectives: In this work, we investigated how developers perceive Clean Code principles, whether they believe that helps reading, understanding, reusing, and modifying Clean Code, and how they keep their code clean. Methods: We conducted a Systematic Literature Review in which we screened 771 research papers to collect Clean Code principles and a survey among 39 practitioners, some of them with more than 20 years of development experience. Results: So far, the results show a shared agreement with Clean Code principles and their potential benefits. They also show that developers tend to write messy code to be refactored later.</t>
  </si>
  <si>
    <t xml:space="preserve">[Ljung, Kevin; Gonzalez-Huerta, Javier] Blekinge Inst Technol, S-37179 Karlskrona, Sweden</t>
  </si>
  <si>
    <t xml:space="preserve">Gonzalez-Huerta, J (corresponding author), Blekinge Inst Technol, S-37179 Karlskrona, Sweden.</t>
  </si>
  <si>
    <t xml:space="preserve">javier.gonzalez.huerta@bth.se</t>
  </si>
  <si>
    <t xml:space="preserve">Gonzalez-Huerta, Javier/V-4258-2019</t>
  </si>
  <si>
    <t xml:space="preserve">KKS foundation [20170176, 2018010]; Blekinge Institute of Technology</t>
  </si>
  <si>
    <t xml:space="preserve">KKS foundation; Blekinge Institute of Technology</t>
  </si>
  <si>
    <t xml:space="preserve">0302-9743</t>
  </si>
  <si>
    <t xml:space="preserve">1611-3349</t>
  </si>
  <si>
    <t xml:space="preserve">978-3-031-21387-8; 978-3-031-21388-5</t>
  </si>
  <si>
    <t xml:space="preserve">LECT NOTES COMPUT SC</t>
  </si>
  <si>
    <t xml:space="preserve">10.1007/978-3-031-21388-5_21</t>
  </si>
  <si>
    <t xml:space="preserve">Computer Science, Software Engineering; Computer Science, Theory &amp; Methods</t>
  </si>
  <si>
    <t xml:space="preserve">BU4FX</t>
  </si>
  <si>
    <t xml:space="preserve">WOS:000897035000021</t>
  </si>
  <si>
    <t xml:space="preserve">The graded structure of algebraic Cuntz-Pimsner rings</t>
  </si>
  <si>
    <t xml:space="preserve">JOURNAL OF PURE AND APPLIED ALGEBRA</t>
  </si>
  <si>
    <t xml:space="preserve">Group graded ring; Epsilon-strongly graded ring; Cuntz-Pimsner ring; Leavitt path algebra; Corner skew Laurent polynomial ring</t>
  </si>
  <si>
    <t xml:space="preserve">Algebraic Cuntz-Pimsner rings are naturally Z-graded rings that generalize corner skew Laurent polynomial rings, Leavitt path algebras and unperforated Z-graded Steinberg algebras. In this article, we characterize strongly, epsilon-strongly and nearly epsilon-strongly Z-graded algebraic Cuntz-Pimsner rings up to graded isomorphism. We recover two results by Hazrat on when corner skew Laurent polynomial rings and Leavitt path algebras are strongly graded. As a further application, we characterize noetherian and artinian corner skew Laurent polynomial rings. (C) 2020 Elsevier B.V. All rights reserved.</t>
  </si>
  <si>
    <t xml:space="preserve">This research was partially supported by The Crafoord Foundation(grant no. 20170843). The author is grateful to Eduard Ortega for pointing out the characterization in Proposition4.3(c). The author is also grateful to Stefan Wagner, Johan Oinert and Patrik Nystedt for giving feedback and comments that helped to improve this manuscript. The author is also grateful to an anonymous referee for giving useful comments.</t>
  </si>
  <si>
    <t xml:space="preserve">0022-4049</t>
  </si>
  <si>
    <t xml:space="preserve">1873-1376</t>
  </si>
  <si>
    <t xml:space="preserve">J PURE APPL ALGEBRA</t>
  </si>
  <si>
    <t xml:space="preserve">J. Pure Appl. Algebr.</t>
  </si>
  <si>
    <t xml:space="preserve">10.1016/j.jpaa.2020.106369</t>
  </si>
  <si>
    <t xml:space="preserve">Mathematics, Applied; Mathematics</t>
  </si>
  <si>
    <t xml:space="preserve">LE0KD</t>
  </si>
  <si>
    <t xml:space="preserve">Green Published, Green Submitted</t>
  </si>
  <si>
    <t xml:space="preserve">WOS:000526412900011</t>
  </si>
  <si>
    <t xml:space="preserve">Watz, M; Hallstedt, SI</t>
  </si>
  <si>
    <t xml:space="preserve">Watz, Matilda; Hallstedt, Sophie I.</t>
  </si>
  <si>
    <t xml:space="preserve">Profile model for management of sustainability integration in engineering design requirements</t>
  </si>
  <si>
    <t xml:space="preserve">JOURNAL OF CLEANER PRODUCTION</t>
  </si>
  <si>
    <t xml:space="preserve">Sustainable product development; Sustainable design; Requirement management; Traceability; Sustainability maturity</t>
  </si>
  <si>
    <t xml:space="preserve">PRODUCT DEVELOPMENT; DECISION-MAKING; ENVIRONMENTAL CONSIDERATIONS; ECO-DESIGN; FRAMEWORK; CHALLENGES; SUPPORT</t>
  </si>
  <si>
    <t xml:space="preserve">This research provides insights into how sustainability considerations in engineering product design can be addressed through early stages of requirement management processes. Five key elements for successful implementation of sustainable product development from a requirement management perspective are presented, demonstrating how organisational sustainability maturity can be linked to the design and structure of a company's operational management system. Through a thematic analysis of fifteen interviews with representatives from seven Swedish product developing-and manufacturing companies, critical activities and roles, examples of methods and tools utilisation and implementation, together with challenges and opportunities were identified. This empirical data was used to develop, test and refine a model in which key characteristics of sustainable product design and engineering design were coupled, resulting in a profile model for management of sustainability in requirements. Product developing companies can use the profile model as guidance towards necessary actions that enhance organisational sustainability maturity. Motivated by a low uptake rate of sustainability design tools in industry, this study brings attention to organisational capabilities for successful implementation of sustainable product development. As a lack of traceability is a potential cause, strategic socioecological contextualisation of needs is suggested to improve the chain of decision making in engineering design projects. The guiding research question was 'What are sustainability requirements and how are they identified and managed in design projects?'. The main contribution is a proposed conceptualised model that aims to support design teams to identify and manage sustainability in requirements for engineering design projects. Future studies will test and validate the model. (C) 2019 Elsevier Ltd. All rights reserved.</t>
  </si>
  <si>
    <t xml:space="preserve">[Watz, Matilda; Hallstedt, Sophie I.] Blekinge Inst Technol, Dept Strateg Sustainable Dev, Campus Grasvik, S-37139 Karlskrona, Sweden</t>
  </si>
  <si>
    <t xml:space="preserve">Watz, M (corresponding author), Blekinge Inst Technol, Dept Strateg Sustainable Dev, Campus Grasvik, S-37139 Karlskrona, Sweden.</t>
  </si>
  <si>
    <t xml:space="preserve">matilda.watz@bth.se; sophie.hallstedt@bth.se</t>
  </si>
  <si>
    <t xml:space="preserve">Watz, Matilda/AFL-7313-2022</t>
  </si>
  <si>
    <t xml:space="preserve">Vinnova; Swedish Knowledge Foundation</t>
  </si>
  <si>
    <t xml:space="preserve">Vinnova(Vinnova); Swedish Knowledge Foundation</t>
  </si>
  <si>
    <t xml:space="preserve">The research leading to these results has received financial support from projects funded by Vinnova and the Swedish Knowledge Foundation. Our acknowledgments also go to Blekinge Institute of Technology, and, finally, to the company partners.</t>
  </si>
  <si>
    <t xml:space="preserve">ELSEVIER SCI LTD</t>
  </si>
  <si>
    <t xml:space="preserve">OXFORD</t>
  </si>
  <si>
    <t xml:space="preserve">THE BOULEVARD, LANGFORD LANE, KIDLINGTON, OXFORD OX5 1GB, OXON, ENGLAND</t>
  </si>
  <si>
    <t xml:space="preserve">0959-6526</t>
  </si>
  <si>
    <t xml:space="preserve">1879-1786</t>
  </si>
  <si>
    <t xml:space="preserve">J CLEAN PROD</t>
  </si>
  <si>
    <t xml:space="preserve">J. Clean Prod.</t>
  </si>
  <si>
    <t xml:space="preserve">FEB 20</t>
  </si>
  <si>
    <t xml:space="preserve">10.1016/j.jclepro.2019.119155</t>
  </si>
  <si>
    <t xml:space="preserve">Green &amp; Sustainable Science &amp; Technology; Engineering, Environmental; Environmental Sciences</t>
  </si>
  <si>
    <t xml:space="preserve">Science &amp; Technology - Other Topics; Engineering; Environmental Sciences &amp; Ecology</t>
  </si>
  <si>
    <t xml:space="preserve">KA3KC</t>
  </si>
  <si>
    <t xml:space="preserve">WOS:000505696700072</t>
  </si>
  <si>
    <t xml:space="preserve">Broman, GI; Robèrt, KH</t>
  </si>
  <si>
    <t xml:space="preserve">Broman, Goran Ingvar; Robert, Karl-Henrik</t>
  </si>
  <si>
    <t xml:space="preserve">Operative System for Strategic Sustainable Development-Coordinating Analysis, Planning, Action, and Use of Supports Such as the Sustainable Development Goals, Planetary Boundaries, Circular Economy, and Science-Based Targets</t>
  </si>
  <si>
    <t xml:space="preserve">SUSTAINABLE DEVELOPMENT</t>
  </si>
  <si>
    <t xml:space="preserve">circular economy; operative system; planetary boundaries; science-based targets; strategic sustainable development; sustainable development goals</t>
  </si>
  <si>
    <t xml:space="preserve">SOCIAL SUSTAINABILITY</t>
  </si>
  <si>
    <t xml:space="preserve">The number of sustainability supports keeps growing. However, they are typically not capable of bridging planetary-to-organizational scales and therefore in themselves provide limited guidance for how organizations can contribute strategically to global sustainability. This is severe since the power of change that organizations represent is essential for humanity to succeed with the transition to sustainability. Furthermore, a specific sustainability support typically lacks a clear description of what gap it is designed to fill. This may add confusion to an already complex area and can result in organizations selecting supports that are not the most appropriate for the organization's purpose and transition plan. The aim of this study was therefore to prototype an approach for SWOT analyses of sustainability supports and for guiding effective and coordinated use of them. We tested the approach for some examples of supports that are currently receiving much attention: the sustainable development goals, planetary boundaries, circular economy, and science-based targets. We argue that the tested approach can be generalized and makes it possible to clarify limitations and value of any support from a systemic, systematic, and strategic sustainability perspective and, therefore, also to clarify how the supports relate to each other and can be selected and used in an effective and coordinated way. This is similar to how an operative system of, say, a smartphone, facilitates an effective and coordinated use of apps. We argue that the presented approach addresses one of the most dangerously, still most commonly, missed pieces in public and private discourses on sustainability.</t>
  </si>
  <si>
    <t xml:space="preserve">[Broman, Goran Ingvar; Robert, Karl-Henrik] Blekinge Inst Technol, Dept Strateg Sustainable Dev, Karlskrona, Sweden</t>
  </si>
  <si>
    <t xml:space="preserve">Broman, GI (corresponding author), Blekinge Inst Technol, Dept Strateg Sustainable Dev, Karlskrona, Sweden.</t>
  </si>
  <si>
    <t xml:space="preserve">goran.broman@bth.se</t>
  </si>
  <si>
    <t xml:space="preserve">0968-0802</t>
  </si>
  <si>
    <t xml:space="preserve">1099-1719</t>
  </si>
  <si>
    <t xml:space="preserve">SUSTAIN DEV</t>
  </si>
  <si>
    <t xml:space="preserve">Sustain. Dev.</t>
  </si>
  <si>
    <t xml:space="preserve">2025 FEB 6</t>
  </si>
  <si>
    <t xml:space="preserve">10.1002/sd.3357</t>
  </si>
  <si>
    <t xml:space="preserve">FEB 2025</t>
  </si>
  <si>
    <t xml:space="preserve">Development Studies; Green &amp; Sustainable Science &amp; Technology; Regional &amp; Urban Planning</t>
  </si>
  <si>
    <t xml:space="preserve">Development Studies; Science &amp; Technology - Other Topics; Public Administration</t>
  </si>
  <si>
    <t xml:space="preserve">U8P0M</t>
  </si>
  <si>
    <t xml:space="preserve">WOS:001414333600001</t>
  </si>
  <si>
    <t xml:space="preserve">Fransson, E; Hermansson, J; Hu, Y</t>
  </si>
  <si>
    <t xml:space="preserve">Fransson, Emil; Hermansson, Jonatan; Hu, Yan</t>
  </si>
  <si>
    <t xml:space="preserve">A comparison of Performance on WebGPU and WebGL in the Godot game engine</t>
  </si>
  <si>
    <t xml:space="preserve">2024 IEEE GAMING, ENTERTAINMENT, AND MEDIA CONFERENCE, GEM 2024</t>
  </si>
  <si>
    <t xml:space="preserve">IEEE Games Media Entertainment</t>
  </si>
  <si>
    <t xml:space="preserve">Gaming, Entertainment and Media Conference (GEM)</t>
  </si>
  <si>
    <t xml:space="preserve">JUN 05-07, 2024</t>
  </si>
  <si>
    <t xml:space="preserve">Turin, ITALY</t>
  </si>
  <si>
    <t xml:space="preserve">Game Engine; Performance Overhead; Rendering; WebGPU; WebGL</t>
  </si>
  <si>
    <t xml:space="preserve">WebGL has been the standard API for rendering graphics on the web over the years. A new technology, WebGPU, has been set to release in 2023 and utilizes many of the novel rendering approaches and features common for the native modern graphics APIs, such as Vulkan. Currently, very limited research exists regarding WebGPU's rasterization capabilities. In particular, no research exists about its capabilities when used as a rendering backend in game engines. This paper aims to investigate performance differences between WebGL and WebGPU. It is done in the context of the game engine Godot, and the measured performance is that of the CPU and GPU frame time. The results show that WebGPU performs better than WebGL when used as a rendering backend in Godot, for both the games tests and the synthetic tests. The comparisons clearly show that WebGPU performs faster in mean CPU and GPU frame time.</t>
  </si>
  <si>
    <t xml:space="preserve">[Fransson, Emil; Hermansson, Jonatan; Hu, Yan] Blekinge Inst Technol, Dept Comp Sci, Karlskrona, Sweden</t>
  </si>
  <si>
    <t xml:space="preserve">Fransson, E (corresponding author), Blekinge Inst Technol, Dept Comp Sci, Karlskrona, Sweden.</t>
  </si>
  <si>
    <t xml:space="preserve">emfa17@student.bth.se; johm18@student.bth.se; yan.hu@bth.se</t>
  </si>
  <si>
    <t xml:space="preserve">Hu, Yan/ABO-0679-2022</t>
  </si>
  <si>
    <t xml:space="preserve">2831-5510</t>
  </si>
  <si>
    <t xml:space="preserve">979-8-3503-7453-7; 979-8-3503-7454-4</t>
  </si>
  <si>
    <t xml:space="preserve">IEEE Games Media Ent</t>
  </si>
  <si>
    <t xml:space="preserve">10.1109/GEM61861.2024.10585437</t>
  </si>
  <si>
    <t xml:space="preserve">BX3KT</t>
  </si>
  <si>
    <t xml:space="preserve">WOS:001281983200021</t>
  </si>
  <si>
    <t xml:space="preserve">Zabardast, E; Gonzalez-Huerta, J; Tanveer, B</t>
  </si>
  <si>
    <t xml:space="preserve">IEEE Comp Soc</t>
  </si>
  <si>
    <t xml:space="preserve">Zabardast, Ehsan; Gonzalez-Huerta, Javier; Tanveer, Binish</t>
  </si>
  <si>
    <t xml:space="preserve">Ownership vs Contribution: Investigating the Alignment Between Ownership and Contribution</t>
  </si>
  <si>
    <t xml:space="preserve">2022 IEEE 19TH INTERNATIONAL CONFERENCE ON SOFTWARE ARCHITECTURE COMPANION (ICSA-C 2022)</t>
  </si>
  <si>
    <t xml:space="preserve">19th IEEE International Conference on Software Architecture (ICSA)</t>
  </si>
  <si>
    <t xml:space="preserve">MAR 12-15, 2022</t>
  </si>
  <si>
    <t xml:space="preserve">IEEE,IEEE Comp Soc</t>
  </si>
  <si>
    <t xml:space="preserve">Software development is a collaborative endeavour. Organisations that develop software assign modules to different teams, i.e., teams own their modules and are responsible for them. These modules are rarely isolated, meaning that there exist dependencies among them. Therefore, other teams might often contribute to developing modules they do not own. The contribution can be, among other types, in the form of code authorship, code review, and issue detection. This research presents a model to investigate the alignment between module ownership and contribution and the preliminary results of an industrial case study to evaluate the model in practice. Our model uses seven metrics to assess teams' contributions. Initial results suggest that the model correctly identifies misalignment between ownership and contribution. The detection of misalignment between ownership and contribution is the first step towards investigating the impact it might have on the faster accumulation of Technical Debt.</t>
  </si>
  <si>
    <t xml:space="preserve">[Zabardast, Ehsan; Gonzalez-Huerta, Javier; Tanveer, Binish] Blekinge Inst Technol, Software Engn Res Lab SERL, Karlskrona, Sweden</t>
  </si>
  <si>
    <t xml:space="preserve">Zabardast, E (corresponding author), Blekinge Inst Technol, Software Engn Res Lab SERL, Karlskrona, Sweden.</t>
  </si>
  <si>
    <t xml:space="preserve">ehsan.zabardast@bth.se; javier.gonzalez.huerta@bth.se; binish.tanveer@bth.se</t>
  </si>
  <si>
    <t xml:space="preserve">Gonzalez-Huerta, Javier/V-4258-2019; Zabardast, Ehsan/AAZ-8119-2021</t>
  </si>
  <si>
    <t xml:space="preserve">Zabardast, Ehsan/0000-0002-1729-5154</t>
  </si>
  <si>
    <t xml:space="preserve">KK foundation through the SHADE KK-Hog project [2017/0176]; Blekinge Institute of Technology, Sweden [SERT 2018/010]</t>
  </si>
  <si>
    <t xml:space="preserve">KK foundation through the SHADE KK-Hog project; Blekinge Institute of Technology, Sweden</t>
  </si>
  <si>
    <t xml:space="preserve">This research was supported by KK foundation through the SHADE KK-Hog project 2017/0176 and KKS Profile project SERT 2018/010 at Blekinge Institute of Technology, Sweden.</t>
  </si>
  <si>
    <t xml:space="preserve">978-1-6654-9493-9</t>
  </si>
  <si>
    <t xml:space="preserve">10.1109/ICSA-C54293.2022.00013</t>
  </si>
  <si>
    <t xml:space="preserve">Computer Science, Hardware &amp; Architecture; Computer Science, Software Engineering</t>
  </si>
  <si>
    <t xml:space="preserve">BT5WB</t>
  </si>
  <si>
    <t xml:space="preserve">WOS:000838715700009</t>
  </si>
  <si>
    <t xml:space="preserve">Cheddad, A</t>
  </si>
  <si>
    <t xml:space="preserve">Cheddad, Abbas</t>
  </si>
  <si>
    <t xml:space="preserve">On Box-Cox Transformation for Image Normality and Pattern Classification</t>
  </si>
  <si>
    <t xml:space="preserve">IEEE ACCESS</t>
  </si>
  <si>
    <t xml:space="preserve">Box-Cox transformation; image enhancement; automatic estimation of lambda; color pattern classification</t>
  </si>
  <si>
    <t xml:space="preserve">OPTICAL PROJECTION TOMOGRAPHY; DISTRIBUTIONS; INFORMATION; RAYLEIGH</t>
  </si>
  <si>
    <t xml:space="preserve">A unique member of the power transformation family is known as the Box-Cox transformation. The latter can be seen as a mathematical operation that leads to finding the optimum lambda (lambda) value that maximizes the log-likelihood function to transform a data to a normal distribution and to reduce heteroscedasticity. In data analytics, a normality assumption underlies a variety of statistical test models. This technique, however, is best known in statistical analysis to handle one-dimensional data. Herein, this paper revolves around the utility of such a tool as a pre-processing step to transform two-dimensional data, namely, digital images and to study its effect. Moreover, to reduce time complexity, it suffices to estimate the parameter lambda in real-time for large two-dimensional matrices by merely considering their probability density function as a statistical inference of the underlying data distribution. We compare the effect of this light-weight Box-Cox transformation with well-established state-of-the-art low light image enhancement techniques. We also demonstrate the effectiveness of our approach through several test-bed data sets for generic improvement of visual appearance of images and for ameliorating the performance of a colour pattern classification algorithm as an example application. Results with and without the proposed approach, are compared using the AlexNet (transfer deep learning) pretrained model. To the best of our knowledge, this is the first time that the Box-Cox transformation is extended to digital images by exploiting histogram transformation.</t>
  </si>
  <si>
    <t xml:space="preserve">[Cheddad, Abbas] Blekinge Inst Technol, Dept Comp Sci, SE-37179 Karlskrona, Sweden</t>
  </si>
  <si>
    <t xml:space="preserve">Cheddad, A (corresponding author), Blekinge Inst Technol, Dept Comp Sci, SE-37179 Karlskrona, Sweden.</t>
  </si>
  <si>
    <t xml:space="preserve">abbas.cheddad@bth.se</t>
  </si>
  <si>
    <t xml:space="preserve">Swedish Knowledge Foundation [20140032]</t>
  </si>
  <si>
    <t xml:space="preserve">Swedish Knowledge Foundation</t>
  </si>
  <si>
    <t xml:space="preserve">This work was supported by the Swedish Knowledge Foundation, scalable resource ef~cient systems for big data analytics, under Grant 20140032.</t>
  </si>
  <si>
    <t xml:space="preserve">2169-3536</t>
  </si>
  <si>
    <t xml:space="preserve">IEEE Access</t>
  </si>
  <si>
    <t xml:space="preserve">10.1109/ACCESS.2020.3018874</t>
  </si>
  <si>
    <t xml:space="preserve">Computer Science, Information Systems; Engineering, Electrical &amp; Electronic; Telecommunications</t>
  </si>
  <si>
    <t xml:space="preserve">Computer Science; Engineering; Telecommunications</t>
  </si>
  <si>
    <t xml:space="preserve">NJ5XZ</t>
  </si>
  <si>
    <t xml:space="preserve">WOS:000566117600001</t>
  </si>
  <si>
    <t xml:space="preserve">Alégroth, E; Gorschek, T; Petersen, K; Mattsson, M</t>
  </si>
  <si>
    <t xml:space="preserve">Alegroth, Emil; Gorschek, Tony; Petersen, Kai; Mattsson, Michael</t>
  </si>
  <si>
    <t xml:space="preserve">Characteristics that affect preference of decision models for asset selection: an industrial questionnaire survey</t>
  </si>
  <si>
    <t xml:space="preserve">SOFTWARE QUALITY JOURNAL</t>
  </si>
  <si>
    <t xml:space="preserve">Decision models; Characteristics; Industrial study; Survey; Model comparison</t>
  </si>
  <si>
    <t xml:space="preserve">KEY CONCEPTS; IN-HOUSE; SOFTWARE; COTS; ORIGINS; OSS</t>
  </si>
  <si>
    <t xml:space="preserve">Modern software development relies on a combination of development and re-use of technical asset, e.g., software components, libraries, and APIs. In the past, re-use was mostly conducted with internal assets but today external; open source, customer off-the-shelf (COTS), and assets developed through outsourcing are also common. This access to more asset alternatives presents new challenges regarding what assets to optimally chose and how to make this decision. To support decision-makers, decision theory has been used to develop decision models for asset selection. However, very little industrial data has been presented in literature about the usefulness, or even perceived usefulness, of these models. Additionally, only limited information has been presented about what model characteristics determine practitioner preference toward one model over another. The objective of this work is to evaluate what characteristics of decision models for asset selection determine industrial practitioner preference of a model when given the choice of a decision model of high precision or a model with high speed. An industrial questionnaire survey is performed where a total of 33 practitioners, of varying roles, from 18 companies are tasked to compare two decision models for asset selection. Textual analysis and formal and descriptive statistics are then applied on the survey responses to answer the study's research questions. The study shows that the practitioners had clear preference toward the decision model that emphasized speed over the one that emphasized decision precision. This conclusion was determined to be because one of the models was perceived faster, had lower complexity, was more flexible in use for different decisions, and was more agile on how it could be used in operation, its emphasis on people, its emphasis on good enough precision and ability to fail fast if a decision was a failure. Hence, we found seven characteristics that the practitioners considered important for their acceptance of the model. Industrial practitioner preference, which relates to acceptance, of decision models for asset selection is dependent on multiple characteristics that must be considered when developing a model for different types of decisions such as operational day-to-day decisions as well as more critical tactical or strategic decisions. The main contribution of this work are the seven identified characteristics that can serve as industrial requirements for future research on decision models for asset selection.</t>
  </si>
  <si>
    <t xml:space="preserve">[Alegroth, Emil; Gorschek, Tony; Petersen, Kai; Mattsson, Michael] Blekinge Inst Technol, SE-37179 Karlskrona, Sweden</t>
  </si>
  <si>
    <t xml:space="preserve">Alégroth, E (corresponding author), Blekinge Inst Technol, SE-37179 Karlskrona, Sweden.</t>
  </si>
  <si>
    <t xml:space="preserve">Emil.Alegroth@Bth.se; Tony.Gorschek@Bth.se; Kai.Petersen@Bth.se; Michael.Mattsson@Bth.se</t>
  </si>
  <si>
    <t xml:space="preserve">Mattsson, Michael/MBW-2094-2025; Gorschek, Tony/E-3445-2013</t>
  </si>
  <si>
    <t xml:space="preserve">Petersen, Kai/0000-0002-1532-8223; Alegroth, Emil/0000-0001-7526-3727</t>
  </si>
  <si>
    <t xml:space="preserve">ORION project [20140218]; Knowledge Foundation in Sweden</t>
  </si>
  <si>
    <t xml:space="preserve">ORION project; Knowledge Foundation in Sweden</t>
  </si>
  <si>
    <t xml:space="preserve">This work is supported by a research grant for the ORION project (reference number 20140218) from The Knowledge Foundation in Sweden.</t>
  </si>
  <si>
    <t xml:space="preserve">0963-9314</t>
  </si>
  <si>
    <t xml:space="preserve">1573-1367</t>
  </si>
  <si>
    <t xml:space="preserve">SOFTWARE QUAL J</t>
  </si>
  <si>
    <t xml:space="preserve">Softw. Qual. J.</t>
  </si>
  <si>
    <t xml:space="preserve">10.1007/s11219-019-09489-8</t>
  </si>
  <si>
    <t xml:space="preserve">DEC 2019</t>
  </si>
  <si>
    <t xml:space="preserve">PI6CR</t>
  </si>
  <si>
    <t xml:space="preserve">WOS:000504580300001</t>
  </si>
  <si>
    <t xml:space="preserve">Lewenhagen, K; Boldt, M; Borg, A</t>
  </si>
  <si>
    <t xml:space="preserve">Lewenhagen, Kenneth; Boldt, Martin; Borg, Anton</t>
  </si>
  <si>
    <t xml:space="preserve">Automated Generation of CCTV Camera Coverage Areas for Smart Cities Using Line-of-Sight Analysis</t>
  </si>
  <si>
    <t xml:space="preserve">2024 IEEE SYMPOSIUM ON COMPUTERS AND COMMUNICATIONS, ISCC 2024</t>
  </si>
  <si>
    <t xml:space="preserve">IEEE Symposium on Computers and Communications ISCC</t>
  </si>
  <si>
    <t xml:space="preserve">29th IEEE Symposium on Computers and Communications (IEEE ISCC)</t>
  </si>
  <si>
    <t xml:space="preserve">JUN 26-29, 2024</t>
  </si>
  <si>
    <t xml:space="preserve">Paris, FRANCE</t>
  </si>
  <si>
    <t xml:space="preserve">Camera coverage estimation; smart city; web-based prototype; decision support systems; GIS</t>
  </si>
  <si>
    <t xml:space="preserve">SURVEILLANCE</t>
  </si>
  <si>
    <t xml:space="preserve">In smart cities, Closed-Circuit Television (CCTV) cameras are crucial for enhancing law enforcement and public safety. Since CCTV cameras include both state-controlled and private-sector units in large numbers, it poses a considerable challenge to manage them. Automating the calculation of their coverage areas enables law enforcement and city planners to efficiently adapt surveillance strategies to the evolving needs of urban safety and dynamics. This paper proposes a prototype that automates the digitization of a vast number of camera coverage areas, such as for a large city. Given the positions for each camera, its sector width, and length-of-view, the prototype automatically identifies each camera's capture area represented as a polygon of positions. The prototype's generated capture areas are validated to the ground truth representing the true capture areas for 51 cameras (in the city of Malmo, Sweden) provided by the Swedish law enforcement agencies.</t>
  </si>
  <si>
    <t xml:space="preserve">[Lewenhagen, Kenneth; Boldt, Martin; Borg, Anton] Blekinge Inst Technol, Dept Comp Sci &amp; Engn, Karlskrona, Sweden</t>
  </si>
  <si>
    <t xml:space="preserve">Lewenhagen, K (corresponding author), Blekinge Inst Technol, Dept Comp Sci &amp; Engn, Karlskrona, Sweden.</t>
  </si>
  <si>
    <t xml:space="preserve">kenneth.lewenhagen@bth.se; martin.boldt@bth.se; anton.borg@bth.se</t>
  </si>
  <si>
    <t xml:space="preserve">Lewenhagen, Kenneth/IAQ-5495-2023; Boldt, Martin/J-4958-2019; Borg, Anton/AAS-4475-2021</t>
  </si>
  <si>
    <t xml:space="preserve">Swedish Research Council; Lansforsakringar Skane</t>
  </si>
  <si>
    <t xml:space="preserve">Swedish Research Council(Swedish Research Council); Lansforsakringar Skane</t>
  </si>
  <si>
    <t xml:space="preserve">The research described in this paper was funded by both the Swedish Research Council as well as Lansforsakringar Skane.</t>
  </si>
  <si>
    <t xml:space="preserve">1530-1346</t>
  </si>
  <si>
    <t xml:space="preserve">979-8-3503-5424-9; 979-8-3503-5423-2</t>
  </si>
  <si>
    <t xml:space="preserve">IEEE SYMP COMP COMMU</t>
  </si>
  <si>
    <t xml:space="preserve">10.1109/ISCC61673.2024.10733715</t>
  </si>
  <si>
    <t xml:space="preserve">Computer Science, Artificial Intelligence; Computer Science, Interdisciplinary Applications; Engineering, Electrical &amp; Electronic; Telecommunications</t>
  </si>
  <si>
    <t xml:space="preserve">BY0YW</t>
  </si>
  <si>
    <t xml:space="preserve">WOS:001363176200152</t>
  </si>
  <si>
    <t xml:space="preserve">Bauer, A; Alégroth, E</t>
  </si>
  <si>
    <t xml:space="preserve">Bauer, Andreas; Alegroth, Emil</t>
  </si>
  <si>
    <t xml:space="preserve">We Tried and Failed: An Experience Report on a Collaborative Workflow for GUI-based Testing</t>
  </si>
  <si>
    <t xml:space="preserve">2023 IEEE INTERNATIONAL CONFERENCE ON SOFTWARE TESTING, VERIFICATION AND VALIDATION WORKSHOPS, ICSTW</t>
  </si>
  <si>
    <t xml:space="preserve">IEEE International Conference on Software Testing Verification and Validation Workshops</t>
  </si>
  <si>
    <t xml:space="preserve">16th IEEE International Conference on Software Testing, Verification and Validation (ICST)</t>
  </si>
  <si>
    <t xml:space="preserve">APR 16-20, 2023</t>
  </si>
  <si>
    <t xml:space="preserve">Dublin, IRELAND</t>
  </si>
  <si>
    <t xml:space="preserve">IEEE,IEEE Comp Soc,Fidel Investments,Failte Ireland,LERO,Meta,Google</t>
  </si>
  <si>
    <t xml:space="preserve">Terms model-based testing; automated testing; GUI testing; collaborative testing; collaborative workflow</t>
  </si>
  <si>
    <t xml:space="preserve">INDUSTRIAL PRACTICE; INSPECTIONS; DESIGN</t>
  </si>
  <si>
    <t xml:space="preserve">Modern software development is a team-based effort supported by tools, processes, and practices. One integral part is automated testing, where developers incorporate automated tests on multiple levels of system abstraction, from low-level unit tests to high-level system tests and Graphical User Interface (GUI) tests. Furthermore, the common practices of code reviews allow collaboration on artifacts based on discussions that improve the artifact's quality and to share information within the team. However, the characteristics of GUI-based tests, due to the level of abstraction and visual elements, introduce additional requirements and complexities compared to code or lower-level test code review, delimiting the practice benefits. The objective of this work is to propose a tool-supported workflow that enables active collaboration among stakeholders and improves the efficiency and effectiveness of team-based development of GUI-based tests. To evaluate the workflow, and show proof of concept, a technical demonstrator for merging of GUI-based tests was to be developed. However, during its development, we encountered several unforeseen challenges that forced us to halt its development. We report the negative results from this development and the main challenges we encountered, as well as the rationale and the decisions we took towards this workflow. In conclusion, this work presents a negative research result on a failed attempt to propose a tool-supported workflow that enables active collaboration on GUI-based tests. The outcome and learnings of this work are intended to guide future research and prevent researchers from falling into the same pitfalls we did.</t>
  </si>
  <si>
    <t xml:space="preserve">[Bauer, Andreas; Alegroth, Emil] Blekinge Inst Technol, Software Engn Res Lab SERL, Karlskrona, Sweden</t>
  </si>
  <si>
    <t xml:space="preserve">Bauer, A (corresponding author), Blekinge Inst Technol, Software Engn Res Lab SERL, Karlskrona, Sweden.</t>
  </si>
  <si>
    <t xml:space="preserve">andreas.bauer@bth.se; emil.alegroth@bth.se</t>
  </si>
  <si>
    <t xml:space="preserve">Bauer, Andreas/IZQ-4804-2023</t>
  </si>
  <si>
    <t xml:space="preserve">Bauer, Andreas/0000-0002-2916-4020</t>
  </si>
  <si>
    <t xml:space="preserve">KKS foundation through the S.E.R.T. Research Profile project at Blekinge Institute of Technology</t>
  </si>
  <si>
    <t xml:space="preserve">This work was supported by the KKS foundation through the S.E.R.T. Research Profile project at Blekinge Institute of Technology.</t>
  </si>
  <si>
    <t xml:space="preserve">2159-4848</t>
  </si>
  <si>
    <t xml:space="preserve">979-8-3503-3335-0</t>
  </si>
  <si>
    <t xml:space="preserve">IEEE ICST WORKSHOP</t>
  </si>
  <si>
    <t xml:space="preserve">10.1109/ICSTW58534.2023.00015</t>
  </si>
  <si>
    <t xml:space="preserve">BV2PQ</t>
  </si>
  <si>
    <t xml:space="preserve">WOS:001009223100001</t>
  </si>
  <si>
    <t xml:space="preserve">Kebande, VR</t>
  </si>
  <si>
    <t xml:space="preserve">Kebande, Victor R.</t>
  </si>
  <si>
    <t xml:space="preserve">Extended-Chacha20 Stream Cipher With Enhanced Quarter Round Function</t>
  </si>
  <si>
    <t xml:space="preserve">Chacha20; Salsa20; stream cipher; Quater round function; EChacha20</t>
  </si>
  <si>
    <t xml:space="preserve">CONSTRUCTION; CHACHA; SALSA20; DESIGN; BOX</t>
  </si>
  <si>
    <t xml:space="preserve">Chacha20 is a widely-used stream cipher known for using permutation functions to enhance resistance against cryptanalysis. Although the existing literature highlights its strengths, it is worth further exploring its susceptibility to potential differential attacks. This paper proposes an Extended Chacha20 (EChacha20) stream cipher, which offers a slight improvement of Chacha20. It incorporates enhanced Quarter Round Functions QR-F with 32-bit input words and Add , Rotate , and XOR (ARX) operations on 16, 12, 8, 7, 4, and 2 constants. Using these improved QR - Fs , we expect EChacha20 to be more secure and effective against attacks than Chacha20. The threat model considers attacker assumptions based on Bellare-Rogaway Model (B-RM) and the Chosen Plaintext Attack (CPA) to assess the potential security weaknesses. Then the study analyzes the EChacha20 cipher using the NIST Statistical Test Suite (NSTS) and demonstrates its effectiveness against differential cryptanalysis. A differential attack is considered to address this challenge, where the study comprehensively analyses the differences between original and flipped bits. The NSTS has been used to analyze the outcome for uniformity statistically and to evaluate the randomness of generating sequences of tests with consideration of 1000 tests based on a range of [0, 1]. Uniformity is evaluated based on the p - values test against a battery of passing sequences and 100% is achieved from Runs and Serial (2) : Test 1 respectively.The performance evaluation metrics leveraged include encryption speed, decryption speed, and memory usage. Based on the test conducted, it has been observed that with increased QR - F , EChacha20 maintains a good balance in speed although slightly higher than Chacha20; however, with also slightly high memory usage compared to Chacha20. Despite that, a comparative study has been conducted against state-of-the-art studies, and the outcome has been reported to show the significance of the current study. Ultimately, the outcome indicates that the EChacha20 cipher has improved QR - F and security properties compared to Chacha20 and may provide a more robust encryption solution for various applications.</t>
  </si>
  <si>
    <t xml:space="preserve">[Kebande, Victor R.] Blekinge Inst Technol, Dept Comp Sci DIDA, Secure Distributed Syst SDS, S-37179 Karlsksrona, Sweden</t>
  </si>
  <si>
    <t xml:space="preserve">Kebande, VR (corresponding author), Blekinge Inst Technol, Dept Comp Sci DIDA, Secure Distributed Syst SDS, S-37179 Karlsksrona, Sweden.</t>
  </si>
  <si>
    <t xml:space="preserve">victor.kebande@bth.se</t>
  </si>
  <si>
    <t xml:space="preserve">R. Kebande, Victor/F-3934-2019</t>
  </si>
  <si>
    <t xml:space="preserve">R. Kebande, Victor/0000-0003-4071-4596</t>
  </si>
  <si>
    <t xml:space="preserve">Blekinge Institute of Technology, Sweden</t>
  </si>
  <si>
    <t xml:space="preserve">This work was supported by Blekinge Institute of Technology, Sweden, through Grant Funded Research.</t>
  </si>
  <si>
    <t xml:space="preserve">10.1109/ACCESS.2023.3324612</t>
  </si>
  <si>
    <t xml:space="preserve">W5NG3</t>
  </si>
  <si>
    <t xml:space="preserve">gold, Green Submitted</t>
  </si>
  <si>
    <t xml:space="preserve">WOS:001092086400001</t>
  </si>
  <si>
    <t xml:space="preserve">Persson, C</t>
  </si>
  <si>
    <t xml:space="preserve">Persson, Christer</t>
  </si>
  <si>
    <t xml:space="preserve">Perform or conform? Looking for the strategic in municipal spatial planning in Sweden</t>
  </si>
  <si>
    <t xml:space="preserve">EUROPEAN PLANNING STUDIES</t>
  </si>
  <si>
    <t xml:space="preserve">Strategic planning; comprehensive planning; performative planning; planning as control; generic planning</t>
  </si>
  <si>
    <t xml:space="preserve">In recent decades, various strategic approaches to spatial planning have been introduced and implemented in Sweden, although the planning system itself has not fundamentally changed. However, strategic spatial planning is not a fixed and regulated institutional practice in either planning in general or in the Swedish planning system. To investigate strategic planning practice in Sweden, 16 recently approved comprehensive plans were studied to elucidate how strategic planning is understood and conceptualized by planners and then expressed in a statutory planning instrument. Although there is no 'right theory' of strategic planning, to avoid an 'anything-goes' attitude towards strategic planning, the contents of the studied plans were set against an ideal, normative model compiled from the academic debate, thus researching practice in dialogue with theory. The results indicate that comprehensive plans, rather than being contextually embedded, follow generic models of environmental scanning and strategy making, and most visions reiterate common political goals and slogans found everywhere. The plans often become catalogues of detailed instructions that, although not legally binding, tend to steer practice into predefined paths framed by generic doctrines within the planning community, rather than being the flexible and open-minded planning instruments that academic ideals prescribe.</t>
  </si>
  <si>
    <t xml:space="preserve">[Persson, Christer] Blekinge Inst Technol, Dept Spatial Planning, SE-37179 Karlskrona, Sweden</t>
  </si>
  <si>
    <t xml:space="preserve">Persson, C (corresponding author), Blekinge Inst Technol, Dept Spatial Planning, SE-37179 Karlskrona, Sweden.</t>
  </si>
  <si>
    <t xml:space="preserve">christer.persson@bth.se</t>
  </si>
  <si>
    <t xml:space="preserve">ROUTLEDGE JOURNALS, TAYLOR &amp; FRANCIS LTD</t>
  </si>
  <si>
    <t xml:space="preserve">ABINGDON</t>
  </si>
  <si>
    <t xml:space="preserve">2-4 PARK SQUARE, MILTON PARK, ABINGDON OX14 4RN, OXON, ENGLAND</t>
  </si>
  <si>
    <t xml:space="preserve">0965-4313</t>
  </si>
  <si>
    <t xml:space="preserve">1469-5944</t>
  </si>
  <si>
    <t xml:space="preserve">EUR PLAN STUD</t>
  </si>
  <si>
    <t xml:space="preserve">Eur. Plan. Stud.</t>
  </si>
  <si>
    <t xml:space="preserve">10.1080/09654313.2019.1614150</t>
  </si>
  <si>
    <t xml:space="preserve">Environmental Studies; Geography; Regional &amp; Urban Planning; Urban Studies</t>
  </si>
  <si>
    <t xml:space="preserve">Environmental Sciences &amp; Ecology; Geography; Public Administration; Urban Studies</t>
  </si>
  <si>
    <t xml:space="preserve">QI2SO</t>
  </si>
  <si>
    <t xml:space="preserve">WOS:000618826500007</t>
  </si>
  <si>
    <t xml:space="preserve">Yan, Z; Larsson, T</t>
  </si>
  <si>
    <t xml:space="preserve">Marcus, A; Rosenzweig, E; Soares, MM</t>
  </si>
  <si>
    <t xml:space="preserve">Yan, Zhang; Larsson, Tobias</t>
  </si>
  <si>
    <t xml:space="preserve">Exploration of the Digital Twin for Prototyping the Product-Service System Design in a Bus Manufacturing Company</t>
  </si>
  <si>
    <t xml:space="preserve">DESIGN, USER EXPERIENCE, AND USABILITY, DUXU 2024, PT V</t>
  </si>
  <si>
    <t xml:space="preserve">13th International Conference on Design, User Experience and Usability (DUXU)</t>
  </si>
  <si>
    <t xml:space="preserve">JUN 29-JUL 04, 2024</t>
  </si>
  <si>
    <t xml:space="preserve">Washington, DC</t>
  </si>
  <si>
    <t xml:space="preserve">Digital Twin (DT); Prototyping; Product Service System (PSS); Service scenario; Tour bus</t>
  </si>
  <si>
    <t xml:space="preserve">FRAMEWORK</t>
  </si>
  <si>
    <t xml:space="preserve">When bus manufacturing companies move forward in their servitization journey for providing service solutions for tourism industry, there is an increasing need to exploit the prototype way to support the realization of design solutions in the early stages of the Product Service System (PSS) design. Digital twin, a new emerging and fast growing technology which connects the physical and virtual world, has attracted much attention worldwide recently. This paper presents a new method for PSS design based on the digital twin approach. The development of product design is briefly introduced first. The framework of digital twin approach is then proposed and analysed. The main work in this research work is how to trade off the 'realism' of the design output of the virtual concept. A case is presented to illustrate the application of the proposed DT approach for product prototyping. Verification activities performed the case in a virtual simulation environment prototype the design concepts in the tourism industry.</t>
  </si>
  <si>
    <t xml:space="preserve">[Yan, Zhang; Larsson, Tobias] Blekinge Inst Technol, Karlskrona, Sweden</t>
  </si>
  <si>
    <t xml:space="preserve">Larsson, T (corresponding author), Blekinge Inst Technol, Karlskrona, Sweden.</t>
  </si>
  <si>
    <t xml:space="preserve">zhang.yan@bth.se; tobias.larsson@bt.se</t>
  </si>
  <si>
    <t xml:space="preserve">Larsson, Tobias/A-6795-2008</t>
  </si>
  <si>
    <t xml:space="preserve">Larsson, Tobias/0000-0002-9662-4576; Zhang, Yan/0000-0003-3711-264X</t>
  </si>
  <si>
    <t xml:space="preserve">VINNOVA; KKS; BIGSimulo</t>
  </si>
  <si>
    <t xml:space="preserve">VINNOVA(Vinnova); KKS; BIGSimulo</t>
  </si>
  <si>
    <t xml:space="preserve">The research has also received financial support from KKS, VINNOVA, BIGSimulo.</t>
  </si>
  <si>
    <t xml:space="preserve">978-3-031-61361-6; 978-3-031-61362-3</t>
  </si>
  <si>
    <t xml:space="preserve">10.1007/978-3-031-61362-3_28</t>
  </si>
  <si>
    <t xml:space="preserve">Computer Science, Cybernetics; Computer Science, Interdisciplinary Applications; Computer Science, Software Engineering; Ergonomics</t>
  </si>
  <si>
    <t xml:space="preserve">Conference Proceedings Citation Index - Science (CPCI-S); Conference Proceedings Citation Index - Social Science &amp; Humanities (CPCI-SSH)</t>
  </si>
  <si>
    <t xml:space="preserve">Computer Science; Engineering</t>
  </si>
  <si>
    <t xml:space="preserve">BX3DZ</t>
  </si>
  <si>
    <t xml:space="preserve">WOS:001275716600028</t>
  </si>
  <si>
    <t xml:space="preserve">Rameez, M; Pettersson, M; Dahl, M</t>
  </si>
  <si>
    <t xml:space="preserve">Rameez, Muhammad; Pettersson, Mats, I; Dahl, Mattias</t>
  </si>
  <si>
    <t xml:space="preserve">Interference Compression and Mitigation for Automotive FMCW Radar Systems</t>
  </si>
  <si>
    <t xml:space="preserve">IEEE SENSORS JOURNAL</t>
  </si>
  <si>
    <t xml:space="preserve">Interference; Radar; Chirp; Sensors; Time-domain analysis; Time-frequency analysis; Radar detection; Automotive radar; interference cancellation; millimeter wave (mm-wave) radar; pulse compression; radar signal processing; signal reconstruction</t>
  </si>
  <si>
    <t xml:space="preserve">MUTUAL INTERFERENCE; TIME-SERIES</t>
  </si>
  <si>
    <t xml:space="preserve">Millimeter-wave (mm-wave) frequency-modu- lated continuous wave (FMCW) radars are increasingly being deployed for scenario perception in various applications. It is expected that the mutual interference between such radars will soon become a significant problem. Therefore, to maintain the reliability of the radar measurements, there must be procedures in place to mitigate this interference. This article proposes a novel interference mitigation technique that utilizes the pulse compression principle for interference compression and mitigation. The interference in the received time-domain signal is compressed using an estimated matched filter. Afterward, the compressed interference is discarded, and the signal is repaired in the pulse-compressed domain using an autoregressive (AR) model. Since the interference spans fewer samples after compression, the signal can be restored more accurately in the compressed domain. Real outdoor measurements show that the interference is effectively suppressed down to the noise floor using the proposed scheme. A signal to interference and noise ratio (SINR) gain of approximately 14 dB was achieved in the experimental data, supporting this study. Moreover, the results indicate that this method is also applicable to situations where multiple interference sources are present.</t>
  </si>
  <si>
    <t xml:space="preserve">[Rameez, Muhammad; Pettersson, Mats, I; Dahl, Mattias] Blekinge Inst Technol, Dept Math &amp; Natl Sci, S-37141 Karlskrona, Sweden</t>
  </si>
  <si>
    <t xml:space="preserve">Rameez, M (corresponding author), Blekinge Inst Technol, Dept Math &amp; Natl Sci, S-37141 Karlskrona, Sweden.</t>
  </si>
  <si>
    <t xml:space="preserve">muhammad.rameez@bth.se; mattias.dahl@bth.se</t>
  </si>
  <si>
    <t xml:space="preserve">Dahl, Mattias/AAE-8091-2022; Rameez, Muhammad/ABC-1347-2020; Pettersson, Mats/N-1063-2016</t>
  </si>
  <si>
    <t xml:space="preserve">Dahl, Mattias/0000-0003-3707-2780; Pettersson, Mats/0000-0002-6643-312X; Rameez, Muhammad/0000-0002-7464-5704</t>
  </si>
  <si>
    <t xml:space="preserve">Netport Science Park; Municipality of Karlshamn</t>
  </si>
  <si>
    <t xml:space="preserve">This work was supported in part by the Netport Science Park and in part by the Municipality of Karlshamn.</t>
  </si>
  <si>
    <t xml:space="preserve">1530-437X</t>
  </si>
  <si>
    <t xml:space="preserve">1558-1748</t>
  </si>
  <si>
    <t xml:space="preserve">IEEE SENS J</t>
  </si>
  <si>
    <t xml:space="preserve">IEEE Sens. J.</t>
  </si>
  <si>
    <t xml:space="preserve">OCT 15</t>
  </si>
  <si>
    <t xml:space="preserve">10.1109/JSEN.2022.3204505</t>
  </si>
  <si>
    <t xml:space="preserve">Engineering, Electrical &amp; Electronic; Instruments &amp; Instrumentation; Physics, Applied</t>
  </si>
  <si>
    <t xml:space="preserve">Engineering; Instruments &amp; Instrumentation; Physics</t>
  </si>
  <si>
    <t xml:space="preserve">5L3UZ</t>
  </si>
  <si>
    <t xml:space="preserve">Green Published, Green Submitted, hybrid</t>
  </si>
  <si>
    <t xml:space="preserve">WOS:000870341900066</t>
  </si>
  <si>
    <t xml:space="preserve">Sundstedt, V; Garro, V</t>
  </si>
  <si>
    <t xml:space="preserve">Sundstedt, Veronica; Garro, Valeria</t>
  </si>
  <si>
    <t xml:space="preserve">A Systematic Review of Visualization Techniques and Analysis Tools for Eye-Tracking in 3D Environments</t>
  </si>
  <si>
    <t xml:space="preserve">FRONTIERS IN NEUROERGONOMICS</t>
  </si>
  <si>
    <t xml:space="preserve">3D visualization; eye tracking; gaze; visual attention; virtual environments; systematic literature review</t>
  </si>
  <si>
    <t xml:space="preserve">VISUAL-ATTENTION; GAZE; MOVEMENTS</t>
  </si>
  <si>
    <t xml:space="preserve">This systematic literature review presents an update on developments in 3D visualization techniques and analysis tools for eye movement data in 3D environments. With the introduction of affordable and non-intrusive eye-tracking solutions to the mass market, access to users' gaze is now increasingly possible. As a result, the adoption of eye-tracking in virtual environments using head-mounted displays is expected to increase since the trend is to incorporate gaze tracking as part of new technical solutions. The systematic literature review presented in this paper was conducted using the Scopus database (using the period 2017 to 17th of May 2022), which after analysis, resulted in the inclusion of 15 recent publications with relevance in eye-tracking visualization techniques for 3D virtual scenes. First, this paper briefly describes the foundations of eye-tracking and traditional 2D visualization techniques. As background, we also list earlier 3D eye-tracking visualization techniques identified in a previous review. Next, the systematic literature review presents the method used to acquire the included papers and a description of these in terms of eye-tracking technology, observed stimuli, application context, and type of 3D gaze visualization techniques. We then discuss the overall findings, including opportunities, challenges, trends, and present ideas for future directions. Overall the results show that eye-tracking in immersive virtual environments is on the rise and that more research and developments are needed to create novel and improved technical solutions for 3D gaze analysis.</t>
  </si>
  <si>
    <t xml:space="preserve">[Sundstedt, Veronica; Garro, Valeria] Blekinge Inst Technol, Dept Comp Sci, Karlskrona, Sweden</t>
  </si>
  <si>
    <t xml:space="preserve">Sundstedt, V (corresponding author), Blekinge Inst Technol, Dept Comp Sci, Karlskrona, Sweden.</t>
  </si>
  <si>
    <t xml:space="preserve">veronica.sundstedt@bth.se</t>
  </si>
  <si>
    <t xml:space="preserve">Sundstedt, Veronica/IAP-9305-2023</t>
  </si>
  <si>
    <t xml:space="preserve">Stiftelsen fr Kunskaps- och Kompetensutveckling10.13039/501100003170</t>
  </si>
  <si>
    <t xml:space="preserve">We would like to dedicate this work to our colleague and friend Francisco Lopez Luro who recently passed away. Francisco researched in the area of human visual perception, computer graphics, 3D visualization, and eye-tracking. He contributed to initial discussions and the overall direction of this work.</t>
  </si>
  <si>
    <t xml:space="preserve">2673-6195</t>
  </si>
  <si>
    <t xml:space="preserve">FRONT NEUROERGONOM</t>
  </si>
  <si>
    <t xml:space="preserve">Front. Neuroergon.</t>
  </si>
  <si>
    <t xml:space="preserve">JUL 13</t>
  </si>
  <si>
    <t xml:space="preserve">10.3389/fnrgo.2022.910019</t>
  </si>
  <si>
    <t xml:space="preserve">Ergonomics; Neurosciences</t>
  </si>
  <si>
    <t xml:space="preserve">Engineering; Neurosciences &amp; Neurology</t>
  </si>
  <si>
    <t xml:space="preserve">Y7FR3</t>
  </si>
  <si>
    <t xml:space="preserve">WOS:001106887100001</t>
  </si>
  <si>
    <t xml:space="preserve">bin Ali, N; Tanveer, B</t>
  </si>
  <si>
    <t xml:space="preserve">bin Ali, Nauman; Tanveer, Binish</t>
  </si>
  <si>
    <t xml:space="preserve">A Comparison of Citation Sources for Reference and Citation-Based Search in Systematic Literature Reviews</t>
  </si>
  <si>
    <t xml:space="preserve">Snowball sampling; snowballing; reference-based; citation-based; search strategy; systematic review; systematic mapping</t>
  </si>
  <si>
    <t xml:space="preserve">GOOGLE SCHOLAR; SCIENCE; WEB; RELIABILITY; INFORMATION</t>
  </si>
  <si>
    <t xml:space="preserve">Context: In software engineering, snowball sampling has been used as a supplementary and primary search strategy. The current guidelines recommend using Google Scholar (GS) for snowball sampling. However, the use of GS presents several challenges when using it as a source for citations and references. Objective: To compare the effectiveness and usefulness of two leading citation databases (GS and Scopus) for use in snowball sampling search. Method: We relied on a published study that has used snowball sampling as a search strategy and GS as the citation source. We used its primary studies to compute precision and recall for Scopus. Results: In this particular case, Scopus was highly effective with 95% recall and had better precision of 5.1% compared to GS's 2.8%. Moreover, Scopus found nine additional relevant papers. On average, one would read approximately 15 extra papers in GS than Scopus to identify one additional relevant paper. Furthermore, Scopus supports batch downloading of both citations and papers' references, has better quality metadata, and does better source filtering. Conclusion: This study suggests that Scopus seems to be more effective and useful for snowball sampling than GS for systematic secondary studies attempting to identify peer-reviewed literature.</t>
  </si>
  <si>
    <t xml:space="preserve">[bin Ali, Nauman; Tanveer, Binish] Blekinge Inst Technol, Karlskrona, Sweden</t>
  </si>
  <si>
    <t xml:space="preserve">bin Ali, N (corresponding author), Blekinge Inst Technol, Karlskrona, Sweden.</t>
  </si>
  <si>
    <t xml:space="preserve">nauman.ali@bth.se; binish.tanveer@bth.se</t>
  </si>
  <si>
    <t xml:space="preserve">ELLIIT, a Strategic Area within IT and Mobile Communications - Swedish Government; VITS project [20180127]; SERT project from the Knowledge Foundation in Sweden</t>
  </si>
  <si>
    <t xml:space="preserve">ELLIIT, a Strategic Area within IT and Mobile Communications - Swedish Government; VITS project; SERT project from the Knowledge Foundation in Sweden</t>
  </si>
  <si>
    <t xml:space="preserve">This work has been supported by ELLIIT, a Strategic Area within IT and Mobile Communications, funded by the Swedish Government and by research grants for the VITS project (reference number 20180127) and the SERT project from the Knowledge Foundation in Sweden.</t>
  </si>
  <si>
    <t xml:space="preserve">10.37190/e-Inf220106</t>
  </si>
  <si>
    <t xml:space="preserve">CP6E3</t>
  </si>
  <si>
    <t xml:space="preserve">WOS:001126480300001</t>
  </si>
  <si>
    <t xml:space="preserve">Elwardy, M; Zepernick, HJ; Chu, TMC</t>
  </si>
  <si>
    <t xml:space="preserve">Elwardy, Majed; Zepernick, Hans-Jurgen; Thi My Chinh Chu</t>
  </si>
  <si>
    <t xml:space="preserve">On the Number of Subjects Needed for 360° Video Quality Experiments: An SOS Based Analysis</t>
  </si>
  <si>
    <t xml:space="preserve">2022 14TH INTERNATIONAL CONFERENCE ON QUALITY OF MULTIMEDIA EXPERIENCE, QOMEX</t>
  </si>
  <si>
    <t xml:space="preserve">International Workshop on Quality of Multimedia Experience</t>
  </si>
  <si>
    <t xml:space="preserve">14th International Conference on Quality of Multimedia Experience (QoMEX)</t>
  </si>
  <si>
    <t xml:space="preserve">SEP 05-07, 2022</t>
  </si>
  <si>
    <t xml:space="preserve">Lippstadt, GERMANY</t>
  </si>
  <si>
    <t xml:space="preserve">Subjective 360 degrees video quality experiments provide the ground truth for developing related systems such that acceptable quality of experience is offered to the users. To obtain statistically meaningful insights from the data recorded in quality experiments, engaging a sufficiently large number of subjects is essential. In contrast to conventional videos, little has been reported on statistical measures that may guide the choice of the number of subjects required for 360 degrees video quality experiments. In this paper, the standard deviation of opinion score (SOS) hypothesis, measuring the diversity among the opinion scores given by a panel of subjects, is used to reveal the number of subjects needed. It is shown that the number of subjects needed varies depending on a threshold on SOS characteristics in terms of diversity among opinion scores.</t>
  </si>
  <si>
    <t xml:space="preserve">[Elwardy, Majed; Zepernick, Hans-Jurgen; Thi My Chinh Chu] Blekinge Inst Technol, SE-37179 Karlskrona, Sweden</t>
  </si>
  <si>
    <t xml:space="preserve">majed.elwardy@bth.se; hans-jurgen.zepernick@bth.se; thi.my.chinh.chu@bth.se</t>
  </si>
  <si>
    <t xml:space="preserve">Elwardy, Majed/AFH-8599-2022; Zepernick, Hans-Jürgen/AFJ-2429-2022</t>
  </si>
  <si>
    <t xml:space="preserve">Knowledge Foundation, Sweden, through the ViaTecH project [20170056]</t>
  </si>
  <si>
    <t xml:space="preserve">Knowledge Foundation, Sweden, through the ViaTecH project</t>
  </si>
  <si>
    <t xml:space="preserve">This work was supported by the Knowledge Foundation, Sweden, through the ViaTecH project (Contract 20170056).</t>
  </si>
  <si>
    <t xml:space="preserve">2372-7179</t>
  </si>
  <si>
    <t xml:space="preserve">2472-7814</t>
  </si>
  <si>
    <t xml:space="preserve">978-1-6654-8794-8</t>
  </si>
  <si>
    <t xml:space="preserve">INT WORK QUAL MULTIM</t>
  </si>
  <si>
    <t xml:space="preserve">10.1109/QOMEX55416.2022.9900890</t>
  </si>
  <si>
    <t xml:space="preserve">Computer Science, Interdisciplinary Applications; Computer Science, Software Engineering; Imaging Science &amp; Photographic Technology</t>
  </si>
  <si>
    <t xml:space="preserve">Computer Science; Imaging Science &amp; Photographic Technology</t>
  </si>
  <si>
    <t xml:space="preserve">BX6GN</t>
  </si>
  <si>
    <t xml:space="preserve">WOS:001308684500016</t>
  </si>
  <si>
    <t xml:space="preserve">Lindberg, T; Sandström, B; Andersson, EK; Borg, C; Hjelm, M; Nilsson, L; Olsson, A; Skär, L</t>
  </si>
  <si>
    <t xml:space="preserve">Lindberg, Terese; Sandstrom, Boel; Andersson, Ewa K.; Borg, Christel; Hjelm, Markus; Nilsson, Lina; Olsson, Anki; Skar, Lisa</t>
  </si>
  <si>
    <t xml:space="preserve">Older persons' experience of eHealth services in home health care: A meta-ethnography eHealth services in home health care</t>
  </si>
  <si>
    <t xml:space="preserve">HEALTH INFORMATICS JOURNAL</t>
  </si>
  <si>
    <t xml:space="preserve">eHealth; experiences; home health care; older persons</t>
  </si>
  <si>
    <t xml:space="preserve">ADULTS</t>
  </si>
  <si>
    <t xml:space="preserve">This study aimed to describe older persons' experiences of eHealth services in home health care. A meta-ethnographic approach was applied, and a systematic literature search was conducted in three databases. In total, 11 articles were included and analysed, which resulted in two themes and six sub-themes. The results show that for older persons to use the eHealth services, they must provide some additional value compared to current contacts with healthcare professionals. Those with regular healthcare contact do not experience the eHealth service as adding anything to the care they already receive. The introduction of eHealth services involves learning how to use the new technology, and some older persons experience the technology as motivating and inspiring. The eHealth service makes some feel safer while some do not trust the technology. In order to make the best use of eHealth services, it is important that the services are adjusted not only to each person's needs but also to their personal capabilities and resources, while the older person must feel valued as an active partner in the care process. Thus, when using eHealth services, the older person's perspective needs to be given priority and decisions should not only be based on organizational considerations.</t>
  </si>
  <si>
    <t xml:space="preserve">[Lindberg, Terese; Sandstrom, Boel; Andersson, Ewa K.; Borg, Christel; Hjelm, Markus; Nilsson, Lina; Olsson, Anki; Skar, Lisa] Blekinge Inst Technol, Karlskrona, Sweden</t>
  </si>
  <si>
    <t xml:space="preserve">Lindberg, T (corresponding author), Blekinge Inst Technol, Dept Hlth, S-37179 Karlskrona, Sweden.</t>
  </si>
  <si>
    <t xml:space="preserve">terese.lindberg@bth.se</t>
  </si>
  <si>
    <t xml:space="preserve">Andersson, Ewa K/0000-0002-4282-8901</t>
  </si>
  <si>
    <t xml:space="preserve">SAGE PUBLICATIONS INC</t>
  </si>
  <si>
    <t xml:space="preserve">THOUSAND OAKS</t>
  </si>
  <si>
    <t xml:space="preserve">2455 TELLER RD, THOUSAND OAKS, CA 91320 USA</t>
  </si>
  <si>
    <t xml:space="preserve">1460-4582</t>
  </si>
  <si>
    <t xml:space="preserve">1741-2811</t>
  </si>
  <si>
    <t xml:space="preserve">HEALTH INFORM J</t>
  </si>
  <si>
    <t xml:space="preserve">Health Inform. J.</t>
  </si>
  <si>
    <t xml:space="preserve">OCT</t>
  </si>
  <si>
    <t xml:space="preserve">10.1177/14604582211059370</t>
  </si>
  <si>
    <t xml:space="preserve">ZG3FJ</t>
  </si>
  <si>
    <t xml:space="preserve">WOS:000760144200001</t>
  </si>
  <si>
    <t xml:space="preserve">Vu, VT; Pettersson, M</t>
  </si>
  <si>
    <t xml:space="preserve">Sidelobe Control for Bistatic SAR Imaging</t>
  </si>
  <si>
    <t xml:space="preserve">omega - k; apodization; bistatic; resolution; sidelobe; synthetic aperture radar (SAR)</t>
  </si>
  <si>
    <t xml:space="preserve">This letter presents coherent and incoherent nonlinear apodization methods for bistatic synthetic aperture radar (SAR) imaging. The methods are developed on the principle of nonlinear apodization for monostatic SAR imaging and omega - k relationship representing the histatic region of support. This relationship plays an important role in designing 2-D windows for the apodization methods. The simulation results show that the presented apodization methods work efficiently with bistatic SAR imaging. In the experiment with a coherent dual apodization (CDA) method presented in this letter, the sidelobe attenuates very fast, and the peak sidelobe is reduced about 16 dB, while the resolutions in azimuth and range are maintained.</t>
  </si>
  <si>
    <t xml:space="preserve">10.1109/LGRS.2021.3099174</t>
  </si>
  <si>
    <t xml:space="preserve">JUL 2021</t>
  </si>
  <si>
    <t xml:space="preserve">XW4AV</t>
  </si>
  <si>
    <t xml:space="preserve">hybrid, Green Submitted</t>
  </si>
  <si>
    <t xml:space="preserve">WOS:000733521800001</t>
  </si>
  <si>
    <t xml:space="preserve">Tran, HKV; Unterkalmsteiner, M; Börstler, J; bin Ali, N</t>
  </si>
  <si>
    <t xml:space="preserve">Huynh Khanh Vi Tran; Unterkalmsteiner, Michael; Borstler, Jurgen; bin Ali, Nauman</t>
  </si>
  <si>
    <t xml:space="preserve">Assessing test artifact quality-A tertiary study</t>
  </si>
  <si>
    <t xml:space="preserve">INFORMATION AND SOFTWARE TECHNOLOGY</t>
  </si>
  <si>
    <t xml:space="preserve">Software testing; Test case quality; Test suite quality; Test artifact quality; Quality assurance</t>
  </si>
  <si>
    <t xml:space="preserve">SYSTEMATIC LITERATURE-REVIEWS; SOFTWARE TEST-CODE; TAXONOMY; PRIORITIZATION; ONTOLOGY; DELIVERY; INDUSTRY; SMELLS; TOOLS</t>
  </si>
  <si>
    <t xml:space="preserve">Context: Modern software development increasingly relies on software testing for an ever more frequent delivery of high quality software. This puts high demands on the quality of the central artifacts in software testing, test suites and test cases. Objective: We aim to develop a comprehensive model for capturing the dimensions of test case/suite quality, which are relevant for a variety of perspectives. Methods: We have carried out a systematic literature review to identify and analyze existing secondary studies on quality aspects of software testing artifacts. Results: We identified 49 relevant secondary studies. Of these 49 studies, less than half did some form of quality appraisal of the included primary studies and only 3 took into account the quality of the primary study when synthesizing the results. We present an aggregation of the context dimensions and factors that can be used to characterize the environment in which the test case/suite quality is investigated. We also provide a comprehensive model of test case/suite quality with definitions for the quality attributes and measurements based on findings in the literature and ISO/IEC 25010:2011. Conclusion: The test artifact quality model presented in the paper can be used to support test artifact quality assessment and improvement initiatives in practice. Furthermore, the model can also be used as a framework for documenting context characteristics to make research results more accessible for research and practice.</t>
  </si>
  <si>
    <t xml:space="preserve">[Huynh Khanh Vi Tran; Unterkalmsteiner, Michael; Borstler, Jurgen; bin Ali, Nauman] Blekinge Inst Technol, Dept Software Engn, S-37179 Karlskrona, Sweden</t>
  </si>
  <si>
    <t xml:space="preserve">Tran, HKV (corresponding author), Blekinge Inst Technol, Dept Software Engn, S-37179 Karlskrona, Sweden.</t>
  </si>
  <si>
    <t xml:space="preserve">huynh.khanh.vi.tran@bth.se; michael.unterkalmsteiner@bth.se; jurgen.borstler@bth.se; nauman.ali@bth.se</t>
  </si>
  <si>
    <t xml:space="preserve">Börstler, Jürgen/IWE-4001-2023; Ali, Nauman bin/J-4293-2015</t>
  </si>
  <si>
    <t xml:space="preserve">Borstler, Jurgen/0000-0003-0639-4234; Ali, Nauman bin/0000-0001-7266-5632</t>
  </si>
  <si>
    <t xml:space="preserve">0950-5849</t>
  </si>
  <si>
    <t xml:space="preserve">1873-6025</t>
  </si>
  <si>
    <t xml:space="preserve">INFORM SOFTWARE TECH</t>
  </si>
  <si>
    <t xml:space="preserve">Inf. Softw. Technol.</t>
  </si>
  <si>
    <t xml:space="preserve">NOV</t>
  </si>
  <si>
    <t xml:space="preserve">10.1016/j.infsof.2021.106620</t>
  </si>
  <si>
    <t xml:space="preserve">JUN 2021</t>
  </si>
  <si>
    <t xml:space="preserve">Computer Science, Information Systems; Computer Science, Software Engineering</t>
  </si>
  <si>
    <t xml:space="preserve">US8LY</t>
  </si>
  <si>
    <t xml:space="preserve">hybrid, Green Published, Green Submitted</t>
  </si>
  <si>
    <t xml:space="preserve">WOS:000697678300012</t>
  </si>
  <si>
    <t xml:space="preserve">Javadi, S; Dahl, M; Pettersson, MI</t>
  </si>
  <si>
    <t xml:space="preserve">Javadi, Saleh; Dahl, Mattias; Pettersson, Mats I.</t>
  </si>
  <si>
    <t xml:space="preserve">Vehicle Detection in Aerial Images Based on 3D Depth Maps and Deep Neural Networks</t>
  </si>
  <si>
    <t xml:space="preserve">Convolutional neural networks; 3D depth maps; object detection; aerial images</t>
  </si>
  <si>
    <t xml:space="preserve">Object detection in aerial images, particularly of vehicles, is highly important in remote sensing applications including traffic management, urban planning, parking space utilization, surveillance, and search and rescue. In this article, we investigate the ability of three-dimensional (3D) feature maps to improve the performance of deep neural network (DNN) for vehicle detection. First, we propose a DNN based on YOLOv3 with various base networks, including DarkNet-53, SqueezeNet, MobileNet-v2, and DenseNet-201. We assessed the base networks and their performance in combination with YOLOv3 on efficiency, processing time, and the memory that each architecture required. In the second part, 3D depth maps were generated using pairs of aerial images and their parallax displacement. Next, a fully connected neural network (fcNN) was trained on 3D feature maps of trucks, semi-trailers and trailers. A cascade of these networks was then proposed to detect vehicles in aerial images. Upon the DNN detecting a region, coordinates and confidence levels were used to extract the corresponding 3D features. The fcNN used 3D features as the input to improve the DNN performance. The data set used in this work was acquired from numerous flights of an unmanned aerial vehicle (UAV) across two industrial harbors over two years. The experimental results show that 3D features improved the precision of DNNs from 88.23 % to 96.43 % and from 97.10 % to 100 % when using DNN confidence thresholds of 0.01 and 0.05, respectively. Accordingly, the proposed system was able to successfully remove 72.22 % to 100 % of false positives from the DNN outputs. These results indicate the importance of 3D features utilization to improve object detection in aerial images for future research.</t>
  </si>
  <si>
    <t xml:space="preserve">[Javadi, Saleh] Blekinge Inst Technol BTH, Dept Math &amp; Nat Sci, S-37435 Karlshamn, Sweden; [Dahl, Mattias; Pettersson, Mats I.] Blekinge Inst Technol BTH, Dept Math &amp; Nat Sci, S-37179 Karlskrona, Sweden</t>
  </si>
  <si>
    <t xml:space="preserve">Javadi, S (corresponding author), Blekinge Inst Technol BTH, Dept Math &amp; Nat Sci, S-37435 Karlshamn, Sweden.</t>
  </si>
  <si>
    <t xml:space="preserve">saleh.javadi@bth.se</t>
  </si>
  <si>
    <t xml:space="preserve">Dahl, Mattias/AAE-8091-2022; Javadi, Saleh/JDW-1296-2023; Pettersson, Mats/N-1063-2016</t>
  </si>
  <si>
    <t xml:space="preserve">Javadi, Saleh/0000-0002-6834-5676; Dahl, Mattias/0000-0003-3707-2780; Pettersson, Mats/0000-0002-6643-312X</t>
  </si>
  <si>
    <t xml:space="preserve">Municipality of Karlshamn, Sweden</t>
  </si>
  <si>
    <t xml:space="preserve">This work was supported by the Municipality of Karlshamn, Sweden.</t>
  </si>
  <si>
    <t xml:space="preserve">10.1109/ACCESS.2021.3049741</t>
  </si>
  <si>
    <t xml:space="preserve">PS8WZ</t>
  </si>
  <si>
    <t xml:space="preserve">WOS:000608205500001</t>
  </si>
  <si>
    <t xml:space="preserve">Silvanius, M; Frånberg, O</t>
  </si>
  <si>
    <t xml:space="preserve">Silvanius, Marten; Franberg, Oskar</t>
  </si>
  <si>
    <t xml:space="preserve">Permeability properties of a pressure induced compacted polymer liner in gas cylinder</t>
  </si>
  <si>
    <t xml:space="preserve">JOURNAL OF APPLIED POLYMER SCIENCE</t>
  </si>
  <si>
    <t xml:space="preserve">composites; copolymers; theory and modeling; thermoplastics</t>
  </si>
  <si>
    <t xml:space="preserve">MEMBRANE</t>
  </si>
  <si>
    <t xml:space="preserve">The permeability properties of composite gas cylinders for breathing gas with polymer inner-liner are investigated. The cylinder wall can be described as a composite membrane consisting of two layers. The permeability properties of the cylinder are presented as permeability coefficient and permselectivity. Deviation from the expected gas components might lead to incidents and potentially harmful situations when breathing gas from a compressed gas cylinder. Hence, gas permeability and potential changes in gas composition, must be considered when choosing cylinder materials. Cases of decompression sickness initiated this study. Experimental data show that pressure and oxygen fraction in the gas cylinder drops and that the permeability coefficient varies depending on the inner pressure. Permeability coefficients of 0.62-0.90 Barrer for oxygen and 0.44-0.56 Barrer for nitrogen are measured. Cracks in the inner-liner have caused an accentuated drop in of oxygen fraction and pressure.</t>
  </si>
  <si>
    <t xml:space="preserve">[Silvanius, Marten; Franberg, Oskar] Blekinge Inst Technol, Dept Math &amp; Nat Sci, Karlskrona, Sweden</t>
  </si>
  <si>
    <t xml:space="preserve">Silvanius, M (corresponding author), Blekinge Inst Technol, Valhallavagen 1, S-37141 Karlskrona, Sweden.</t>
  </si>
  <si>
    <t xml:space="preserve">mzs@bth.se</t>
  </si>
  <si>
    <t xml:space="preserve">Franberg, Oskar/KHU-8967-2024; Silvanius, Mårten/JEF-1281-2023</t>
  </si>
  <si>
    <t xml:space="preserve">Silvanius, Marten/0000-0002-4629-6324; Franberg, Oskar/0000-0001-7051-3256</t>
  </si>
  <si>
    <t xml:space="preserve">0021-8995</t>
  </si>
  <si>
    <t xml:space="preserve">1097-4628</t>
  </si>
  <si>
    <t xml:space="preserve">J APPL POLYM SCI</t>
  </si>
  <si>
    <t xml:space="preserve">J. Appl. Polym. Sci.</t>
  </si>
  <si>
    <t xml:space="preserve">MAY 10</t>
  </si>
  <si>
    <t xml:space="preserve">e50335</t>
  </si>
  <si>
    <t xml:space="preserve">10.1002/app.50335</t>
  </si>
  <si>
    <t xml:space="preserve">Polymer Science</t>
  </si>
  <si>
    <t xml:space="preserve">QK2XN</t>
  </si>
  <si>
    <t xml:space="preserve">WOS:000593037300001</t>
  </si>
  <si>
    <t xml:space="preserve">Villamil, C; Hallstedt, S</t>
  </si>
  <si>
    <t xml:space="preserve">Villamil, Carolina; Hallstedt, Sophie</t>
  </si>
  <si>
    <t xml:space="preserve">Sustainabilty integration in product portfolio for sustainable development: Findings from the industry</t>
  </si>
  <si>
    <t xml:space="preserve">BUSINESS STRATEGY AND THE ENVIRONMENT</t>
  </si>
  <si>
    <t xml:space="preserve">portfolio evaluation criteria; product portfolio; strategic plan; strategic sustainability; sustainability product portfolio; sustainable product development</t>
  </si>
  <si>
    <t xml:space="preserve">SUPPLY CHAIN; MANAGEMENT; INNOVATION; METHODOLOGY; STRATEGIES; FRAMEWORK; SELECTION; IDEATION; SYSTEMS; ROLES</t>
  </si>
  <si>
    <t xml:space="preserve">Many companies decide which services, products, and technologies to include in their product portfolio using evaluation criteria, which often consider cost, quality, risk, revenue, time, and market position. Incorporating sustainability in the portfolio evaluation criteria could ensure the development of sustainable solutions from the early stages of the product development process, where there is more room for innovation. The aim of this paper is to understand how sustainability can be integrated in the company portfolio development. Semi-structured interviews were performed with experts in the field and representatives from multinational manufacturing companies with operations in Sweden. Main findings from this study include a proposed definition of a sustainability product portfolio concept and suggested portfolio evaluation criteria from an industry perspective. Future research will develop a method to guide manufacturing companies in sustainability integration and implementation in product portfolios.</t>
  </si>
  <si>
    <t xml:space="preserve">[Villamil, Carolina; Hallstedt, Sophie] Blekinge Inst Technol, Valhallavagen 1, S-37141 Karlskrona, Sweden</t>
  </si>
  <si>
    <t xml:space="preserve">Villamil, C (corresponding author), Blekinge Inst Technol, Valhallavagen 1, S-37141 Karlskrona, Sweden.</t>
  </si>
  <si>
    <t xml:space="preserve">dcv@bth.se</t>
  </si>
  <si>
    <t xml:space="preserve">Villamil, Carolina/0000-0003-2015-3349; I. Hallstedt, Sophie/0000-0002-7382-1825</t>
  </si>
  <si>
    <t xml:space="preserve">Knowledge foundation Sweden [20180159]; VINNOVA Sweden [2018-00361]; Swedish Research Council [2018-00361] Funding Source: Swedish Research Council; Vinnova [2018-00361] Funding Source: Vinnova</t>
  </si>
  <si>
    <t xml:space="preserve">Knowledge foundation Sweden; VINNOVA Sweden(Vinnova); Swedish Research Council(Swedish Research Council); Vinnova(Vinnova)</t>
  </si>
  <si>
    <t xml:space="preserve">Knowledge foundation Sweden, Grant/Award Number: 20180159; VINNOVA Sweden, Grant/Award Number: 2018-00361</t>
  </si>
  <si>
    <t xml:space="preserve">0964-4733</t>
  </si>
  <si>
    <t xml:space="preserve">1099-0836</t>
  </si>
  <si>
    <t xml:space="preserve">BUS STRATEG ENVIRON</t>
  </si>
  <si>
    <t xml:space="preserve">Bus. Strateg. Environ.</t>
  </si>
  <si>
    <t xml:space="preserve">JAN</t>
  </si>
  <si>
    <t xml:space="preserve">10.1002/bse.2627</t>
  </si>
  <si>
    <t xml:space="preserve">SEP 2020</t>
  </si>
  <si>
    <t xml:space="preserve">Business; Environmental Studies; Management</t>
  </si>
  <si>
    <t xml:space="preserve">Business &amp; Economics; Environmental Sciences &amp; Ecology</t>
  </si>
  <si>
    <t xml:space="preserve">PP0PZ</t>
  </si>
  <si>
    <t xml:space="preserve">WOS:000565359500001</t>
  </si>
  <si>
    <t xml:space="preserve">Performance Analysis of an Adaptive Rate Scheme for QoE-Assured Mobile VR Video Streaming</t>
  </si>
  <si>
    <t xml:space="preserve">COMPUTERS</t>
  </si>
  <si>
    <t xml:space="preserve">mobile VR; QoE; adaptive rate; prefetching; queueing analysis; performance analysis</t>
  </si>
  <si>
    <t xml:space="preserve">DELIVERY; EFFICIENCY; CLOUD</t>
  </si>
  <si>
    <t xml:space="preserve">The emerging 5G mobile networks are essential enablers for mobile virtual reality (VR) video streaming applications assuring high quality of experience (QoE) at the end-user. In addition, mobile edge computing brings computational resources closer to the user equipment (UE), which allows offloading computationally intensive processing. In this paper, we consider a network architecture for mobile VR video streaming applications consisting of a server that holds the VR video content, a mobile edge virtualization with prefetching (MVP) unit that handles the VR video packets, and a head-mounted display along with a buffer, which together serve as the UE. Several modulation and coding schemes with different rates are provided by the MVP unit to adaptively cope with the varying wireless link conditions to the UE and the state of the UE buffer. The UE buffer caches VR video packets as needed to compensate for the adaptive rates. A performance analysis is conducted in terms of blocking probability, throughput, queueing delay, and average packet error rate. To capture the effect of fading severity, the analytical expressions for these performance metrics are derived for Nakagami-m fading on the wireless link from the MVP unit to the UE. Numerical results show that the proposed system meets the network requirements needed to assure the QoE levels of different mobile VR video streaming applications.</t>
  </si>
  <si>
    <t xml:space="preserve">thi.my.chinh.chu@bth.se; hans-jurgen.zepernick@bth.se</t>
  </si>
  <si>
    <t xml:space="preserve">Chu, Thi My Chinh/0000-0002-1730-9026; Zepernick, Hans-Jurgen/0000-0003-3604-2766</t>
  </si>
  <si>
    <t xml:space="preserve">This work was supported in part by the Knowledge Foundation, Sweden, through the ViaTecH project under Contract 20170056. .</t>
  </si>
  <si>
    <t xml:space="preserve">2073-431X</t>
  </si>
  <si>
    <t xml:space="preserve">Computers</t>
  </si>
  <si>
    <t xml:space="preserve">10.3390/computers11050069</t>
  </si>
  <si>
    <t xml:space="preserve">1R1MP</t>
  </si>
  <si>
    <t xml:space="preserve">WOS:000803142100001</t>
  </si>
  <si>
    <t xml:space="preserve">A Systematic Literature Review of Virtual, Augmented, and Mixed Reality Game Applications in Healthcare</t>
  </si>
  <si>
    <t xml:space="preserve">ACM TRANSACTIONS ON COMPUTING FOR HEALTHCARE</t>
  </si>
  <si>
    <t xml:space="preserve">Virtual reality; augmented reality; mixed reality; healthcare; game; gamification</t>
  </si>
  <si>
    <t xml:space="preserve">TRAINING SYSTEM; REHABILITATION; EXPERIENCES; DESIGN</t>
  </si>
  <si>
    <t xml:space="preserve">Virtual reality, augmented reality, and mixed reality (VR/AR/MR) as information and communication technologies have been recognised and implemented in healthcare in recent years. One of the popular application ways is games, due to the potential benefits of providing an engaging and immersive experience in a virtual environment. This study presents a systematic literature review that evaluates the state-of-the-art on VR/AR/MR game applications in healthcare by collecting and analysing related journal and conference papers published from 2014 through to the first half of 2020. After retrieving more than 3,000 papers from six databases, 88 articles, from both computer science and medicine, were selected and analysed in the review. The articles are classified and summarised based on their (1) publication information, (2) design, implementation, and evaluation, and (3) application. The presented review is beneficial for both researchers and developers interested in exploring current research and future trends in VR/AR/MR in healthcare.</t>
  </si>
  <si>
    <t xml:space="preserve">2691-1957</t>
  </si>
  <si>
    <t xml:space="preserve">2637-8051</t>
  </si>
  <si>
    <t xml:space="preserve">ACM T COMPUT HEALTHC</t>
  </si>
  <si>
    <t xml:space="preserve">ACM Trans. Comput. Healthc.</t>
  </si>
  <si>
    <t xml:space="preserve">10.1145/3472303</t>
  </si>
  <si>
    <t xml:space="preserve">Computer Science, Interdisciplinary Applications; Medical Informatics</t>
  </si>
  <si>
    <t xml:space="preserve">Computer Science; Medical Informatics</t>
  </si>
  <si>
    <t xml:space="preserve">O7W9G</t>
  </si>
  <si>
    <t xml:space="preserve">WOS:001373194500006</t>
  </si>
  <si>
    <t xml:space="preserve">Jagtap, S</t>
  </si>
  <si>
    <t xml:space="preserve">Jagtap, Santosh</t>
  </si>
  <si>
    <t xml:space="preserve">Codesign in resource-limited societies: theoretical perspectives, inputs, outputs and influencing factors</t>
  </si>
  <si>
    <t xml:space="preserve">RESEARCH IN ENGINEERING DESIGN</t>
  </si>
  <si>
    <t xml:space="preserve">Design process; Cocreation; Participatory design; Developing countries; Low resource settings; Frugal innovation</t>
  </si>
  <si>
    <t xml:space="preserve">DEVELOPING-COUNTRIES; CO-CREATION; PARTICIPATORY DESIGN; POOR PEOPLE; HEALTH-CARE; INNOVATION; BASE; MANAGEMENT; POVERTY; BOTTOM</t>
  </si>
  <si>
    <t xml:space="preserve">Codesign with resource-constrained people living in developing countries is crucial for sustained adoption and use of designed solutions. Several studies have investigated codesign with resource-constrained people. It is, therefore, important to understand what has been investigated and learnt so far as well as to plan for further scholarly exploration of this field. To address this, I applied a systematic literature review (SLR) approach to understand main sources, definitions, and theoretical perspectives regarding codesign with resource-constrained people. The SLR also aimed to understand inputs and outputs of codesign as well as factors influencing the codesign process. The findings portray a multifaceted picture regarding these aspects of codesign. I discuss implications of review findings for the practice of codesigning solutions with resource-constrained people, identify concerns that researchers should have about this field, and offer suggestions for future research in this field of codesign.</t>
  </si>
  <si>
    <t xml:space="preserve">[Jagtap, Santosh] Blekinge Inst Technol, Karlskrona, Sweden</t>
  </si>
  <si>
    <t xml:space="preserve">Jagtap, S (corresponding author), Blekinge Inst Technol, Karlskrona, Sweden.</t>
  </si>
  <si>
    <t xml:space="preserve">santosh.jagtap@bth.se</t>
  </si>
  <si>
    <t xml:space="preserve">Jagtap, Santosh/0000-0002-1424-751X</t>
  </si>
  <si>
    <t xml:space="preserve">Blekinge Institute of Technology - KKS Research Foundation, Sweden</t>
  </si>
  <si>
    <t xml:space="preserve">Open access funding provided by Blekinge Institute of Technology. This work was funded by KKS Research Foundation, Sweden</t>
  </si>
  <si>
    <t xml:space="preserve">0934-9839</t>
  </si>
  <si>
    <t xml:space="preserve">1435-6066</t>
  </si>
  <si>
    <t xml:space="preserve">RES ENG DES</t>
  </si>
  <si>
    <t xml:space="preserve">Res. Eng. Design</t>
  </si>
  <si>
    <t xml:space="preserve">10.1007/s00163-022-00384-1</t>
  </si>
  <si>
    <t xml:space="preserve">FEB 2022</t>
  </si>
  <si>
    <t xml:space="preserve">Engineering, Multidisciplinary; Engineering, Industrial; Engineering, Manufacturing</t>
  </si>
  <si>
    <t xml:space="preserve">0K7FO</t>
  </si>
  <si>
    <t xml:space="preserve">WOS:000751682600001</t>
  </si>
  <si>
    <t xml:space="preserve">Devagiri, VM; Boeva, V; Abghari, S</t>
  </si>
  <si>
    <t xml:space="preserve">Candan, KS; Dinh, TN; Thai, MT; Washio, T</t>
  </si>
  <si>
    <t xml:space="preserve">Devagiri, Vishnu Manasa; Boeva, Veselka; Abghari, Shahrooz</t>
  </si>
  <si>
    <t xml:space="preserve">Domain Adaptation Through Cluster Integration and Correlation</t>
  </si>
  <si>
    <t xml:space="preserve">2022 IEEE INTERNATIONAL CONFERENCE ON DATA MINING WORKSHOPS, ICDMW</t>
  </si>
  <si>
    <t xml:space="preserve">International Conference on Data Mining Workshops</t>
  </si>
  <si>
    <t xml:space="preserve">22nd IEEE International Conference on Data Mining (ICDM)</t>
  </si>
  <si>
    <t xml:space="preserve">NOV 28-DEC 01, 2022</t>
  </si>
  <si>
    <t xml:space="preserve">Orlando, FL</t>
  </si>
  <si>
    <t xml:space="preserve">IEEE,IEEE Comp Soc,US Natl Sci Fdn</t>
  </si>
  <si>
    <t xml:space="preserve">domain adaptation; clustering techniques; data integration</t>
  </si>
  <si>
    <t xml:space="preserve">Domain shift is a common problem in many real-world applications using machine learning models. Most of the existing solutions are based on supervised and deep-learning models. This paper proposes a novel clustering algorithm capable of producing an adapted and/or integrated clustering model for the considered domains. Source and target domains are represented by clustering models such that each cluster of a domain models a specific scenario of the studied phenomenon by defining a range of allowable values for each attribute in a given data vector. The proposed domain integration algorithm works in two steps: (i) cross-labeling and (ii) integration. Initially, each clustering model is crossly applied to label the cluster representatives of the other model. These labels are used to determine the correlations between the two models to identify the common clusters for both domains, which must be integrated within the second step. Different features of the proposed algorithm are studied and evaluated on a publicly available human activity recognition (HAR) data set and real-world data from a smart logistics use case provided by an industrial partner. The experiment's goal on the HAR data set is to showcase the algorithm's potential in automatic data labeling. While the conducted experiments on the smart logistics use case evaluate and compare the performance of the integrated and two adapted models in different domains.</t>
  </si>
  <si>
    <t xml:space="preserve">[Devagiri, Vishnu Manasa; Boeva, Veselka; Abghari, Shahrooz] Blekinge Inst Technol, Karlskrona, Sweden</t>
  </si>
  <si>
    <t xml:space="preserve">Devagiri, VM (corresponding author), Blekinge Inst Technol, Karlskrona, Sweden.</t>
  </si>
  <si>
    <t xml:space="preserve">vmd@bth.se; vbx@bth.se; sab@bth.se</t>
  </si>
  <si>
    <t xml:space="preserve">Boeva, Veselka/IAP-9371-2023; Abghari, Shahrooz/ADU-1546-2022; Devagiri, Vishnu Manasa/IAQ-6663-2023</t>
  </si>
  <si>
    <t xml:space="preserve">2375-9232</t>
  </si>
  <si>
    <t xml:space="preserve">979-8-3503-4609-1</t>
  </si>
  <si>
    <t xml:space="preserve">INT CONF DAT MIN WOR</t>
  </si>
  <si>
    <t xml:space="preserve">10.1109/ICDMW58026.2022.00025</t>
  </si>
  <si>
    <t xml:space="preserve">Computer Science, Artificial Intelligence; Computer Science, Information Systems; Computer Science, Theory &amp; Methods</t>
  </si>
  <si>
    <t xml:space="preserve">BV0HV</t>
  </si>
  <si>
    <t xml:space="preserve">WOS:000971492200017</t>
  </si>
  <si>
    <t xml:space="preserve">Toller, CNK; Bertoni, M</t>
  </si>
  <si>
    <t xml:space="preserve">Toller, Carl Nils Konrad; Bertoni, Marco</t>
  </si>
  <si>
    <t xml:space="preserve">Value Co-creation in Data-Driven Product-Service Systems: An Industrial Perspective</t>
  </si>
  <si>
    <t xml:space="preserve">Value co-creation; Data-driven design; Product-service systems</t>
  </si>
  <si>
    <t xml:space="preserve">Value co-creation is an important aspect for servitized companies operating a Product-Service System business. However, their relation to value co-creation might depend on where they are on the servitization journey. This paper described the result of a multiple-case study with three industrial partners and their perspectives on the challenges and opportunities with value co-creation for data-driven Product-Service Systems.</t>
  </si>
  <si>
    <t xml:space="preserve">[Toller, Carl Nils Konrad; Bertoni, Marco] Blekinge Inst Technol, Karlskrona, Sweden</t>
  </si>
  <si>
    <t xml:space="preserve">Toller, CNK (corresponding author), Blekinge Inst Technol, Karlskrona, Sweden.</t>
  </si>
  <si>
    <t xml:space="preserve">carl.toller@bth.se</t>
  </si>
  <si>
    <t xml:space="preserve">Toller Melen, Carl Nils Konrad/0000-0002-2579-2310</t>
  </si>
  <si>
    <t xml:space="preserve">Swedish Knowledge and Competence Development Foundation (Stiftelsen for kunskaps-och kompetensutveckling) through the Model-Driven Development and Decision Support research profile at Blekinge Institute of Technology</t>
  </si>
  <si>
    <t xml:space="preserve">The research leading to these results has received financial support from the Swedish Knowledge and Competence Development Foundation (Stiftelsen for kunskaps-och kompetensutveckling) through the Model-Driven Development and Decision Support research profile at Blekinge Institute of Technology.</t>
  </si>
  <si>
    <t xml:space="preserve">10.1007/978-3-031-14844-6_48</t>
  </si>
  <si>
    <t xml:space="preserve">WOS:001359443000048</t>
  </si>
  <si>
    <t xml:space="preserve">Bertoni, A; Ruvald, R</t>
  </si>
  <si>
    <t xml:space="preserve">CamarinhaMatos, LM; Boucher, X; Afsarmanesh, H</t>
  </si>
  <si>
    <t xml:space="preserve">Bertoni, Alessandro; Ruvald, Ryan</t>
  </si>
  <si>
    <t xml:space="preserve">Physical Prototypes to Foster Value Co-creation in Product-Service Systems Conceptual Design: A Case Study in Construction Equipment</t>
  </si>
  <si>
    <t xml:space="preserve">SMART AND SUSTAINABLE COLLABORATIVE NETWORKS 4.0 (PRO-VE 2021)</t>
  </si>
  <si>
    <t xml:space="preserve">22nd IFIP WG 5.5 Working Conference on Virtual Enterprises (PRO-VE)</t>
  </si>
  <si>
    <t xml:space="preserve">NOV 22-24, 2021</t>
  </si>
  <si>
    <t xml:space="preserve">IFIP WG 5 5,SoCol Net,Inst Mines Telecom,LIMOS,Univ Nova Lisboa,Nova Sch Sci &amp; Technol,Uninova,Univ Amsterdam,CNRS, GdR MACS,Une Ecole IMT, Saint Etienne Mines,SAGIP</t>
  </si>
  <si>
    <t xml:space="preserve">Product-service systems; Digitalization; Prototypes; Design thinking; Co-creation; Value; Case study; Construction equipment</t>
  </si>
  <si>
    <t xml:space="preserve">The paper presents the experience collected in a case study in the construction equipment concerning the use of physical prototypes for the development of product-service systems (PSS) enabled by new digital technologies. The paper firstly presents how a scaled physical prototype has been deployed to foster value co-creation with customers about the cross-disciplinary opportunity of the transition toward autonomous and electrical construction sites. Secondly, the paper presents the lessons learned during the empirical study.</t>
  </si>
  <si>
    <t xml:space="preserve">[Bertoni, Alessandro; Ruvald, Ryan] Blekinge Inst Technol, Dept Mech Engn, S-37179 Karlskrona, Sweden</t>
  </si>
  <si>
    <t xml:space="preserve">alessandro.bertoni@bth.se; ryan.ruvald@bth.se</t>
  </si>
  <si>
    <t xml:space="preserve">Swedish Knowledge and Competence Development Foundation; Model-Driven Development and Decision Support research profile at Blekinge Institute of Technology</t>
  </si>
  <si>
    <t xml:space="preserve">The authors would like to acknowledge the industrial partners and Swedish Knowledge and Competence Development Foundation for providing financial support through the Model-Driven Development and Decision Support research profile at Blekinge Institute of Technology.</t>
  </si>
  <si>
    <t xml:space="preserve">978-3-030-85969-5</t>
  </si>
  <si>
    <t xml:space="preserve">10.1007/978-3-030-85969-5_35</t>
  </si>
  <si>
    <t xml:space="preserve">Computer Science, Information Systems; Operations Research &amp; Management Science; Telecommunications</t>
  </si>
  <si>
    <t xml:space="preserve">Computer Science; Operations Research &amp; Management Science; Telecommunications</t>
  </si>
  <si>
    <t xml:space="preserve">BS7NF</t>
  </si>
  <si>
    <t xml:space="preserve">WOS:000765252000035</t>
  </si>
  <si>
    <t xml:space="preserve">Elwardy, M; Zepernick, HJ; Hu, Y</t>
  </si>
  <si>
    <t xml:space="preserve">Elwardy, Majed; Zepernick, Hans-Jurgen; Hu, Yan</t>
  </si>
  <si>
    <t xml:space="preserve">On Head Movements in Repeated 360° Video Quality Assessment for Standing and Seated Viewing on Head Mounted Displays</t>
  </si>
  <si>
    <t xml:space="preserve">2021 IEEE CONFERENCE ON VIRTUAL REALITY AND 3D USER INTERFACES ABSTRACTS AND WORKSHOPS (VRW 2021)</t>
  </si>
  <si>
    <t xml:space="preserve">28th IEEE Conference on Virtual Reality and 3D User Interfaces (IEEE VR)</t>
  </si>
  <si>
    <t xml:space="preserve">MAR 27-APR 03, 2021</t>
  </si>
  <si>
    <t xml:space="preserve">IEEE,IEEE Comp Soc,Virbela,Tecnico Lisboa,Immers Learning Res Network,Qualcomm,Vicon,HitLabNZ AIGI,Microsoft,Appen,Facebook Real Labs Res,XR Bootcamp,NSF,Fakespace Labs</t>
  </si>
  <si>
    <t xml:space="preserve">Human-centered computing; Computing methodologies; Virtual reality; Head Movements</t>
  </si>
  <si>
    <t xml:space="preserve">Watching 360 degrees videos on head mounted displays (HMDs) allows viewers to explore scenes in all directions. In this paper, we focus on investigating the head movements of two participants for standing and seated viewing of a total of 720 360 degrees videos on HMDs. The head movements were recorded in a 360 degrees video quality assessment experiment which was repeated after a long and short break between sessions to study changes in viewing behavior over time. The analysis of the head movement data is provided as histograms of head rotations, head speed, head turns, and head trajectories. It is shown that the participants have their own distinct exploration behavior for standing viewing which becomes less different for seated viewing.</t>
  </si>
  <si>
    <t xml:space="preserve">[Elwardy, Majed; Zepernick, Hans-Jurgen; Hu, Yan] Blekinge Inst Technol, S-37179 Karlskrona, Sweden</t>
  </si>
  <si>
    <t xml:space="preserve">Elwardy, M (corresponding author), Blekinge Inst Technol, S-37179 Karlskrona, Sweden.</t>
  </si>
  <si>
    <t xml:space="preserve">majed.elwardy@bth.se; hans-jurgen.zepernick@bth.se; yan.hu@bth.se</t>
  </si>
  <si>
    <t xml:space="preserve">This work has been supported in part by the Knowledge Foundation, Sweden, through the ViaTecH project (Contract 20170056). We thank the volunteers for their participation in this study. The authors would like to thank Viktor Kelkkanen for discussions on head speeds.</t>
  </si>
  <si>
    <t xml:space="preserve">978-1-6654-4057-8</t>
  </si>
  <si>
    <t xml:space="preserve">10.1109/VRW52623.2021.00020</t>
  </si>
  <si>
    <t xml:space="preserve">Computer Science, Cybernetics</t>
  </si>
  <si>
    <t xml:space="preserve">BR9IR</t>
  </si>
  <si>
    <t xml:space="preserve">WOS:000676157600013</t>
  </si>
  <si>
    <t xml:space="preserve">Bertoni, A</t>
  </si>
  <si>
    <t xml:space="preserve">Bertoni, Alessandro</t>
  </si>
  <si>
    <t xml:space="preserve">Introducing value driven design in engineering education: teaching the use of value models in preliminary design</t>
  </si>
  <si>
    <t xml:space="preserve">INTERNATIONAL JOURNAL OF TECHNOLOGY AND DESIGN EDUCATION</t>
  </si>
  <si>
    <t xml:space="preserve">Realistic design session; Value models; Value-driven design; Engineering education; CDIO</t>
  </si>
  <si>
    <t xml:space="preserve">PRODUCT; LEADERSHIP; INNOVATION; STUDENTS; QFD; END</t>
  </si>
  <si>
    <t xml:space="preserve">Methods and approaches for teaching engineering disciplines are evolving to adapt to the needs of companies and society. Engineering Design is one of the areas most influenced by such changes and constantly striving to develop more effective and efficient strategies to prepare the soon-to-be engineers to face the challenges of a real working environment. This paper presents an approach used to teach the use of value models for concept trade-off in the preliminary design phase, in line with the industrial challenges highlighted by the literature on Value Driven Design. The approach is based on realistic design sessions assigning to master students a value assessment challenge. The paper describes the rationale of the approach, its set-up, and a validation activity run to compare the performances of the students with those of industrial practitioners. The results of the study show that the students taking part in the design sessions can produce results that do not statistically differ from those of industrial practitioners. Moreover, the students' self-reflection on the achievement of the intended learning outcomes show a high satisfaction toward the achievement of the educational objectives.</t>
  </si>
  <si>
    <t xml:space="preserve">[Bertoni, Alessandro] Blekinge Inst Technol, Dept Mech Engn, Campus Grasvik, Karlskrona, Sweden</t>
  </si>
  <si>
    <t xml:space="preserve">Bertoni, A (corresponding author), Blekinge Inst Technol, Dept Mech Engn, Campus Grasvik, Karlskrona, Sweden.</t>
  </si>
  <si>
    <t xml:space="preserve">Alessandro.bertoni@bth.se</t>
  </si>
  <si>
    <t xml:space="preserve">Bertoni, Alessandro/0000-0001-5114-4811</t>
  </si>
  <si>
    <t xml:space="preserve">Swedish Knowledge and Competence Development Foundation through the Model Driven Development and Decision Support research profile at Blekinge Institute of Technology</t>
  </si>
  <si>
    <t xml:space="preserve">This study was funded by the Swedish Knowledge and Competence Development Foundation through the Model Driven Development and Decision Support research profile at Blekinge Institute of Technology.</t>
  </si>
  <si>
    <t xml:space="preserve">0957-7572</t>
  </si>
  <si>
    <t xml:space="preserve">1573-1804</t>
  </si>
  <si>
    <t xml:space="preserve">INT J TECHNOL DES ED</t>
  </si>
  <si>
    <t xml:space="preserve">Int. J. Technol. Des. Educ.</t>
  </si>
  <si>
    <t xml:space="preserve">10.1007/s10798-019-09511-x</t>
  </si>
  <si>
    <t xml:space="preserve">Education &amp; Educational Research; Education, Scientific Disciplines; Engineering, Multidisciplinary</t>
  </si>
  <si>
    <t xml:space="preserve">Education &amp; Educational Research; Engineering</t>
  </si>
  <si>
    <t xml:space="preserve">ML6SU</t>
  </si>
  <si>
    <t xml:space="preserve">WOS:000549594100006</t>
  </si>
  <si>
    <t xml:space="preserve">Nordahl, C; Boeva, V; Grahn, H; Netz, MP</t>
  </si>
  <si>
    <t xml:space="preserve">Nordahl, Christian; Boeva, Veselka; Grahn, Hakan; Netz, Marie Persson</t>
  </si>
  <si>
    <t xml:space="preserve">EvolveCluster: an evolutionary clustering algorithm for streaming data</t>
  </si>
  <si>
    <t xml:space="preserve">EVOLVING SYSTEMS</t>
  </si>
  <si>
    <t xml:space="preserve">Evolving data stream; Clustering; Data stream clustering</t>
  </si>
  <si>
    <t xml:space="preserve">VALIDITY INDEXES; VALIDATION; QUANTIZATION; EXTENSIONS; SYSTEM</t>
  </si>
  <si>
    <t xml:space="preserve">Data has become an integral part of our society in the past years, arriving faster and in larger quantities than before. Traditional clustering algorithms rely on the availability of entire datasets to model them correctly and efficiently. Such requirements are not possible in the data stream clustering scenario, where data arrives and needs to be analyzed continuously. This paper proposes a novel evolutionary clustering algorithm, entitled EvolveCluster, capable of modeling evolving data streams. We compare EvolveCluster against two other evolutionary clustering algorithms, PivotBiCluster and Split-Merge Evolutionary Clustering, by conducting experiments on three different datasets. Furthermore, we perform additional experiments on EvolveCluster to further evaluate its capabilities on clustering evolving data streams. Our results show that EvolveCluster manages to capture evolving data stream behaviors and adapts accordingly.</t>
  </si>
  <si>
    <t xml:space="preserve">[Nordahl, Christian; Boeva, Veselka; Grahn, Hakan; Netz, Marie Persson] Blekinge Inst Technol, Dept Comp Sci, Valhallavagen 1, S-37141 Karlskrona, Sweden</t>
  </si>
  <si>
    <t xml:space="preserve">Nordahl, C (corresponding author), Blekinge Inst Technol, Dept Comp Sci, Valhallavagen 1, S-37141 Karlskrona, Sweden.</t>
  </si>
  <si>
    <t xml:space="preserve">christian.nordahl@bth.se</t>
  </si>
  <si>
    <t xml:space="preserve">Grahn, Håkan/G-9720-2011; Boeva, Veselka/IAP-9371-2023; Nordahl, Christian/E-3483-2017</t>
  </si>
  <si>
    <t xml:space="preserve">Grahn, Hakan/0000-0001-9947-1088; Nordahl, Christian/0000-0001-7199-8080</t>
  </si>
  <si>
    <t xml:space="preserve">Knowledge Foundation [20140032]</t>
  </si>
  <si>
    <t xml:space="preserve">We would like to give our special thanks to Milena Angelova, one of the authors in (Boeva et al. 2019), for providing us with their source code to their algorithm and experiments. This work is funded in part by the research project Scalable resource-efficient systems for big data analytics funded by the Knowledge Foundation (grant: 20140032) in Sweden.</t>
  </si>
  <si>
    <t xml:space="preserve">1868-6478</t>
  </si>
  <si>
    <t xml:space="preserve">1868-6486</t>
  </si>
  <si>
    <t xml:space="preserve">EVOL SYST-GER</t>
  </si>
  <si>
    <t xml:space="preserve">Evol. Syst.</t>
  </si>
  <si>
    <t xml:space="preserve">10.1007/s12530-021-09408-y</t>
  </si>
  <si>
    <t xml:space="preserve">NOV 2021</t>
  </si>
  <si>
    <t xml:space="preserve">Computer Science, Artificial Intelligence</t>
  </si>
  <si>
    <t xml:space="preserve">2T5EL</t>
  </si>
  <si>
    <t xml:space="preserve">WOS:000717906700001</t>
  </si>
  <si>
    <t xml:space="preserve">Induced quotient group gradings of epsilon-strongly graded rings</t>
  </si>
  <si>
    <t xml:space="preserve">JOURNAL OF ALGEBRA AND ITS APPLICATIONS</t>
  </si>
  <si>
    <t xml:space="preserve">Group graded ring; epsilon-strongly graded ring; Leavitt path algebra; partial skew group ring</t>
  </si>
  <si>
    <t xml:space="preserve">ALGEBRAS</t>
  </si>
  <si>
    <t xml:space="preserve">Let G be a group and let S = circle plus(g is an element of G) S-g be a G-graded ring. Given a normal subgroup N of G, there is a naturally induced G/N-grading of S. It is well known that if S is strongly G-graded, then the induced G/N-grading is strong for any N. The class of epsilon-strongly graded rings was recently introduced by Nystedt et al. as a generalization of unital strongly graded rings. We give an example of an epsilon-strongly graded partial skew group ring such that the induced quotient group grading is not epsilon-strong. Moreover, we give necessary and sufficient conditions for the induced G/N-grading of an epsilon-strongly G-graded ring to be epsilon-strong. Our method involves relating different types of rings equipped with local units (s-unital rings, rings with sets of local units, rings with enough idempotents) with generalized epsilon-strongly graded rings.</t>
  </si>
  <si>
    <t xml:space="preserve">This research was partially supported by the Crafoord Foundation (Grant No. 20170843). The author is grateful to Stefan Wagner, Johan Oinert and Patrik Nystedt for giving feedback and comments that helped to improve this paper. The author is also grateful to an anonymous referee for giving useful comments.</t>
  </si>
  <si>
    <t xml:space="preserve">0219-4988</t>
  </si>
  <si>
    <t xml:space="preserve">1793-6829</t>
  </si>
  <si>
    <t xml:space="preserve">J ALGEBRA APPL</t>
  </si>
  <si>
    <t xml:space="preserve">J. Algebra. Appl.</t>
  </si>
  <si>
    <t xml:space="preserve">10.1142/S0219498820501625</t>
  </si>
  <si>
    <t xml:space="preserve">NF0RB</t>
  </si>
  <si>
    <t xml:space="preserve">WOS:000563009600001</t>
  </si>
  <si>
    <t xml:space="preserve">Henrik, S; Emil, N</t>
  </si>
  <si>
    <t xml:space="preserve">Henrik, Sallberg; Emil, Numminen</t>
  </si>
  <si>
    <t xml:space="preserve">Who are the early adopters of alternative fuel technology? A study of Swedish road freight companies</t>
  </si>
  <si>
    <t xml:space="preserve">TRANSPORTATION RESEARCH PART A-POLICY AND PRACTICE</t>
  </si>
  <si>
    <t xml:space="preserve">Adoption; Alternative fuel vehicles (AFV); Diversification; Firm size; Firm age; Road freight companies</t>
  </si>
  <si>
    <t xml:space="preserve">SMALL BUSINESS; SMALL FIRMS; DIVERSIFICATION; INNOVATION; PERFORMANCE; ACCEPTANCE; DIFFUSION; VEHICLES; ADOPTION; TRUCKS</t>
  </si>
  <si>
    <t xml:space="preserve">This study investigates the effect of three key firm characteristics (diversification, size, and age) on road freight companies' early adoption of alternative fuel vehicles (AFVs). While previous studies have identified the determinants of the adoption intention of AFVs, a gap in the literature is research into firm characteristics and the early adopters of AFVs. Because early adopters play an important role in the diffusion of innovation, it is imperative to fill this gap. Based on a survey of 156 Swedish road freight companies and logistic regression analyses, we report that firm size and diversification affect the early adoption of AFVs. In addition, the partial impact of the importance of driver comfort and payload capacity on early adoption of AFVs has been reported. Other factors, including purchase price, fuel cost, and truck refueling efficiency, were not found to discriminate early adopters of AFVs from those who had not yet adopted AFVs. These findings imply to policymakers that the current instruments in use in Sweden, including the greenhouse gas mandate and the relatively high taxation on diesel fuel, have led to the adoption of AFVs by larger road freight companies. For vehicle producers aiming to scale up the production and sales of AFV, the findings suggest the benefit of targeting diversified and larger road freight companies in the first place.</t>
  </si>
  <si>
    <t xml:space="preserve">[Henrik, Sallberg; Emil, Numminen] Blekinge Inst Technol, Dept Ind Econ, Karlskrona, Sweden</t>
  </si>
  <si>
    <t xml:space="preserve">Henrik, S (corresponding author), Blekinge Inst Technol, Dept Ind Econ, Karlskrona, Sweden.</t>
  </si>
  <si>
    <t xml:space="preserve">henrik.sallberg@bth.se</t>
  </si>
  <si>
    <t xml:space="preserve">PERGAMON-ELSEVIER SCIENCE LTD</t>
  </si>
  <si>
    <t xml:space="preserve">THE BOULEVARD, LANGFORD LANE, KIDLINGTON, OXFORD OX5 1GB, ENGLAND</t>
  </si>
  <si>
    <t xml:space="preserve">0965-8564</t>
  </si>
  <si>
    <t xml:space="preserve">1879-2375</t>
  </si>
  <si>
    <t xml:space="preserve">TRANSPORT RES A-POL</t>
  </si>
  <si>
    <t xml:space="preserve">Transp. Res. Pt. A-Policy Pract.</t>
  </si>
  <si>
    <t xml:space="preserve">10.1016/j.tra.2024.104132</t>
  </si>
  <si>
    <t xml:space="preserve">JUN 2024</t>
  </si>
  <si>
    <t xml:space="preserve">Economics; Transportation; Transportation Science &amp; Technology</t>
  </si>
  <si>
    <t xml:space="preserve">Business &amp; Economics; Transportation</t>
  </si>
  <si>
    <t xml:space="preserve">WG1P0</t>
  </si>
  <si>
    <t xml:space="preserve">WOS:001253627600001</t>
  </si>
  <si>
    <t xml:space="preserve">Eriksson, M</t>
  </si>
  <si>
    <t xml:space="preserve">Eriksson, M.</t>
  </si>
  <si>
    <t xml:space="preserve">Fe II fluorescence in main-sequence K-dwarfs</t>
  </si>
  <si>
    <t xml:space="preserve">MONTHLY NOTICES OF THE ROYAL ASTRONOMICAL SOCIETY</t>
  </si>
  <si>
    <t xml:space="preserve">atomic processes; line: formation; line: identification; stars: low-mass</t>
  </si>
  <si>
    <t xml:space="preserve">FAR-ULTRAVIOLET SPECTRUM; ALPHA-CENTAURI-B; EFFECTIVE TEMPERATURES; TW-HYDRAE; X-RAY; C-IV; STARS; EMISSION; LINES; SPECTROGRAPH</t>
  </si>
  <si>
    <t xml:space="preserve">Main-sequence K-dwarfs possess strong emission in the form of the H I Ly alpha line. There is a close coincidence between the energy corresponding to the transitions H I 1s-2p and Fe II (D-5)5s D-4(5/2)-(D-5)5p D-4(5/2). Singly ionized iron has been confirmed being pumped by photo-excitation by accidental resonance (PAR) in planetary nebulae, symbiotic stars, K-giants, and active galactic nebulae. I investigate in this work whether PAR can occur in the atmospheres of main-sequence K-dwarfs, which do not possess the large extended atmospheres of the late-type K-giants. Specifically a search for possible Fe II fluorescence lines is conducted. For the case when I can confirm PAR, I estimate the total flux leaving the stars in the form of Fe II fluorescence. I search for emission lines from the Fe II (D-5)5p D-4(5/2) level. Since those of these lines with the largest branching fractions correspond to lines at wavelengths covered by the Far Ultraviolet Spectroscopic Explorer (FUSE) satellite, a search for archival FUSE spectra from K-dwarfs within 20 ly from the sun is conducted. I retrieve and analyse FUSE spectra for four of these K-dwarfs. In each case I can confirm PAR, I fit the H I Ly alpha line in Hubble Space Telescope spectra recorded with the Space Telescope Imaging Spectrograph, in order to estimate the efficiency of the PAR mechanism. I can now confirm Fe II fluorescence in the two closest K-dwarfs, Alpha Centauri B, and Epsilon Eridani. The total power leaving as Fe II fluorescence are 4.9 x 10(17) and 1.30 x 10(18) W respectively.</t>
  </si>
  <si>
    <t xml:space="preserve">[Eriksson, M.] Blekinge Inst Technol, SE-37179 Karlskrona, Sweden</t>
  </si>
  <si>
    <t xml:space="preserve">Eriksson, M (corresponding author), Blekinge Inst Technol, SE-37179 Karlskrona, Sweden.</t>
  </si>
  <si>
    <t xml:space="preserve">meo@bth.se</t>
  </si>
  <si>
    <t xml:space="preserve">OXFORD UNIV PRESS</t>
  </si>
  <si>
    <t xml:space="preserve">GREAT CLARENDON ST, OXFORD OX2 6DP, ENGLAND</t>
  </si>
  <si>
    <t xml:space="preserve">0035-8711</t>
  </si>
  <si>
    <t xml:space="preserve">1365-2966</t>
  </si>
  <si>
    <t xml:space="preserve">MON NOT R ASTRON SOC</t>
  </si>
  <si>
    <t xml:space="preserve">Mon. Not. Roy. Astron. Soc.</t>
  </si>
  <si>
    <t xml:space="preserve">10.1093/mnras/stad3852</t>
  </si>
  <si>
    <t xml:space="preserve">Astronomy &amp; Astrophysics</t>
  </si>
  <si>
    <t xml:space="preserve">HJ2N4</t>
  </si>
  <si>
    <t xml:space="preserve">WOS:001159068100015</t>
  </si>
  <si>
    <t xml:space="preserve">Unterkalmsteiner, M; Adbeen, W</t>
  </si>
  <si>
    <t xml:space="preserve">Unterkalmsteiner, Michael; Adbeen, Waleed</t>
  </si>
  <si>
    <t xml:space="preserve">A compendium and evaluation of taxonomy quality attributes</t>
  </si>
  <si>
    <t xml:space="preserve">EXPERT SYSTEMS</t>
  </si>
  <si>
    <t xml:space="preserve">evaluation; measurements; quality attributes; taxonomy</t>
  </si>
  <si>
    <t xml:space="preserve">SYSTEMS; PLATFORMS; ONTOLOGY; DESIGN</t>
  </si>
  <si>
    <t xml:space="preserve">Introduction Taxonomies capture knowledge about a particular domain in a succinct manner and establish a common understanding among peers. Researchers use taxonomies to convey information about a particular knowledge area or to support automation tasks, and practitioners use them to enable communication beyond organizational boundaries. Aims Even though this important role of taxonomies in software engineering, their quality is seldom evaluated. Our aim is to identify and define taxonomy quality attributes that provide practical measurements, helping researchers and practitioners to compare taxonomies and choose the one most adequate for the task at hand. Methods We reviewed 324 publications from software engineering and information systems research and synthesized, when provided, the definitions of quality attributes and measurements. We evaluated the usefulness of the measurements on six taxonomies from three domains. Results We propose the definition of seven quality attributes and suggest internal and external measurements that can be used to assess a taxonomy's quality. For two measurements we provide implementations in Python. We found the measurements useful for deciding which taxonomy is best suited for a particular purpose. Conclusion While there exist several guidelines for creating taxonomies, there is a lack of actionable criteria to compare taxonomies. In this article, we fill this gap by synthesizing from a wealth of literature seven, non-overlapping taxonomy quality attributes and corresponding measurements. Future work encompasses their further evaluation of usefulness and empirical validation.</t>
  </si>
  <si>
    <t xml:space="preserve">[Unterkalmsteiner, Michael; Adbeen, Waleed] Blekinge Inst Technol, Software Engn Res &amp; Educ Lab Sweden, Valahallavagen 1, S-37141 Karlskrona, Sweden</t>
  </si>
  <si>
    <t xml:space="preserve">Unterkalmsteiner, M (corresponding author), Blekinge Inst Technol, Software Engn Res &amp; Educ Lab Sweden, Valahallavagen 1, S-37141 Karlskrona, Sweden.</t>
  </si>
  <si>
    <t xml:space="preserve">michael.unterkalmsteiner@bth.se</t>
  </si>
  <si>
    <t xml:space="preserve">Stiftelsen for Kunskaps-och Kompetensutveckling; Trafikverket</t>
  </si>
  <si>
    <t xml:space="preserve">0266-4720</t>
  </si>
  <si>
    <t xml:space="preserve">1468-0394</t>
  </si>
  <si>
    <t xml:space="preserve">EXPERT SYST</t>
  </si>
  <si>
    <t xml:space="preserve">Expert Syst.</t>
  </si>
  <si>
    <t xml:space="preserve">SI</t>
  </si>
  <si>
    <t xml:space="preserve">e13098</t>
  </si>
  <si>
    <t xml:space="preserve">10.1111/exsy.13098</t>
  </si>
  <si>
    <t xml:space="preserve">JUL 2022</t>
  </si>
  <si>
    <t xml:space="preserve">7A2DQ</t>
  </si>
  <si>
    <t xml:space="preserve">WOS:000822883400001</t>
  </si>
  <si>
    <t xml:space="preserve">Navarro, D; Garro, V; Sundstedt, V</t>
  </si>
  <si>
    <t xml:space="preserve">Paljic, A; Ziat, M; Bouatouch, K</t>
  </si>
  <si>
    <t xml:space="preserve">Navarro, Diego; Garro, Valeria; Sundstedt, Veronica</t>
  </si>
  <si>
    <t xml:space="preserve">Electrodermal Activity Evaluation of Player Experience in Virtual Reality Games: A Phasic Component Analysis</t>
  </si>
  <si>
    <t xml:space="preserve">PROCEEDINGS OF THE 17TH INTERNATIONAL JOINT CONFERENCE ON COMPUTER VISION, IMAGING AND COMPUTER GRAPHICS THEORY AND APPLICATIONS (HUCAPP), VOL 2</t>
  </si>
  <si>
    <t xml:space="preserve">VISIGRAPP</t>
  </si>
  <si>
    <t xml:space="preserve">17th International Joint Conference on Computer Vision, Imaging and Computer Graphics Theory and Applications (VISIGRAPP) / 6th International Conference on Human Computer Interaction Theory and Applications (HUCAPP)</t>
  </si>
  <si>
    <t xml:space="preserve">FEB 06-08, 2022</t>
  </si>
  <si>
    <t xml:space="preserve">Virtual Reality; Psychophysiology; Electrodermography; Phasic Component; Player Experience</t>
  </si>
  <si>
    <t xml:space="preserve">Electrodermal activity (EDA) is considered to be an effective metric for measuring changes in the arousal level of people. In this paper, the phasic component of EDA data from players is analyzed in relation to their reported experience from a standardized questionnaire, when interacting with a couple of virtual reality games that featured two different input devices: the HTC Vive and Leap Motion controllers. Initial results show that there are no significant differences in the phasic component data, despite having significant differences in their respective player experience. Furthermore, no linear correlations are found between the phasic component data and the evaluated experience variables, with the only exception of negative affect which features a weak positive correlation. In conclusion, the phasic component of EDA data has here shown a limited correlation with player experience and should be further explored in combination with other psychophysiological signals.</t>
  </si>
  <si>
    <t xml:space="preserve">[Navarro, Diego; Garro, Valeria; Sundstedt, Veronica] Blekinge Inst Technol, Dept Comp Sci, Karlskrona, Sweden</t>
  </si>
  <si>
    <t xml:space="preserve">Navarro, D (corresponding author), Blekinge Inst Technol, Dept Comp Sci, Karlskrona, Sweden.</t>
  </si>
  <si>
    <t xml:space="preserve">Navarro, Diego/IQR-8481-2023; Sundstedt, Veronica/IAP-9305-2023</t>
  </si>
  <si>
    <t xml:space="preserve">Navarro Prada, Diego Fernando/0000-0003-1503-8856</t>
  </si>
  <si>
    <t xml:space="preserve">KK-stiftelsen Sweden, through the ViaTecH Synergy Project [20170056]</t>
  </si>
  <si>
    <t xml:space="preserve">KK-stiftelsen Sweden, through the ViaTecH Synergy Project</t>
  </si>
  <si>
    <t xml:space="preserve">This work has been financed partly by KK-stiftelsen Sweden, through the ViaTecH Synergy Project (contract 20170056).</t>
  </si>
  <si>
    <t xml:space="preserve">SCITEPRESS</t>
  </si>
  <si>
    <t xml:space="preserve">SETUBAL</t>
  </si>
  <si>
    <t xml:space="preserve">AV D MANUELL, 27A 2 ESQ, SETUBAL, 2910-595, PORTUGAL</t>
  </si>
  <si>
    <t xml:space="preserve">2184-4321</t>
  </si>
  <si>
    <t xml:space="preserve">978-989-758-555-5</t>
  </si>
  <si>
    <t xml:space="preserve">10.5220/0011006100003124</t>
  </si>
  <si>
    <t xml:space="preserve">Computer Science, Cybernetics; Computer Science, Software Engineering</t>
  </si>
  <si>
    <t xml:space="preserve">BS8TL</t>
  </si>
  <si>
    <t xml:space="preserve">WOS:000777494800009</t>
  </si>
  <si>
    <t xml:space="preserve">Svensson, J; Axén, A; Andersson, EK; Hjelm, M</t>
  </si>
  <si>
    <t xml:space="preserve">Svensson, Jenny; Axen, Anna; Andersson, Ewa K.; Hjelm, Markus</t>
  </si>
  <si>
    <t xml:space="preserve">Nursing students' experiences of what influences achievement of learning outcomes in a problem-based learning context: A qualitative descriptive study</t>
  </si>
  <si>
    <t xml:space="preserve">NURSING OPEN</t>
  </si>
  <si>
    <t xml:space="preserve">learning outcomes; nursing education; nursing students; problem-based learning</t>
  </si>
  <si>
    <t xml:space="preserve">EDUCATION; PBL</t>
  </si>
  <si>
    <t xml:space="preserve">Aim: This study aimed to describe nursing students' experiences of what facilitate or impede the achievement of learning outcomes in PBL-based nursing education. Design: A qualitative descriptive design was used. Methods: Data were collected from individual semi-structured interviews with 18 undergraduate nursing students in Sweden and were analysed using Burnard's qualitative content analysis. Results: The results were organized into three categories: (a) understanding of the required level of knowledge depth (b) tutor's engagement and (c) student base group interactions. These categories represent essential components of PBL that could either facilitate or impede students' achievement of learning outcomes in nursing education. To improve the students' opportunities to achieve the learning outcomes, proper introduction of and a continuous education on PBL as a pedagogical method provided both to students and tutors should be considered important.Y</t>
  </si>
  <si>
    <t xml:space="preserve">[Svensson, Jenny; Axen, Anna; Andersson, Ewa K.; Hjelm, Markus] Blekinge Inst Technol, Dept Hlth, SE-37971 Karlskrona, Sweden</t>
  </si>
  <si>
    <t xml:space="preserve">Svensson, J (corresponding author), Blekinge Inst Technol, Dept Hlth, SE-37971 Karlskrona, Sweden.</t>
  </si>
  <si>
    <t xml:space="preserve">jenny.svensson@bth.se</t>
  </si>
  <si>
    <t xml:space="preserve">Axén, Anna/JJF-8343-2023; Hjelm, Markus/AAB-2862-2021</t>
  </si>
  <si>
    <t xml:space="preserve">Andersson, Ewa K/0000-0002-4282-8901; Hjelm, Markus/0000-0003-2225-7598</t>
  </si>
  <si>
    <t xml:space="preserve">Department of Health, Blekinge Institute of Technology, Karlskrona, Sweden</t>
  </si>
  <si>
    <t xml:space="preserve">The authors were supported by the Department of Health, Blekinge Institute of Technology, Karlskrona, Sweden.</t>
  </si>
  <si>
    <t xml:space="preserve">111 RIVER ST, HOBOKEN, NJ 07030 USA</t>
  </si>
  <si>
    <t xml:space="preserve">2054-1058</t>
  </si>
  <si>
    <t xml:space="preserve">NURS OPEN</t>
  </si>
  <si>
    <t xml:space="preserve">NURS. OPEN</t>
  </si>
  <si>
    <t xml:space="preserve">10.1002/nop2.842</t>
  </si>
  <si>
    <t xml:space="preserve">MAR 2021</t>
  </si>
  <si>
    <t xml:space="preserve">SO2UY</t>
  </si>
  <si>
    <t xml:space="preserve">WOS:000627691900001</t>
  </si>
  <si>
    <t xml:space="preserve">Maglogiannis, I; Macintyre, J; Iliadis, L</t>
  </si>
  <si>
    <t xml:space="preserve">A Multi-view Clustering Approach for Analysis of Streaming Data</t>
  </si>
  <si>
    <t xml:space="preserve">ARTIFICIAL INTELLIGENCE APPLICATIONS AND INNOVATIONS, AIAI 2021</t>
  </si>
  <si>
    <t xml:space="preserve">17th IFIP WG 12.5 International Conference on Artificial Intelligence Applications and Innovations (AIAI) / 6th 5G-PINE Workshop / AI-BIO Workshop / DAAI Workshop / DARE Workshop / EEAI Workshop / 10th MHDW Workshop</t>
  </si>
  <si>
    <t xml:space="preserve">JUN 25-27, 2021</t>
  </si>
  <si>
    <t xml:space="preserve">Hersonissos, GREECE</t>
  </si>
  <si>
    <t xml:space="preserve">IFIP WG 12 5</t>
  </si>
  <si>
    <t xml:space="preserve">Multi-view clustering; Multi-instance learning; Closed patterns; Streaming data; Formal concept analysis</t>
  </si>
  <si>
    <t xml:space="preserve">Data available today in smart monitoring applications such as smart buildings, machine health monitoring, smart healthcare, etc., is not centralized and usually supplied by a number of different devices (sensors, mobile devices and edge nodes). Due to which the data has a heterogeneous nature and provides different perspectives (views) about the studied phenomenon. This makes the monitoring task very challenging, requiring machine learning and data mining models that are not only able to continuously integrate and analyze multi-view streaming data, but also are capable of adapting to concept drift scenarios of newly arriving data. This study presents a multi-view clustering approach that can be applied for monitoring and analysis of streaming data scenarios. The approach allows for parallel monitoring of the individual view clustering models and mining view correlations in the integrated (global) clustering models. The global model built at each data chunk is a formal concept lattice generated by a formal context consisting of closed patterns representing the most typical correlations among the views. The proposed approach is evaluated on two different data sets. The obtained results demonstrate that it is suitable for modelling and monitoring multi-view streaming phenomena by providing means for continuous analysis and pattern mining.</t>
  </si>
  <si>
    <t xml:space="preserve">Boeva, Veselka/IAP-9371-2023; Devagiri, Vishnu Manasa/IAQ-6663-2023; Abghari, Shahrooz/ADU-1546-2022</t>
  </si>
  <si>
    <t xml:space="preserve">Devagiri, Vishnu Manasa/0000-0003-3371-5347</t>
  </si>
  <si>
    <t xml:space="preserve">This work is funded in part of the research project Scalable resource efficient systems for big data analytics funded by the Knowledge Foundation (grant: 20140032) in Sweden.</t>
  </si>
  <si>
    <t xml:space="preserve">978-3-030-79152-0; 978-3-030-79150-6; 978-3-030-79149-0</t>
  </si>
  <si>
    <t xml:space="preserve">10.1007/978-3-030-79150-6_14</t>
  </si>
  <si>
    <t xml:space="preserve">Computer Science, Artificial Intelligence; Computer Science, Theory &amp; Methods; Telecommunications</t>
  </si>
  <si>
    <t xml:space="preserve">BX4GC</t>
  </si>
  <si>
    <t xml:space="preserve">WOS:001289290500014</t>
  </si>
  <si>
    <t xml:space="preserve">Bertoni, M; Bertoni, A</t>
  </si>
  <si>
    <t xml:space="preserve">Bertoni, Marco; Bertoni, Alessandro</t>
  </si>
  <si>
    <t xml:space="preserve">Measuring Experiential Learning: An Approach Based on Lessons Learned Mapping</t>
  </si>
  <si>
    <t xml:space="preserve">EDUCATION SCIENCES</t>
  </si>
  <si>
    <t xml:space="preserve">experiential learning; CDIO; lessons learned; engineering; innovation project; industrial collaboration; measurement framework</t>
  </si>
  <si>
    <t xml:space="preserve">Fostering 'experiential learning' in real-life situations is a critical task for engineering educators when creating constructively aligned learning activities. The paper proposes an approach to measure the students' perception of learning in Conceive-Design-Implement-Operate activities conducted outside the classroom. The approach is based on the opportunity of gathering and analyzing lessons learned from the student reflection reports at the end of a team-based innovation project performed in collaboration with company partners. The approach is intended to provide a basis for the future development of innovation projects with engineering students, supporting the definition of learning outcomes that are relevant for the CDIO Syllabus 2.0, and of constructively aligned learning experiences. The paper exemplifies the approach with regards to a master course named Value Innovation and presents the findings obtained at the third and second level of the CDIO Syllabus 2.0. The results of the course implementation show how short team-based innovation projects largely contributed in developing social and communication-related skills in engineering students, going beyond the mere application of their technical skills.</t>
  </si>
  <si>
    <t xml:space="preserve">[Bertoni, Marco; Bertoni, Alessandro] Blekinge Inst Technol, Dept Mech Engn, S-37179 Karlskrona, Sweden</t>
  </si>
  <si>
    <t xml:space="preserve">marco.bertoni@bth.se; alessandro.bertoni@bth.se</t>
  </si>
  <si>
    <t xml:space="preserve">Bertoni, Alessandro/0000-0001-5114-4811; Bertoni, Marco/0000-0002-5076-3300</t>
  </si>
  <si>
    <t xml:space="preserve">Knowledge Foundation (KK-stiftelsen) in Sweden</t>
  </si>
  <si>
    <t xml:space="preserve">This research was funded by the Knowledge Foundation (KK-stiftelsen) in Sweden through the AVANS Programme.</t>
  </si>
  <si>
    <t xml:space="preserve">2227-7102</t>
  </si>
  <si>
    <t xml:space="preserve">EDUC SCI</t>
  </si>
  <si>
    <t xml:space="preserve">Educ. Sci.</t>
  </si>
  <si>
    <t xml:space="preserve">10.3390/educsci10010011</t>
  </si>
  <si>
    <t xml:space="preserve">KL6IE</t>
  </si>
  <si>
    <t xml:space="preserve">WOS:000513524100005</t>
  </si>
  <si>
    <t xml:space="preserve">Silonosov, A; Henesey, L</t>
  </si>
  <si>
    <t xml:space="preserve">Silonosov, Alexandr; Henesey, Lawrence</t>
  </si>
  <si>
    <t xml:space="preserve">Telemetry data sharing based on Attribute-Based Encryption (ABE) schemes for cloud-based Drone Management system.</t>
  </si>
  <si>
    <t xml:space="preserve">19TH INTERNATIONAL CONFERENCE ON AVAILABILITY, RELIABILITY, AND SECURITY, ARES 2024</t>
  </si>
  <si>
    <t xml:space="preserve">19th International Conference on Availability, Reliability, and Security (ARES)</t>
  </si>
  <si>
    <t xml:space="preserve">JUL 30-AUG 02, 2024</t>
  </si>
  <si>
    <t xml:space="preserve">Vienna, AUSTRIA</t>
  </si>
  <si>
    <t xml:space="preserve">audit log data; telemetry; cryptographic agility; end-to-end encryption; key-encapsulation mechanism; attribute based encryption</t>
  </si>
  <si>
    <t xml:space="preserve">The research presented in the paper evaluates practices of Attribute-Based Encryption, leading to a proposed end-to-end encryption strategy for a cloud-based drone management system. Though extensively used for efficiently gathering and sharing video surveilance data, these systems also collect telemetry information with sensitive data. This paper presents a study addressing the current state of knowledge, methodologies, and challenges associated with supporting cryptographic agility for End-to-End Encryption (E2EE) for telemetry data confidentiality. To enhance cryptographic agility performance, a new metric has been introduced for cryptographic library analysis that improves the methodology by considering Attribute-Based Encryption (ABE) with a conventional key-encapsulation mechanism in OpenSSL. A comprehensive series of experiments are undertaken to simulate cryptographic agility within the proposed system, showcasing the practical applicability of the proposed approach in measuring cryptographic agility performance.</t>
  </si>
  <si>
    <t xml:space="preserve">[Silonosov, Alexandr; Henesey, Lawrence] Blekinge Inst Technol, Karlskrona, Sweden</t>
  </si>
  <si>
    <t xml:space="preserve">Silonosov, A (corresponding author), Blekinge Inst Technol, Karlskrona, Sweden.</t>
  </si>
  <si>
    <t xml:space="preserve">aiv@bth.se; lhe@bth.se</t>
  </si>
  <si>
    <t xml:space="preserve">Silonosov, Alexandr/ACD-9019-2022</t>
  </si>
  <si>
    <t xml:space="preserve">979-8-4007-1718-5</t>
  </si>
  <si>
    <t xml:space="preserve">10.1145/3664476.3670909</t>
  </si>
  <si>
    <t xml:space="preserve">Computer Science, Information Systems; Engineering, Multidisciplinary</t>
  </si>
  <si>
    <t xml:space="preserve">BX3QU</t>
  </si>
  <si>
    <t xml:space="preserve">WOS:001283894700158</t>
  </si>
  <si>
    <t xml:space="preserve">Missimer, M; Mesquita, PL</t>
  </si>
  <si>
    <t xml:space="preserve">Missimer, Merlina; Mesquita, Patricia Lagun</t>
  </si>
  <si>
    <t xml:space="preserve">Social Sustainability in Business Organizations: A Research Agenda</t>
  </si>
  <si>
    <t xml:space="preserve">social sustainability; strategic sustainable development; research agenda; business; systems approaches</t>
  </si>
  <si>
    <t xml:space="preserve">SUPPLY CHAIN MANAGEMENT; DYNAMIC CAPABILITIES; CORPORATE SUSTAINABILITY; PRODUCT DEVELOPMENT; STRATEGIC APPROACH; INCOME INEQUALITY; FRAMEWORK; SYSTEMS; IMPLEMENTATION; GOVERNANCE</t>
  </si>
  <si>
    <t xml:space="preserve">Since the economic crisis in 2008, the world has seen a partly negative shift in social progress, highlighting that current economic models and practices do not guarantee long-lasting societal and human wellbeing. Economic models and business practices are deeply intertwined; thus, businesses play a major role in the advancement of social sustainability, and academic research can offer support in navigating the complexity of this issue. However, social sustainability tends to be under-researched. This article summarizes the discussion in general business management, product development, and supply-chain management, and from this suggest a research agenda to help in guiding systematic change in business organizations towards social sustainability. The article identifies ten main challenges and offers five recommendations to move the field forward, namely, a more explicit engagement with and discussion of social systems-science based ideas, and a more explicit determination as a field to converge on key pieces leading towards a clearer definition of the concept. Lastly, it recommends that research needs to focus on how to overcome fragmented organizational structures, how to achieve true integration into existing processes and tools, and how to support organizations to become more dynamic in working with these issues.</t>
  </si>
  <si>
    <t xml:space="preserve">[Missimer, Merlina; Mesquita, Patricia Lagun] Blekinge Inst Technol, Dept Strateg Sustainable Dev, S-37141 Karlskrona, Sweden</t>
  </si>
  <si>
    <t xml:space="preserve">Missimer, M (corresponding author), Blekinge Inst Technol, Dept Strateg Sustainable Dev, S-37141 Karlskrona, Sweden.</t>
  </si>
  <si>
    <t xml:space="preserve">mis@bth.se; pdl@bth.se</t>
  </si>
  <si>
    <t xml:space="preserve">Mesquita, Patricia/AAF-3373-2021</t>
  </si>
  <si>
    <t xml:space="preserve">Missimer, Merlina/0000-0002-5822-5152</t>
  </si>
  <si>
    <t xml:space="preserve">10.3390/su14052608</t>
  </si>
  <si>
    <t xml:space="preserve">ZT0ZM</t>
  </si>
  <si>
    <t xml:space="preserve">WOS:000768885500001</t>
  </si>
  <si>
    <t xml:space="preserve">Mouli, KD; Kadali, SSS; Chu, TMC; Zepernick, HJ</t>
  </si>
  <si>
    <t xml:space="preserve">Mouli, Kondapalli Durga Sri; Kadali, Sesha Sai Shashikanth; Chu, Thi My Chinh; Zepernick, Hans-Jurgen</t>
  </si>
  <si>
    <t xml:space="preserve">Performance of MIMO MRT-MRC Systems with Antenna Grouping and Interference Cancellation</t>
  </si>
  <si>
    <t xml:space="preserve">IEEE ICCE 2020: 2020 IEEE EIGHTH INTERNATIONAL CONFERENCE ON COMMUNICATIONS AND ELECTRONICS (ICCE)</t>
  </si>
  <si>
    <t xml:space="preserve">8th IEEE International Conference on Communications and Electronics (IEEE ICCE)</t>
  </si>
  <si>
    <t xml:space="preserve">JAN 13-15, 2021</t>
  </si>
  <si>
    <t xml:space="preserve">VIETNAM</t>
  </si>
  <si>
    <t xml:space="preserve">IEEE,BACH KHOA DAI HOC,BK TP HCM,Sch Elect &amp; Telecommunicat, Vien Dien,IEEE Vietnam Sect,IEEE,IEEE Commun Soc,IEEE APS,IEEE Photon Soc,Korean Inst Commun &amp; Informat Sci,REV,Off Naval Res,Asian Off Aerosp R &amp; D,VINIF,ASIC Technologies,VIETTEL,vietnam.com</t>
  </si>
  <si>
    <t xml:space="preserve">CAPACITY; ERROR</t>
  </si>
  <si>
    <t xml:space="preserve">In this paper, antenna grouping together with maximum ratio transmission (MRT), maximum ratio combining (MRC), and interference cancellation is used to improve the performance of MIMO systems. In particular, the transmit and receive antennas are divided into two antenna groups to reduce correlation between antennas and to improve spatial separation between data streams. Analytical expressions for the outage probability, symbol error rate, channel capacity, and total channel capacity of the MIMO MRT-MRC system with antenna grouping and interference cancellation are derived. The effect of the power allocation to the two antenna groupings on system performance is also studied. The numerical results show that an optimal value of the power allocation coefficient exists that achieves a maximum total channel capacity. Further, for a given power allocation coefficient, there exists an antenna configuration that maximizes the total channel capacity of the considered MIMO MRT-MRC system. These findings allow to select both the optimal power allocation coefficient for a given antenna grouping and the preferable antenna grouping for a given power allocation coefficient that maximize the total channel capacity of the system.</t>
  </si>
  <si>
    <t xml:space="preserve">[Mouli, Kondapalli Durga Sri; Kadali, Sesha Sai Shashikanth; Chu, Thi My Chinh; Zepernick, Hans-Jurgen] Blekinge Inst Technol, SE-37179 Karlskrona, Sweden</t>
  </si>
  <si>
    <t xml:space="preserve">Mouli, KD (corresponding author), Blekinge Inst Technol, SE-37179 Karlskrona, Sweden.</t>
  </si>
  <si>
    <t xml:space="preserve">durgasrimouli@gmail.com; shashi.kadali@gmail.com; cch@bth.se; hjz@bth.se</t>
  </si>
  <si>
    <t xml:space="preserve">978-1-7281-5471-8</t>
  </si>
  <si>
    <t xml:space="preserve">10.1109/ICCE48956.2021.9352150</t>
  </si>
  <si>
    <t xml:space="preserve">Computer Science, Information Systems; Engineering, Electrical &amp; Electronic; Imaging Science &amp; Photographic Technology; Telecommunications</t>
  </si>
  <si>
    <t xml:space="preserve">Computer Science; Engineering; Imaging Science &amp; Photographic Technology; Telecommunications</t>
  </si>
  <si>
    <t xml:space="preserve">BR8BG</t>
  </si>
  <si>
    <t xml:space="preserve">WOS:000670611800013</t>
  </si>
  <si>
    <t xml:space="preserve">Silvander, J</t>
  </si>
  <si>
    <t xml:space="preserve">Shishkov, B</t>
  </si>
  <si>
    <t xml:space="preserve">Silvander, Johan</t>
  </si>
  <si>
    <t xml:space="preserve">On Context Frames and Their Implementations</t>
  </si>
  <si>
    <t xml:space="preserve">BUSINESS MODELING AND SOFTWARE DESIGN (BMSD 2021)</t>
  </si>
  <si>
    <t xml:space="preserve">11th International Symposium on Business Modeling and Software Design (BMSD)</t>
  </si>
  <si>
    <t xml:space="preserve">Sofia, BULGARIA</t>
  </si>
  <si>
    <t xml:space="preserve">Bayesian approach; Structural causal models; Context frame</t>
  </si>
  <si>
    <t xml:space="preserve">CAUSAL INFERENCE</t>
  </si>
  <si>
    <t xml:space="preserve">When an actor is selecting an action in order to fulfill its intents, in a given context, the actor's knowledge and beliefs about the specific context will impact the possibility to achieve a desired outcome. The context is often affected by unobserved, or unmeasured, factors, which can impact the result of the desired outcome. The context specific knowledge and beliefs an actor has about a domain, together with the possibilities to evaluate and learn which actions shall be taken, are packaged into a context frame. Our intention with this study is to evaluate an implementation of such a context frame. The context frame concept is meant to support actors to fulfill their intents in a given knowledge domain, by enforcing the needed, and available, actions which cause effects on the outcomes. We have built our implementation of the context frame on the OODA-loop, Pask's conversation theory, and structural causal models, by using a Bayesian approach, and probabilistic programming. The research approach is based on evaluation research. We evaluated our implementation with the help of a proof of concept. During the proof of concept we used data sets containing decisions about treatment and survival analysis regarding cancer patients, information obtained during focus group interviews, and questionnaire data. The proof of concept used to evaluate our implementation of a context frame was regarded as successful and the concept of context frames deemed as useful. Our division of a context frame in three parts, supported by four different types of analysis functions, made it easier to create a solution which supports evaluation and learning.</t>
  </si>
  <si>
    <t xml:space="preserve">[Silvander, Johan] Blekinge Inst Technol, Software Engn Res Lab Sweden, Karlskrona, Sweden</t>
  </si>
  <si>
    <t xml:space="preserve">Silvander, J (corresponding author), Blekinge Inst Technol, Software Engn Res Lab Sweden, Karlskrona, Sweden.</t>
  </si>
  <si>
    <t xml:space="preserve">Johan.Silvander@bth.se</t>
  </si>
  <si>
    <t xml:space="preserve">978-3-030-79976-2; 978-3-030-79975-5</t>
  </si>
  <si>
    <t xml:space="preserve">10.1007/978-3-030-79976-2_8</t>
  </si>
  <si>
    <t xml:space="preserve">Business; Computer Science, Information Systems; Computer Science, Software Engineering</t>
  </si>
  <si>
    <t xml:space="preserve">Business &amp; Economics; Computer Science</t>
  </si>
  <si>
    <t xml:space="preserve">BT6FI</t>
  </si>
  <si>
    <t xml:space="preserve">WOS:000841498500008</t>
  </si>
  <si>
    <t xml:space="preserve">Minhas, NM; Petersen, K; Börstler, J; Wnuk, K</t>
  </si>
  <si>
    <t xml:space="preserve">Minhas, Nasir Mehmood; Petersen, Kai; Borstler, Jurgen; Wnuk, Krzysztof</t>
  </si>
  <si>
    <t xml:space="preserve">Regression testing for large-scale embedded software development - Exploring the state of practice</t>
  </si>
  <si>
    <t xml:space="preserve">Regression testing; Practices; Challenges; Goals; Multi-case study</t>
  </si>
  <si>
    <t xml:space="preserve">SELECTION; SYSTEM; AGILE</t>
  </si>
  <si>
    <t xml:space="preserve">Context: A majority of the regression testing techniques proposed by academics have not been adopted in industry. To increase adoption rates, we need to improve our understanding of the practitioners' perspectives on regression testing. Objective: This study aims at exploring the regression testing state of practice in the large-scale embedded software development. The study has two objectives: 1) to highlight the potential challenges in practice, and 2) to identify the industry-relevant research areas regarding regression testing. Method: We conducted a qualitative study in two large-scale embedded software development companies, where we carried out semi-structured interviews with representatives from five software testing teams. Results: The practitioners run regression testing mostly with limited scope based on the size, complexity, and location of the change. Test cases are prioritized on the basis of risk and critical functionality. The practitioners rely on their knowledge and experience for the decision making regarding selection and prioritization of test cases. The companies are using both automated and manual regression testing, and mainly rely on in-house developed tools for test automation. The challenges identified in the companies are: time to test, information management, test suite maintenance, lack of communication, test selection/prioritization, lack of assessment, etc. Regression testing goals identified in this study are customer satisfaction, critical defect detection, confidence, effectiveness, efficiency, and controlled slip through of faults. Conclusions: Considering the current state of practice and the identified challenges we conclude that there is a need to reconsider the regression test strategy in the companies. Researchers need to analyze the industry perspective when proposing new regression testing techniques.</t>
  </si>
  <si>
    <t xml:space="preserve">[Minhas, Nasir Mehmood; Petersen, Kai; Borstler, Jurgen; Wnuk, Krzysztof] Blekinge Inst Technol, Dept Software Engn, Karlskrona, Sweden</t>
  </si>
  <si>
    <t xml:space="preserve">Minhas, NM (corresponding author), Blekinge Inst Technol, Dept Software Engn, Karlskrona, Sweden.</t>
  </si>
  <si>
    <t xml:space="preserve">nasir.mehmood.minhas@bth.se; kai.petersen@bth.se; jurgen.borstler@bth.se; krzysztof.wnuk@bth.se</t>
  </si>
  <si>
    <t xml:space="preserve">Börstler, Jürgen/IWE-4001-2023; Minhas, Nasir/AAP-4624-2021; Minhas, Nasir Mehmood/G-4297-2018</t>
  </si>
  <si>
    <t xml:space="preserve">Borstler, Jurgen/0000-0003-0639-4234; Petersen, Kai/0000-0002-1532-8223; Minhas, Nasir Mehmood/0000-0001-8177-4355</t>
  </si>
  <si>
    <t xml:space="preserve">Vinnova; Sony Mobile; Axis; Softhouse through the EASE Industrial Excellence Center [2015-03235]; Vinnova [2015-03235] Funding Source: Vinnova</t>
  </si>
  <si>
    <t xml:space="preserve">Vinnova(Vinnova); Sony Mobile; Axis; Softhouse through the EASE Industrial Excellence Center; Vinnova(Vinnova)</t>
  </si>
  <si>
    <t xml:space="preserve">The authors would like to thank the practitioners from Sony Mobile Communications AB and Axis Communications AB, who participated in all sessions of the study. We are also thankful to all facilitators who helped us in organizing the study. The funding agency Vinnova, as well as Sony Mobile, Axis and Softhouse support the work through the EASE Industrial Excellence Center (reference number 2015-03235).</t>
  </si>
  <si>
    <t xml:space="preserve">10.1016/j.infsof.2019.106254</t>
  </si>
  <si>
    <t xml:space="preserve">KM6FK</t>
  </si>
  <si>
    <t xml:space="preserve">WOS:000514233800006</t>
  </si>
  <si>
    <t xml:space="preserve">Frattini, J</t>
  </si>
  <si>
    <t xml:space="preserve">Mendez, D; Moreira, A</t>
  </si>
  <si>
    <t xml:space="preserve">Frattini, Julian</t>
  </si>
  <si>
    <t xml:space="preserve">Identifying Relevant Factors of Requirements Quality: An Industrial Case Study</t>
  </si>
  <si>
    <t xml:space="preserve">REQUIREMENTS ENGINEERING: FOUNDATION FOR SOFTWARE QUALITY, REFSQ 2024</t>
  </si>
  <si>
    <t xml:space="preserve">30th International Working Conference on Requirements Engineering - Foundation for Software Quality (REFSQ)</t>
  </si>
  <si>
    <t xml:space="preserve">APR 08-11, 2024</t>
  </si>
  <si>
    <t xml:space="preserve">Winterthur, SWITZERLAND</t>
  </si>
  <si>
    <t xml:space="preserve">Zhaw, Sch Engn, InIT Inst Comp Sci,Fachhochschule Nordwestschweiz,Fortiss,IREB,Springer,XITASO</t>
  </si>
  <si>
    <t xml:space="preserve">Requirements quality; Case study; Interview</t>
  </si>
  <si>
    <t xml:space="preserve">CONTEXT</t>
  </si>
  <si>
    <t xml:space="preserve">[Context and Motivation]: The quality of requirements specifications impacts subsequent, dependent software engineering activities. Requirements quality defects like ambiguous statements can result in incomplete or wrong features and even lead to budget overrun or project failure. [Problem]: Attempts at measuring the impact of requirements quality have been held back by the vast amount of interacting factors. Requirements quality research lacks an understanding of which factors are relevant in practice. [Principal Ideas and Results]: We conduct a case study considering data from both interview transcripts and issue reports to identify relevant factors of requirements quality. The results include 17 factors and 11 interaction effects relevant to the case company. [Contribution]: The results contribute empirical evidence that (1) strengthens existing requirements engineering theories and (2) advances industry-relevant requirements quality research.</t>
  </si>
  <si>
    <t xml:space="preserve">[Frattini, Julian] Blekinge Inst Technol, Valhallavagen 1, S-37141 Karlskrona, Sweden</t>
  </si>
  <si>
    <t xml:space="preserve">Frattini, J (corresponding author), Blekinge Inst Technol, Valhallavagen 1, S-37141 Karlskrona, Sweden.</t>
  </si>
  <si>
    <t xml:space="preserve">julian.frattini@bth.se</t>
  </si>
  <si>
    <t xml:space="preserve">Frattini, Julian/0000-0003-3995-6125</t>
  </si>
  <si>
    <t xml:space="preserve">This work was supported by the KKS foundation through the S.E.R.T. Research Profile project at Blekinge Institute of Technology. I thank Michael Unterkalmsteiner for independently performing the coding task. Furthermore, I owe great thanks to Parisa Yousefi, Charlotte Ljungman, and Fabiano Sato from Ericsson for their continuous support that made this work possible in the first place.</t>
  </si>
  <si>
    <t xml:space="preserve">978-3-031-57326-2; 978-3-031-57327-9</t>
  </si>
  <si>
    <t xml:space="preserve">10.1007/978-3-031-57327-9_2</t>
  </si>
  <si>
    <t xml:space="preserve">BW9AK</t>
  </si>
  <si>
    <t xml:space="preserve">WOS:001209314200002</t>
  </si>
  <si>
    <t xml:space="preserve">Kelkkanen, V; Lindero, D; Fiedler, M; Zepernick, HJ</t>
  </si>
  <si>
    <t xml:space="preserve">Kelkkanen, Viktor; Lindero, David; Fiedler, Markus; Zepernick, Hans-Juergen</t>
  </si>
  <si>
    <t xml:space="preserve">Hand-Controller Latency and Aiming Accuracy in 6-DOF VR</t>
  </si>
  <si>
    <t xml:space="preserve">ADVANCES IN HUMAN-COMPUTER INTERACTION</t>
  </si>
  <si>
    <t xml:space="preserve">TRACKING; ROBOT</t>
  </si>
  <si>
    <t xml:space="preserve">All virtual reality (VR) systems have some inherent hand-controller latency even when operated locally. In remotely rendered VR, additional latency may be added due to the remote transmission of data, commonly conducted through shared low-capacity channels. Increased latency will negatively affect the performance of the human VR operator, but the level of detriment depends on the given task. This work quantifies the relations between aiming accuracy and hand-controller latency, virtual target speed, and the predictability of the target motion. The tested context involves a target that changes direction multiple times while moving in straight lines. The main conclusions are, given the tested context, first, that the predictability of target motion becomes significantly more important as latency and target speed increase. A significant difference in accuracy is generally observed at latencies beyond approximately 130 ms and at target speeds beyond approximately 3.5 degrees/s. Second, latency starts to significantly impact accuracy at roughly 90 ms and approximately 3.5 degrees/s if the target motion cannot be predicted. If it can, the numbers are approximately 130 ms and 12.7 degrees/s. Finally, reaction times are on average 190-200 ms when the target motion changes to a new and unpredictable direction.</t>
  </si>
  <si>
    <t xml:space="preserve">[Kelkkanen, Viktor; Lindero, David; Fiedler, Markus; Zepernick, Hans-Juergen] Blekinge Inst Technol, Karlskrona, Sweden</t>
  </si>
  <si>
    <t xml:space="preserve">Kelkkanen, V (corresponding author), Blekinge Inst Technol, Karlskrona, Sweden.</t>
  </si>
  <si>
    <t xml:space="preserve">viktor.kelkkanen@bth.se; david.lindero@ericsson.com; markus.fiedler@bth.se; hjz@bth.se</t>
  </si>
  <si>
    <t xml:space="preserve">Fiedler, Markus/0000-0001-8929-4911; Zepernick, Hans-Jurgen/0000-0003-3604-2766</t>
  </si>
  <si>
    <t xml:space="preserve">The authors wish to thank the KK Foundation for the funding of the ViaTecH and HINTS projects under the contract nos. 20170056 and 20220068, respectively. A special thanks also goes out to everyone who participated in the experiment. [20170056, 20220068]; KK Foundation</t>
  </si>
  <si>
    <t xml:space="preserve">The authors wish to thank the KK Foundation for the funding of the ViaTecH and HINTS projects under the contract nos. 20170056 and 20220068, respectively. A special thanks also goes out to everyone who participated in the experiment.; KK Foundation</t>
  </si>
  <si>
    <t xml:space="preserve">The authors wish to thank the KK Foundation for the funding of the ViaTecH and HINTS projects under the contract nos. 20170056 and 20220068, respectively. A special thanks also goes out to everyone who participated in the experiment.</t>
  </si>
  <si>
    <t xml:space="preserve">HINDAWI LTD</t>
  </si>
  <si>
    <t xml:space="preserve">LONDON</t>
  </si>
  <si>
    <t xml:space="preserve">ADAM HOUSE, 3RD FLR, 1 FITZROY SQ, LONDON, W1T 5HF, ENGLAND</t>
  </si>
  <si>
    <t xml:space="preserve">1687-5893</t>
  </si>
  <si>
    <t xml:space="preserve">1687-5907</t>
  </si>
  <si>
    <t xml:space="preserve">ADV HUM-COMPUT INTER</t>
  </si>
  <si>
    <t xml:space="preserve">Adv. Hum-Comput. Interact.</t>
  </si>
  <si>
    <t xml:space="preserve">SEP 25</t>
  </si>
  <si>
    <t xml:space="preserve">10.1155/2023/1563506</t>
  </si>
  <si>
    <t xml:space="preserve">T3XG9</t>
  </si>
  <si>
    <t xml:space="preserve">WOS:001077344100001</t>
  </si>
  <si>
    <t xml:space="preserve">Abdeen, W; Chen, XR; Unterkalmsteiner, M</t>
  </si>
  <si>
    <t xml:space="preserve">Abdeen, Waleed; Chen, Xingru; Unterkalmsteiner, Michael</t>
  </si>
  <si>
    <t xml:space="preserve">An approach for performance requirements verification and test environments generation</t>
  </si>
  <si>
    <t xml:space="preserve">REQUIREMENTS ENGINEERING</t>
  </si>
  <si>
    <t xml:space="preserve">Model-based testing; Performance requirements modeling; Performance aspects; Natural language requirements</t>
  </si>
  <si>
    <t xml:space="preserve">MODEL</t>
  </si>
  <si>
    <t xml:space="preserve">Model-based testing (MBT) is a method that supports the design and execution of test cases by models that specify the intended behaviors of a system under test. While systematic literature reviews on MBT in general exist, the state of the art on modeling and testing performance requirements has seen much less attention. Therefore, we conducted a systematic mapping study on model-based performance testing. Then, we studied natural language software requirements specifications in order to understand which and how performance requirements are typically specified. Since none of the identified MBT techniques supported a major benefit of modeling, namely identifying faults in requirements specifications, we developed the Performance Requirements verificatiOn and Test EnvironmentS generaTion approach (PRO-TEST). Finally, we evaluated PRO-TEST on 149 requirements specifications. We found and analyzed 57 primary studies from the systematic mapping study and extracted 50 performance requirements models. However, those models don't achieve the goals of MBT, which are validating requirements, ensuring their testability, and generating the minimum required test cases. We analyzed 77 Software Requirements Specification (SRS) documents, extracted 149 performance requirements from those SRS, and illustrate that with PRO-TEST we can model performance requirements, find issues in those requirements and detect missing ones. We detected three not-quantifiable requirements, 43 not-quantified requirements, and 180 underspecified parameters in the 149 modeled performance requirements. Furthermore, we generated 96 test environments from those models. By modeling performance requirements with PRO-TEST, we can identify issues in the requirements related to their ambiguity, measurability, and completeness. Additionally, it allows to generate parameters for test environments.</t>
  </si>
  <si>
    <t xml:space="preserve">[Abdeen, Waleed; Chen, Xingru; Unterkalmsteiner, Michael] Blekinge Inst Technol, Software Engn Dept, Karlskrona, Sweden</t>
  </si>
  <si>
    <t xml:space="preserve">Abdeen, W (corresponding author), Blekinge Inst Technol, Software Engn Dept, Karlskrona, Sweden.</t>
  </si>
  <si>
    <t xml:space="preserve">waleed.abdeen@bth.se; xingru.chen@bth.se; michael.unterkalmsteiner@bth.se</t>
  </si>
  <si>
    <t xml:space="preserve">Abdeen, Waleed/0000-0001-8142-9631; Chen, Xingru/0000-0003-1181-9049; Unterkalmsteiner, Michael/0000-0003-4118-0952</t>
  </si>
  <si>
    <t xml:space="preserve">0947-3602</t>
  </si>
  <si>
    <t xml:space="preserve">1432-010X</t>
  </si>
  <si>
    <t xml:space="preserve">REQUIR ENG</t>
  </si>
  <si>
    <t xml:space="preserve">Requir. Eng.</t>
  </si>
  <si>
    <t xml:space="preserve">10.1007/s00766-022-00379-3</t>
  </si>
  <si>
    <t xml:space="preserve">APR 2022</t>
  </si>
  <si>
    <t xml:space="preserve">9D6ZS</t>
  </si>
  <si>
    <t xml:space="preserve">WOS:000782347800001</t>
  </si>
  <si>
    <t xml:space="preserve">Villamil, C; Schulte, J; Hallstedt, S</t>
  </si>
  <si>
    <t xml:space="preserve">Villamil, Carolina; Schulte, Jesko; Hallstedt, Sophie</t>
  </si>
  <si>
    <t xml:space="preserve">Sustainability risk and portfolio management-A strategic scenario method for sustainable product development</t>
  </si>
  <si>
    <t xml:space="preserve">backcasting; forecasting; market success; product portfolio; scenario modeling; strategic sustainable development</t>
  </si>
  <si>
    <t xml:space="preserve">ECO-INNOVATION; PROJECT; TRANSITIONS; BUSINESS; SUCCESS; SYSTEMS; DESIGN; ROLES</t>
  </si>
  <si>
    <t xml:space="preserve">Companies need to strategically develop their portfolio and find the balance between being proactive and passive in relation to sustainability. In this study, a strategic perspective based on backcasting from overarching socio-ecological sustainability principles was used as a lens to understand how companies might adapt their product portfolios to avoid threats and exploit opportunities on increasingly sustainability-driven markets. The study shows that sustainability performance, market success, and time are key areas to be considered in the product portfolio process to ensure short-term profitability and long-term competitiveness. A novel method was developed and tested in one academic group and two companies to explore how such a strategic sustainability perspective can support the product portfolio process in practice. The results indicate that the strategic layered double-flow scenario method, including different time horizons, was supportive in identifying opportunities and avoid risks in the sustainable development process at the company.</t>
  </si>
  <si>
    <t xml:space="preserve">[Villamil, Carolina; Schulte, Jesko; Hallstedt, Sophie] Blekinge Inst Technol, Strateg Sustainabil Dept, Karlskrona, Sweden</t>
  </si>
  <si>
    <t xml:space="preserve">Villamil, C (corresponding author), Blekinge Inst Technol, Strateg Sustainabil Dept, BTH Blekinge Inst Technol, Valhallavgen 1, S-37141 Karlskrona, Sweden.</t>
  </si>
  <si>
    <t xml:space="preserve">Villamil, Carolina/0000-0003-2015-3349; Schulte, Jesko/0000-0003-2563-8273; I. Hallstedt, Sophie/0000-0002-7382-1825</t>
  </si>
  <si>
    <t xml:space="preserve">VINNOVA [2020-04163]; Stiftelsen for Kunskaps-och Kompetensutveckling [20180159]; Swedish Research Council [2020-04163] Funding Source: Swedish Research Council; Vinnova [2020-04163] Funding Source: Vinnova</t>
  </si>
  <si>
    <t xml:space="preserve">VINNOVA(Vinnova); Stiftelsen for Kunskaps-och Kompetensutveckling; Swedish Research Council(Swedish Research Council); Vinnova(Vinnova)</t>
  </si>
  <si>
    <t xml:space="preserve">VINNOVA, Grant/Award Number: 2020-04163; Stiftelsen for Kunskaps-och Kompetensutveckling, Grant/Award Number: 20180159</t>
  </si>
  <si>
    <t xml:space="preserve">10.1002/bse.2934</t>
  </si>
  <si>
    <t xml:space="preserve">ZL5MM</t>
  </si>
  <si>
    <t xml:space="preserve">WOS:000714350800001</t>
  </si>
  <si>
    <t xml:space="preserve">Nord, C</t>
  </si>
  <si>
    <t xml:space="preserve">Nord, Catharina</t>
  </si>
  <si>
    <t xml:space="preserve">Liminal space and the negotiation of care work in extra-care housing</t>
  </si>
  <si>
    <t xml:space="preserve">HEALTH &amp; PLACE</t>
  </si>
  <si>
    <t xml:space="preserve">Care work; Extra-care housing; Elderly; Liminal space; Architectural space</t>
  </si>
  <si>
    <t xml:space="preserve">OLDER-PEOPLE; HOME; LIFE; DESIGN; PLACE</t>
  </si>
  <si>
    <t xml:space="preserve">This is a qualitative case study of care work in a liminal space, specifically the case of an extra-care housing residence, which is an innovative housing alternative for elderly people in need of care in Sweden. The study is an exploration of social care workers' perceptions about their workplaces and their understandings of themselves, which are shaped by their embeddedness in architectural space. The extra-care housing residence appeared as a liminal space in which two dominant spaces - home care services and residential care - underpinned the staff's perceptions of an unclear workplace and their identity work.</t>
  </si>
  <si>
    <t xml:space="preserve">[Nord, Catharina] Blekinge Inst Technol, BTH Dept Spatial Planning, S-37179 Karlskrona, Sweden</t>
  </si>
  <si>
    <t xml:space="preserve">Nord, C (corresponding author), Blekinge Inst Technol, BTH Dept Spatial Planning, S-37179 Karlskrona, Sweden.</t>
  </si>
  <si>
    <t xml:space="preserve">catharina.nord@bth.se</t>
  </si>
  <si>
    <t xml:space="preserve">Swedish Research Council for Health, Working Life and Welfare, Forte [2014-00427]; Kungsleden AB; Formas [2014-00427] Funding Source: Formas; Forte [2014-00427] Funding Source: Forte</t>
  </si>
  <si>
    <t xml:space="preserve">Swedish Research Council for Health, Working Life and Welfare, Forte; Kungsleden AB(HOGANAS ABStatisticon AB); Formas(Swedish Research Council Formas); Forte(Swedish Research Council for Health Working Life &amp; Welfare (Forte))</t>
  </si>
  <si>
    <t xml:space="preserve">This work was supported by the Swedish Research Council for Health, Working Life and Welfare, Forte; under Grant number 2014-00427and Kungsleden AB.</t>
  </si>
  <si>
    <t xml:space="preserve">1353-8292</t>
  </si>
  <si>
    <t xml:space="preserve">1873-2054</t>
  </si>
  <si>
    <t xml:space="preserve">HEALTH PLACE</t>
  </si>
  <si>
    <t xml:space="preserve">Health Place</t>
  </si>
  <si>
    <t xml:space="preserve">10.1016/j.healthplace.2021.102575</t>
  </si>
  <si>
    <t xml:space="preserve">MAY 2021</t>
  </si>
  <si>
    <t xml:space="preserve">Public, Environmental &amp; Occupational Health</t>
  </si>
  <si>
    <t xml:space="preserve">SU8XK</t>
  </si>
  <si>
    <t xml:space="preserve">WOS:000663414400006</t>
  </si>
  <si>
    <t xml:space="preserve">Nawaz, O; Fiedler, M; Khatibi, S</t>
  </si>
  <si>
    <t xml:space="preserve">Callegari, C; Ng, SX; Sarigiannidis, P; Battiato, S; DeLeon, ASS; Ksentini, A; Lorenz, P; Obaidat, M; BenOthman, J</t>
  </si>
  <si>
    <t xml:space="preserve">Nawaz, Omer; Fiedler, Markus; Khatibi, Siamak</t>
  </si>
  <si>
    <t xml:space="preserve">Impact of Human and Content Factors on Quality of Experience of Online Video Streaming</t>
  </si>
  <si>
    <t xml:space="preserve">PROCEEDINGS OF THE 17TH INTERNATIONAL JOINT CONFERENCE ON E-BUSINESS AND TELECOMMUNICATIONS - DCNET, OPTICS, SIGMAP AND WINSYS (ICETE), VOL 2</t>
  </si>
  <si>
    <t xml:space="preserve">17th International Joint Conference on E-Business and Telecommunications (SECRYPT)</t>
  </si>
  <si>
    <t xml:space="preserve">JUL 08-10, 2020</t>
  </si>
  <si>
    <t xml:space="preserve">Quality of Experience; Mean Opinion Score; User Perception; Multimedia Communication</t>
  </si>
  <si>
    <t xml:space="preserve">Although expensive, but the most reliable measure of user perception is by direct human interaction by taking input from the user about a stimulus quality. In our previous studies, we have identified some subjects getting bored and losing focus by rating lots of video clips of small duration during subjective quality assessments. Moreover, the psychological effects, i.e. user delight, frequency of watching online videos (experience), mood, etc. must not influence the user Mean Opinion Score (MOS) for determining the quality of the shown stimuli. In this paper, we have investigated the impact of user delight, frequency of watching online video content (experience) and different mood levels on MOS for streamed video stimuli in various network conditions by subjective quality assessments. We have observed a slight tendency of better scores when the user likes the stimulus. However, our results show that if the subjective assessments are conducted by carefully following the guidelines, the users impartially rate the video stimuli solely based on the quality artifacts irrespective of their delight towards the shown content. Although, we have observed an effect of user mood on MOS ratings; for almost all the stimuli, but the results suggest the need of more detailed study; i.e. with a large and diverse set of subjects, to obtain significant statistical relevance.</t>
  </si>
  <si>
    <t xml:space="preserve">[Nawaz, Omer; Fiedler, Markus; Khatibi, Siamak] Blekinge Inst Technol, Dept Technol &amp; Aesthet, Karlshamn, Sweden</t>
  </si>
  <si>
    <t xml:space="preserve">Nawaz, O (corresponding author), Blekinge Inst Technol, Dept Technol &amp; Aesthet, Karlshamn, Sweden.</t>
  </si>
  <si>
    <t xml:space="preserve">Khatibi, Siamak/AAC-8824-2021</t>
  </si>
  <si>
    <t xml:space="preserve">Nawaz, Omer/0009-0004-2874-0403</t>
  </si>
  <si>
    <t xml:space="preserve">978-989-758-445-9</t>
  </si>
  <si>
    <t xml:space="preserve">10.5220/0009831400590066</t>
  </si>
  <si>
    <t xml:space="preserve">Computer Science, Information Systems; Computer Science, Software Engineering; Computer Science, Theory &amp; Methods; Optics; Telecommunications</t>
  </si>
  <si>
    <t xml:space="preserve">Computer Science; Optics; Telecommunications</t>
  </si>
  <si>
    <t xml:space="preserve">BQ7HI</t>
  </si>
  <si>
    <t xml:space="preserve">WOS:000615962300005</t>
  </si>
  <si>
    <t xml:space="preserve">Wohlin, C</t>
  </si>
  <si>
    <t xml:space="preserve">Wohlin, Claes</t>
  </si>
  <si>
    <t xml:space="preserve">Prof. Günther Ruhe's research contributions</t>
  </si>
  <si>
    <t xml:space="preserve">Editorial Material</t>
  </si>
  <si>
    <t xml:space="preserve">[Wohlin, Claes] Blekinge Inst Technol, Dept Software Engn, S-37179 Karlskrona, Sweden</t>
  </si>
  <si>
    <t xml:space="preserve">Wohlin, C (corresponding author), Blekinge Inst Technol, Dept Software Engn, S-37179 Karlskrona, Sweden.</t>
  </si>
  <si>
    <t xml:space="preserve">claes.wohlin@bth.se</t>
  </si>
  <si>
    <t xml:space="preserve">Wohlin, Claes/0000-0003-0460-5253</t>
  </si>
  <si>
    <t xml:space="preserve">10.1016/j.infsof.2024.107487</t>
  </si>
  <si>
    <t xml:space="preserve">MAY 2024</t>
  </si>
  <si>
    <t xml:space="preserve">TG0X7</t>
  </si>
  <si>
    <t xml:space="preserve">WOS:001240006600001</t>
  </si>
  <si>
    <t xml:space="preserve">Chen, XR; Usman, M; Badampudi, D</t>
  </si>
  <si>
    <t xml:space="preserve">Chen, Xingru; Usman, Muhammad; Badampudi, Deepika</t>
  </si>
  <si>
    <t xml:space="preserve">Understanding and evaluating software reuse costs and benefits from industrial cases-A systematic literature review</t>
  </si>
  <si>
    <t xml:space="preserve">Software reuse; Software reuse costs; Software reuse benefits; Systematic literature review</t>
  </si>
  <si>
    <t xml:space="preserve">QUALITY; PRODUCTIVITY; FRAMEWORK</t>
  </si>
  <si>
    <t xml:space="preserve">Context: Software reuse costs and benefits have been investigated in several primary studies, which have been aggregated in multiple secondary studies as well. However, existing secondary studies on software reuse have not critically appraised the evidence in primary studies. Moreover, there has been relatively less focus on how software reuse costs and benefits were measured in the primary studies, and the aggregated evidence focuses more on software reuse benefits than reuse costs. Objective: This study aims to cover the gaps mentioned in the context above by synthesizing and critically appraising the evidence reported on software reuse costs and benefits from industrial cases. Method: We used a systematic literature review (SLR) to conduct this study. The results of this SLR are based on a final set of 30 primary studies. Results: We identified nine software reuse benefits and six software reuse costs, in which better quality and improved productivity were investigated the most. The primary studies mostly used defect -based and development time -based metrics to measure reuse benefits and costs. Regarding the reuse practices, the results show that software product lines, verbatim reuse, and systematic reuse were the top investigated ones, contributing to more reuse benefits. The quality assessment of the primary studies showed that most of them are either of low (20%) or moderate (67%) quality. Conclusion: Based on the number and quality of the studies, we conclude that the strength of evidence for better quality and improved productivity as reuse benefits is high. There is a need to conduct more high quality studies to investigate, not only other reuse costs and benefits, but also how relatively new reuse -related practices, such as InnerSource and microservices architecture, impact software reuse.</t>
  </si>
  <si>
    <t xml:space="preserve">[Chen, Xingru; Usman, Muhammad; Badampudi, Deepika] Blekinge Inst Technol, Dept Software Engn, Blekinge, Sweden</t>
  </si>
  <si>
    <t xml:space="preserve">Chen, XR (corresponding author), Blekinge Inst Technol, Dept Software Engn, Blekinge, Sweden.</t>
  </si>
  <si>
    <t xml:space="preserve">xingru.chen@bth.se; muhammad.usman@bth.se; deepika.badampudi@bth.se</t>
  </si>
  <si>
    <t xml:space="preserve">Chen, Xingru/0000-0003-1181-9049; Usman, Muhammad/0000-0002-8132-0107</t>
  </si>
  <si>
    <t xml:space="preserve">Knowledge Foundation, Sweden through the OSIR project at Blekinge Institute of Technology, Sweden [20190081]</t>
  </si>
  <si>
    <t xml:space="preserve">Knowledge Foundation, Sweden through the OSIR project at Blekinge Institute of Technology, Sweden</t>
  </si>
  <si>
    <t xml:space="preserve">This research is supported by the Knowledge Foundation, Sweden through the OSIR project (reference number 20190081) at Blekinge Institute of Technology, Sweden.</t>
  </si>
  <si>
    <t xml:space="preserve">10.1016/j.infsof.2024.107451</t>
  </si>
  <si>
    <t xml:space="preserve">MAR 2024</t>
  </si>
  <si>
    <t xml:space="preserve">QT8U0</t>
  </si>
  <si>
    <t xml:space="preserve">WOS:001223219600001</t>
  </si>
  <si>
    <t xml:space="preserve">The Residents' Experience of Social and Spatial Disconnection and Connection in Residential Care During the COVID-19 Pandemic</t>
  </si>
  <si>
    <t xml:space="preserve">JOURNAL OF AGING AND ENVIRONMENT</t>
  </si>
  <si>
    <t xml:space="preserve">Architectural space; connections and disconnections; Covid-19; caring architecture; resident experiences</t>
  </si>
  <si>
    <t xml:space="preserve">This qualitative intuitive inquiry into residential care in Sweden discusses effects of social and spatial connections and disconnections during the Covid-19 pandemic. Interviews were carried out with 11 residents living in three residential care homes. Observations and spatial analyses complemented the interviews. The study investigated residents' experience of the altered use of architectural space during the different phases of the coronavirus pandemic. Restrictions comprised, in general, that public areas were emptied, while residents were confined to their private apartments 24 hours a day. This created an entirely different caring architecture and challenged the usual care model of community. However, many residents said that staying in their apartments around the clock was an experience that was very similar to ordinary days in residential care, since they normally stayed long hours in their apartments. However, the residents' disconnection from local information about the disease created a situation of great ambiguity and uncertainty about the progress of the pandemic and the state of the disease in the home. The interviewees claimed nevertheless that they had not been particularly worried about the situation. They had continued with normal leisure activities to make the time pass. It seems as though the disconnection from most of the spaces outside their apartments, as well as from staff, family and fellow residents, made it possible for them to disconnect themselves from awareness of the dangers of the disease caused by Covid-19.</t>
  </si>
  <si>
    <t xml:space="preserve">[Nord, Catharina] Blekinge Inst Technol, Dept Spatial Planning, Karlskrona, Sweden</t>
  </si>
  <si>
    <t xml:space="preserve">Nord, C (corresponding author), Blekinge Inst Technol, Dept Spatial Planning, Karlskrona, Sweden.</t>
  </si>
  <si>
    <t xml:space="preserve">Nord, Catharina/0000-0001-5295-2482</t>
  </si>
  <si>
    <t xml:space="preserve">The Kamprad Family Foundation for Entrepreneurship, Research Charity; Linneaus University, Sweden</t>
  </si>
  <si>
    <t xml:space="preserve">The fieldwork administration and interviews were carried out by Senior Lecturer Kristina Tryselius, Department of Health and Caring Sciences, Linneaus University, Sweden.</t>
  </si>
  <si>
    <t xml:space="preserve">2689-2618</t>
  </si>
  <si>
    <t xml:space="preserve">2689-2626</t>
  </si>
  <si>
    <t xml:space="preserve">J AGING ENVIRON</t>
  </si>
  <si>
    <t xml:space="preserve">J. Aging Environ.</t>
  </si>
  <si>
    <t xml:space="preserve">2024 MAR 21</t>
  </si>
  <si>
    <t xml:space="preserve">10.1080/26892618.2024.2329870</t>
  </si>
  <si>
    <t xml:space="preserve">Gerontology</t>
  </si>
  <si>
    <t xml:space="preserve">Geriatrics &amp; Gerontology</t>
  </si>
  <si>
    <t xml:space="preserve">LV1V3</t>
  </si>
  <si>
    <t xml:space="preserve">WOS:001189492900001</t>
  </si>
  <si>
    <t xml:space="preserve">Sum Rate of OTFS-NOMA Systems with K -Means Clustering of User Equipment</t>
  </si>
  <si>
    <t xml:space="preserve">2023 IEEE 34TH ANNUAL INTERNATIONAL SYMPOSIUM ON PERSONAL, INDOOR AND MOBILE RADIO COMMUNICATIONS, PIMRC</t>
  </si>
  <si>
    <t xml:space="preserve">IEEE International Symposium on Personal Indoor and Mobile Radio Communications Workshops-PIMRC Workshops</t>
  </si>
  <si>
    <t xml:space="preserve">IEEE 34th Annual International Symposium on Personal, Indoor and Mobile Radio Communications (PIMRC)</t>
  </si>
  <si>
    <t xml:space="preserve">SEP 05-08, 2023</t>
  </si>
  <si>
    <t xml:space="preserve">Toronto, CANADA</t>
  </si>
  <si>
    <t xml:space="preserve">IEEE,IEEE Commun Soc</t>
  </si>
  <si>
    <t xml:space="preserve">NONORTHOGONAL MULTIPLE-ACCESS</t>
  </si>
  <si>
    <t xml:space="preserve">In this paper, we consider a downlink scenario in which a base station (BS) communicates with user equipment (UE) that move with high speed. Orthogonal time frequency space (OTFS) modulation is used to overcome the effects of high Doppler shifts inherent with high-mobility scenarios. To increase spectral efficiency, power-domain non-orthogonal multiple access (NOMA) is combined with OTFS to form an OTFS-NOMA system. The K -means clustering algorithm is deployed which partitions the coverage area of the BS into clusters such that the UEs within a cluster have a shorter distance to the respective cluster center than to the centers of the other clusters. The cluster centers act as simultaneous multiple users on which basis power-domain NOMA selects the power allocation coefficients to reduce the mutual interference among UEs. OTFS can control the resolution of the delay-Doppler domain to more accurately compensate for propagation delays and Doppler shifts. The performance of this OTFS-NOMA system with K -means clustering of the UEs is assessed in terms of sum rate. The numerical results illustrate that the successive interference cancellation of power-domain NOMA significantly improves sum rate. Additional improvements are obtained by choosing a sufficiently large size of the delay-Doppler grid of OTFS which effectively copes with the high Doppler shifts of the considered high-mobility scenario.</t>
  </si>
  <si>
    <t xml:space="preserve">2166-9570</t>
  </si>
  <si>
    <t xml:space="preserve">978-1-6654-6483-3</t>
  </si>
  <si>
    <t xml:space="preserve">UEEE INT SYM PERS IN</t>
  </si>
  <si>
    <t xml:space="preserve">10.1109/PIMRC56721.2023.10293982</t>
  </si>
  <si>
    <t xml:space="preserve">BW1AT</t>
  </si>
  <si>
    <t xml:space="preserve">WOS:001103214700233</t>
  </si>
  <si>
    <t xml:space="preserve">Tanveer, B; Usman, M</t>
  </si>
  <si>
    <t xml:space="preserve">Tanveer, Binish; Usman, Muhammad</t>
  </si>
  <si>
    <t xml:space="preserve">An Empirical Study on the Use of CDIO in Software Engineering Education</t>
  </si>
  <si>
    <t xml:space="preserve">IEEE TRANSACTIONS ON EDUCATION</t>
  </si>
  <si>
    <t xml:space="preserve">Education; Interviews; Standards; Systematics; Software engineering; Databases; Software; CDIO; empirical study; software engineering (SE) education; systematic mapping study (SMS)</t>
  </si>
  <si>
    <t xml:space="preserve">Contribution: In this study, we accumulated the knowledge and generated evidence on how and in what context CDIO framework has been used in software engineering (SE) education. The aggregated evidence will enable SE academics in making informed decisions while adopting CDIO for SE education and build upon it. Background: CDIO framework is relevant for SE as it focuses on enabling engineering graduates in conceiving, designing, implementing, and operating complex systems and products. We were not able to find any study that identifies and aggregates the evidence on the use of CDIO for SE education. Research Questions: This study attempts to answer the following research questions: 1) how CDIO has been used in SE education? and 2) what are the experiences of academics in applying the CDIO framework in SE education? Methodology: Using a mixed-method approach (systematic mapping study and interview study with experienced academics in SE), we established the state of the art and practice on the use of CDIO in SE education. Findings: Getting a commitment from the higher management, teachers, and students is a major challenge in the adoption of the CDIO initiative followed by a lack of competence, finance, and resources. Ownership, motivation, persistence, and training of teachers and students are required not only to adopt CDIO for SE but also to sustain it.</t>
  </si>
  <si>
    <t xml:space="preserve">[Tanveer, Binish; Usman, Muhammad] Blekinge Inst Technol, Dept Software Engn, S-37179 Karlskrona, Sweden</t>
  </si>
  <si>
    <t xml:space="preserve">Tanveer, B (corresponding author), Blekinge Inst Technol, Dept Software Engn, S-37179 Karlskrona, Sweden.</t>
  </si>
  <si>
    <t xml:space="preserve">binish.tanveer@bth.se; muhammad.usman@bth.se</t>
  </si>
  <si>
    <t xml:space="preserve">Usman, Muhammad/0000-0002-8132-0107</t>
  </si>
  <si>
    <t xml:space="preserve">Knowledge Foundation [2018/010]; OSIR at Blekinge Institute of Technology, Sweden [20190081]</t>
  </si>
  <si>
    <t xml:space="preserve">Knowledge Foundation; OSIR at Blekinge Institute of Technology, Sweden</t>
  </si>
  <si>
    <t xml:space="preserve">This work was supported by the Knowledge Foundation through the Projects SERT-Software Engineering ReThought under Reference 2018/010 and OSIR at Blekinge Institute of Technology, Sweden, under Reference 20190081.</t>
  </si>
  <si>
    <t xml:space="preserve">0018-9359</t>
  </si>
  <si>
    <t xml:space="preserve">1557-9638</t>
  </si>
  <si>
    <t xml:space="preserve">IEEE T EDUC</t>
  </si>
  <si>
    <t xml:space="preserve">IEEE Trans. Educ.</t>
  </si>
  <si>
    <t xml:space="preserve">10.1109/TE.2022.3163911</t>
  </si>
  <si>
    <t xml:space="preserve">Education, Scientific Disciplines; Engineering, Electrical &amp; Electronic</t>
  </si>
  <si>
    <t xml:space="preserve">5T5CV</t>
  </si>
  <si>
    <t xml:space="preserve">WOS:000782821200001</t>
  </si>
  <si>
    <t xml:space="preserve">Garro, V; Sundstedt, V</t>
  </si>
  <si>
    <t xml:space="preserve">DePaolis, LT; Arpaia, P; Sacco, M</t>
  </si>
  <si>
    <t xml:space="preserve">Garro, Valeria; Sundstedt, Veronica</t>
  </si>
  <si>
    <t xml:space="preserve">Augmented Reality and 3D Printing for Archaeological Heritage: Evaluation of Visitor Experience</t>
  </si>
  <si>
    <t xml:space="preserve">EXTENDED REALITY, XR SALENTO 2022, PT II</t>
  </si>
  <si>
    <t xml:space="preserve">1st International Conference on Extended Reality (XR Salento)</t>
  </si>
  <si>
    <t xml:space="preserve">JUL 06-08, 2022</t>
  </si>
  <si>
    <t xml:space="preserve">Lecce, ITALY</t>
  </si>
  <si>
    <t xml:space="preserve">Univ Salento, Augmented &amp; Virtual Real Lab</t>
  </si>
  <si>
    <t xml:space="preserve">Augmented Reality; 3D Printing; Cultural heritage</t>
  </si>
  <si>
    <t xml:space="preserve">Augmented Reality (AR) and 3D printing have increasingly been used in archaeological and cultural heritage to make artifacts and environments accessible to the general public. This paper presents the case study of the Ljungaviken dog, an archaeological find of dog skeleton remains dated around 8000 years ago. The dog remains have been digitized using 3D scanning and displayed in an AR application. A physical replica has also been created with 3D printing. Both the AR application and the 3D printed copy have been shown in a temporary museum exhibition. In this paper, we present the visitors' experience evaluation based on a study with 42 participants. Aspects being evaluated are related to the realism, enjoyment, and easiness of use of the AR application. Moreover, the two media are compared in terms of understanding, visual quality, and experience satisfaction. The results show an overall positive experience for both the display solutions, with slightly higher scores for the AR application in the comparison. When asked about overall preference, the participants reported similar results between both media. Due to issues of displaying fragile objects in a museum setting, as well as recent restrictions following pandemic closures and availability, the results presented in this paper show a positive alternative towards using digital artifacts to showcase our cultural heritage.</t>
  </si>
  <si>
    <t xml:space="preserve">[Garro, Valeria; Sundstedt, Veronica] Blekinge Inst Technol, Karlskrona, Sweden</t>
  </si>
  <si>
    <t xml:space="preserve">Garro, V; Sundstedt, V (corresponding author), Blekinge Inst Technol, Karlskrona, Sweden.</t>
  </si>
  <si>
    <t xml:space="preserve">valeria.garro@bth.se; veronica.sundstedt@bth.se</t>
  </si>
  <si>
    <t xml:space="preserve">Sundstedt, Veronica/0000-0003-3639-9327</t>
  </si>
  <si>
    <t xml:space="preserve">KK-stiftelsen Sweden [20170056]</t>
  </si>
  <si>
    <t xml:space="preserve">KK-stiftelsen Sweden</t>
  </si>
  <si>
    <t xml:space="preserve">This work was supported in part by KK-stiftelsen Sweden, through the ViaTecH Synergy Project (contract 20170056). The authors thank Peter Blaschke (BTH Innovation Labs) for the support during the 3D printing phase and Advaith Putta for the help prototyping a first version of the AR application. Moreover, they thank Blekinge Museum and Solvesborg's Kommun for collaboration and exhibition access.</t>
  </si>
  <si>
    <t xml:space="preserve">978-3-031-15553-6; 978-3-031-15552-9</t>
  </si>
  <si>
    <t xml:space="preserve">10.1007/978-3-031-15553-6_25</t>
  </si>
  <si>
    <t xml:space="preserve">BU2NX</t>
  </si>
  <si>
    <t xml:space="preserve">WOS:000886159800025</t>
  </si>
  <si>
    <t xml:space="preserve">Tatipala, S; Wall, J; Johansson, C; Larsson, T</t>
  </si>
  <si>
    <t xml:space="preserve">Tatipala, Sravan; Wall, Johan; Johansson, Christian; Larsson, Tobias</t>
  </si>
  <si>
    <t xml:space="preserve">A Hybrid Data-Based and Model-Based Approach to Process Monitoring and Control in Sheet Metal Forming</t>
  </si>
  <si>
    <t xml:space="preserve">PROCESSES</t>
  </si>
  <si>
    <t xml:space="preserve">in-line measurement data; modelling and simulation; product quality; process performance; process monitoring and control; Industry 4; 0; sheet metal forming</t>
  </si>
  <si>
    <t xml:space="preserve">MANUFACTURING PROCESSES</t>
  </si>
  <si>
    <t xml:space="preserve">The ability to predict and control the outcome of the sheet metal forming process demands holistic knowledge of the product/process parameter influences and their contribution in shaping the output product quality. Recent improvements in the ability to harvest in-line production data and the increased capability to understand complex process behaviour through computer simulations open up the possibility for new approaches to monitor and control production process performance and output product quality. This research presents an overview of the common process monitoring and control approaches while highlighting their limitations in handling the dynamics of the sheet metal forming process. The current paper envisions the need for a collaborative monitoring and control system for enhancing production process performance. Such a system must incorporate comprehensive knowledge regarding process behaviour and parameter influences in addition to the current-system-state derived using in-line production data to function effectively. Accordingly, a framework for monitoring and control within automotive sheet metal forming is proposed. The framework addresses the current limitations through the use of real-time production data and reduced process models. Lastly, the significance of the presented framework in transitioning to the digital manufacturing paradigm is reflected upon.</t>
  </si>
  <si>
    <t xml:space="preserve">[Tatipala, Sravan; Wall, Johan; Johansson, Christian; Larsson, Tobias] Blekinge Inst Technol, Dept Mech Engn, S-37141 Karlskrona, Sweden</t>
  </si>
  <si>
    <t xml:space="preserve">Tatipala, S (corresponding author), Blekinge Inst Technol, Dept Mech Engn, S-37141 Karlskrona, Sweden.</t>
  </si>
  <si>
    <t xml:space="preserve">sravan.tatipala@bth.se; johan.wall@bth.se; christian.johansson.askling@bth.se; tobias.larsson@bth.se</t>
  </si>
  <si>
    <t xml:space="preserve">Larsson, Tobias/A-6795-2008; Johansson, Christian/H-2919-2012</t>
  </si>
  <si>
    <t xml:space="preserve">Larsson, Tobias/0000-0002-9662-4576; Tatipala, Sravan/0000-0002-8601-6825; Wall, Johan/0000-0002-7804-7306; Johansson, Christian/0000-0003-4875-391X</t>
  </si>
  <si>
    <t xml:space="preserve">Swedish Knowledge and Competence Development Foundation (Stiftelsen for Kunskaps-och kompetensutveckling) through the Model Driven Development and Decision Support (MD3S) research profile at Blekinge Institute of Technology; Test-arena Blekinge project - Tillvaxtverket; ERUF</t>
  </si>
  <si>
    <t xml:space="preserve">The research leading to these results has received financial support from the Swedish Knowledge and Competence Development Foundation (Stiftelsen for Kunskaps-och kompetensutveckling) through the Model Driven Development and Decision Support (MD3S) research profile at Blekinge Institute of Technology and via Test-arena Blekinge project funded by Tillvaxtverket and ERUF.</t>
  </si>
  <si>
    <t xml:space="preserve">2227-9717</t>
  </si>
  <si>
    <t xml:space="preserve">Processes</t>
  </si>
  <si>
    <t xml:space="preserve">10.3390/pr8010089</t>
  </si>
  <si>
    <t xml:space="preserve">Engineering, Chemical</t>
  </si>
  <si>
    <t xml:space="preserve">KQ3KL</t>
  </si>
  <si>
    <t xml:space="preserve">WOS:000516825300077</t>
  </si>
  <si>
    <t xml:space="preserve">Lundberg, L</t>
  </si>
  <si>
    <t xml:space="preserve">Lundberg, Lars</t>
  </si>
  <si>
    <t xml:space="preserve">Bibliometric mining of research directions and trends for big data</t>
  </si>
  <si>
    <t xml:space="preserve">JOURNAL OF BIG DATA</t>
  </si>
  <si>
    <t xml:space="preserve">Bibliometrics; Research directions; Research trends; Fields of science and technology; Geographic regions; Scopus database</t>
  </si>
  <si>
    <t xml:space="preserve">EVOLUTION; SCIENCE</t>
  </si>
  <si>
    <t xml:space="preserve">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</si>
  <si>
    <t xml:space="preserve">[Lundberg, Lars] Blekinge Inst Technol, Dept Comp Sci, SE-37179 Karlskrona, Sweden</t>
  </si>
  <si>
    <t xml:space="preserve">Lundberg, L (corresponding author), Blekinge Inst Technol, Dept Comp Sci, SE-37179 Karlskrona, Sweden.</t>
  </si>
  <si>
    <t xml:space="preserve">lars.lundberg@bth.se</t>
  </si>
  <si>
    <t xml:space="preserve">SPRINGERNATURE</t>
  </si>
  <si>
    <t xml:space="preserve">CAMPUS, 4 CRINAN ST, LONDON, N1 9XW, ENGLAND</t>
  </si>
  <si>
    <t xml:space="preserve">2196-1115</t>
  </si>
  <si>
    <t xml:space="preserve">J BIG DATA-GER</t>
  </si>
  <si>
    <t xml:space="preserve">J. Big Data</t>
  </si>
  <si>
    <t xml:space="preserve">JUL 1</t>
  </si>
  <si>
    <t xml:space="preserve">10.1186/s40537-023-00793-6</t>
  </si>
  <si>
    <t xml:space="preserve">Computer Science, Theory &amp; Methods</t>
  </si>
  <si>
    <t xml:space="preserve">L3PZ8</t>
  </si>
  <si>
    <t xml:space="preserve">Green Published, Green Submitted, gold</t>
  </si>
  <si>
    <t xml:space="preserve">WOS:001022426100002</t>
  </si>
  <si>
    <t xml:space="preserve">Camarinha-Matos, LM; Boucher, X; Ortiz, A</t>
  </si>
  <si>
    <t xml:space="preserve">Towards Digital Immersive Experiences for Collaborative Value Co-creation in Design</t>
  </si>
  <si>
    <t xml:space="preserve">COLLABORATIVE NETWORKS IN DIGITALIZATION AND SOCIETY 5.0, PRO-VE 2023</t>
  </si>
  <si>
    <t xml:space="preserve">24th IFIP WG 5.5 Working Conference on Virtual Enterprises (PRO-VE)</t>
  </si>
  <si>
    <t xml:space="preserve">SEP 27-29, 2023</t>
  </si>
  <si>
    <t xml:space="preserve">Valencia, SPAIN</t>
  </si>
  <si>
    <t xml:space="preserve">IFIP WG 5.5 COVE Co-Operation infrastructure for Virtual Enterprises and electronic business,Soc Collaborative Networks,Univ Polytech de Valencia,CIGIP Res Cent production Management &amp; Engn,Nova Univ Lisbon,Uninova Cent Tech &amp; Systems,Mines Saint Etienne</t>
  </si>
  <si>
    <t xml:space="preserve">Digital Twins; eXtended Reality; value co-creation; engineering design</t>
  </si>
  <si>
    <t xml:space="preserve">VIRTUAL-REALITY; TWIN</t>
  </si>
  <si>
    <t xml:space="preserve">The metaverse, which is often described as featuring a range of technologies for Extended Reality (XR) to consume and digest information from large and complex Digital Twins (DTs), is often discussed as one of the pillars of Industry 5.0 transformation. Immersive computer-generated environments based on DT and XR are highlighted as cornerstone technologies for the future of product and system design. While they are expected to become a commodity in the engineering toolbox in the next 20 years, little is known about how to set up and implement such environments to maximize innovation and collaboration capabilities in design. This article discusses the high-level gaps that remain before the vision of the metaverse in design is realized. It further draws a roadmap, based on four major tracks, that pinpoints research areas, methodological approaches and capabilities needed to develop and realise digital immersive experiences for collaborative value co-creation in design.</t>
  </si>
  <si>
    <t xml:space="preserve">Knowledge Foundation in Sweden through the 'Model Driven Development and Decision Support profile; VINNOVA (Sweden's innovation agency)</t>
  </si>
  <si>
    <t xml:space="preserve">Knowledge Foundation in Sweden through the 'Model Driven Development and Decision Support profile; VINNOVA (Sweden's innovation agency)(Vinnova)</t>
  </si>
  <si>
    <t xml:space="preserve">This research has received financial support by The Knowledge Foundation in Sweden through the 'Model Driven Development and Decision Support profile, and from VINNOVA (Sweden's innovation agency) through the TRUST-SOS and the Framtidens Fossilfria Bergutlastning projects.</t>
  </si>
  <si>
    <t xml:space="preserve">978-3-031-42624-7; 978-3-031-42622-3; 978-3-031-42621-6</t>
  </si>
  <si>
    <t xml:space="preserve">10.1007/978-3-031-42622-3_14</t>
  </si>
  <si>
    <t xml:space="preserve">BY0PZ</t>
  </si>
  <si>
    <t xml:space="preserve">WOS:001359444600014</t>
  </si>
  <si>
    <t xml:space="preserve">Lundberg, L; Grahn, H</t>
  </si>
  <si>
    <t xml:space="preserve">Lundberg, Lars; Grahn, Hakan</t>
  </si>
  <si>
    <t xml:space="preserve">Research Trends, Enabling Technologies and Application Areas for Big Data</t>
  </si>
  <si>
    <t xml:space="preserve">survey; Big Data; telecommunication; image processing; smart cities; manufacturing; parallel processing; storage systems; cloud computing; deep learning</t>
  </si>
  <si>
    <t xml:space="preserve">DATA ANALYTICS; SOCIAL MEDIA; PERFORMANCE; OPPORTUNITIES; ARCHITECTURE</t>
  </si>
  <si>
    <t xml:space="preserve">The availability of large amounts of data in combination with Big Data analytics has transformed many application domains. In this paper, we provide insights into how the area has developed in the last decade. First, we identify seven major application areas and six groups of important enabling technologies for Big Data applications and systems. Then, using bibliometrics and an extensive literature review of more than 80 papers, we identify the most important research trends in these areas. In addition, our bibliometric analysis also includes trends in different geographical regions. Our results indicate that manufacturing and agriculture or forestry are the two application areas with the fastest growth. Furthermore, our bibliometric study shows that deep learning and edge or fog computing are the enabling technologies increasing the most. We believe that the data presented in this paper provide a good overview of the current research trends in Big Data and that this kind of information is very useful when setting strategic agendas for Big Data research.</t>
  </si>
  <si>
    <t xml:space="preserve">[Lundberg, Lars; Grahn, Hakan] Blekinge Inst Technol, Dept Comp Sci, S-37179 Karlskrona, Sweden</t>
  </si>
  <si>
    <t xml:space="preserve">Lundberg, L (corresponding author), Blekinge Inst Technol, Dept Comp Sci, S-37179 Karlskrona, Sweden.</t>
  </si>
  <si>
    <t xml:space="preserve">Grahn, Håkan/G-9720-2011</t>
  </si>
  <si>
    <t xml:space="preserve">Grahn, Hakan/0000-0001-9947-1088</t>
  </si>
  <si>
    <t xml:space="preserve">Excellence Center at Linkoping-Lund in Information Technology (ELLIIT) project GPAI-General Purpose AI Computing</t>
  </si>
  <si>
    <t xml:space="preserve">This research was partly funded by the Excellence Center at Linkoping-Lund in Information Technology (ELLIIT) project GPAI-General Purpose AI Computing.</t>
  </si>
  <si>
    <t xml:space="preserve">10.3390/a15080280</t>
  </si>
  <si>
    <t xml:space="preserve">4C4GW</t>
  </si>
  <si>
    <t xml:space="preserve">WOS:000846415100001</t>
  </si>
  <si>
    <t xml:space="preserve">Hurter, C; Purchase, H; Bouatouch, K</t>
  </si>
  <si>
    <t xml:space="preserve">Panoptic Visual Analytics of Eye Tracking Data</t>
  </si>
  <si>
    <t xml:space="preserve">PROCEEDINGS OF THE 17TH INTERNATIONAL JOINT CONFERENCE ON COMPUTER VISION, IMAGING AND COMPUTER GRAPHICS THEORY AND APPLICATIONS (IVAPP), VOL 3</t>
  </si>
  <si>
    <t xml:space="preserve">17th International Joint Conference on Computer Vision, Imaging and Computer Graphics Theory and Applications (VISIGRAPP) / 13th International Conference on Information Visualization Theory and Applications (IVAPP)</t>
  </si>
  <si>
    <t xml:space="preserve">Eye Tracking; Visualization; Semantic Areas of Interest; Panoptic Segmentation</t>
  </si>
  <si>
    <t xml:space="preserve">MOVEMENTS</t>
  </si>
  <si>
    <t xml:space="preserve">In eye tracking data visualization, areas of interest (AOIs) are widely adopted to analyze specific regions of the stimulus. We propose a visual analytics tool that leverages panoptic segmentation to automatically divide the whole image or frame video in semantic AOIs. A set of AOI-based visualization techniques are available to analyze the fixation data based on these semantic AOIs. Moreover, we propose a modified version of radial transition graph visualizations adapted to the extracted semantic AOIs and a new visualization technique also based on radial transition graphs. Two application examples illustrate the potential of this approach and are used to discuss its usefulness and limitations.</t>
  </si>
  <si>
    <t xml:space="preserve">Garro, V (corresponding author), Blekinge Inst Technol, Karlskrona, Sweden.</t>
  </si>
  <si>
    <t xml:space="preserve">This work was supported in part by KK-stiftelsen Sweden, through the ViaTecH Synergy Project (contract 20170056).</t>
  </si>
  <si>
    <t xml:space="preserve">10.5220/0010889500003124</t>
  </si>
  <si>
    <t xml:space="preserve">BS8TN</t>
  </si>
  <si>
    <t xml:space="preserve">WOS:000777508400015</t>
  </si>
  <si>
    <t xml:space="preserve">Scurati, GW; Bertoni, A; Bertoni, M</t>
  </si>
  <si>
    <t xml:space="preserve">Scurati, Giulia Wally; Bertoni, Alessandro; Bertoni, Marco</t>
  </si>
  <si>
    <t xml:space="preserve">Boosting Value Co-creation in the Road Construction Industry Through Virtual Prototyping</t>
  </si>
  <si>
    <t xml:space="preserve">Virtual Reality; Augmented Reality; Virtual prototyping; Road construction; Servitization; Product-service systems</t>
  </si>
  <si>
    <t xml:space="preserve">When construction companies move forward in their servitization journey, there is an increasing need to exploit digital tools and models to facilitate the complex and dynamic interactions between entrepreneurs, customers, equipment manufacturers, energy providers and more during the early stages of the construction project design. This paper presents the application Augmented Reality (AR) and Virtual Reality (VR) applications to create distributed 'experience environments' for value co-creation in the road construction industry, where to foster participation of all the stakeholders in the needs identification process and the trade-off of the value drivers of the project. After presenting the modelling approach pursued in the work, the lessons learned gathered from preliminary verification activities are presented, pointing to future work in the field.</t>
  </si>
  <si>
    <t xml:space="preserve">[Scurati, Giulia Wally; Bertoni, Alessandro; Bertoni, Marco] Blekinge Tekniska Hgsk, Karlskrona, Sweden</t>
  </si>
  <si>
    <t xml:space="preserve">Scurati, GW (corresponding author), Blekinge Tekniska Hgsk, Karlskrona, Sweden.</t>
  </si>
  <si>
    <t xml:space="preserve">giulia.wally.scurati@bth.se; alessandro.bertoni@bth.se; marco.bertoni@bth.se</t>
  </si>
  <si>
    <t xml:space="preserve">Swedish Knowledge and Competence Development Foundation (Stiftelsen for kunskapsoch kompetensutveckling), Sweden, through the Model Driven Development and Decision Support research profile; Swedish Transport Administration through the Elektrifierad Infrastrukturbyggnation project at Blekinge Institute of Technology, Sweden</t>
  </si>
  <si>
    <t xml:space="preserve">The research leading to these results has received financial support from the Swedish Knowledge and Competence Development Foundation (Stiftelsen for kunskapsoch kompetensutveckling), Sweden, through the Model Driven Development and Decision Support research profile, and from the Swedish Transport Administration through the Elektrifierad Infrastrukturbyggnation project at Blekinge Institute of Technology, Sweden.</t>
  </si>
  <si>
    <t xml:space="preserve">10.1007/978-3-031-14844-6_49</t>
  </si>
  <si>
    <t xml:space="preserve">WOS:001359443000049</t>
  </si>
  <si>
    <t xml:space="preserve">Parallel Computing for Multi-Objective Train Rescheduling</t>
  </si>
  <si>
    <t xml:space="preserve">IEEE TRANSACTIONS ON EMERGING TOPICS IN COMPUTING</t>
  </si>
  <si>
    <t xml:space="preserve">Rail transportation; Parallel algorithms; Delays; Real-time systems; Stakeholders; Transportation; decision support; parallel algorithms; tree search strategies</t>
  </si>
  <si>
    <t xml:space="preserve">DECISION-SUPPORT; ALGORITHM</t>
  </si>
  <si>
    <t xml:space="preserve">In railway traffic systems, it is essential to achieve a high punctuality to satisfy the goals of the involved stakeholders. Thus, whenever disturbances occur, it is important to effectively reschedule trains while considering the perspectives of various stakeholders. This typically involves solving a multi-objective train rescheduling problem, which is much more complex than its single-objective counterpart. Solving such a problem in real time for practically relevant problem sizes is computationally challenging. The reason is that the rescheduling solution(s) of interest are dispersed across a large search tree. The tree needs to be navigated fast while pruning off branches leading to undesirable solutions and exploring branches leading to potentially desirable solutions. The use of parallel computing enables such a fast navigation of the tree. This article presents a heuristic parallel algorithm to solve the multi-objective train rescheduling problem. The parallel algorithm combines a depth-first search with simultaneous breadth-wise tree exploration while searching the tree for solutions. An existing parallel algorithm for single-objective train rescheduling has been redesigned, primarily, by (i) pruning based on multiple metrics, and (ii) maintaining a set of upper bounds. The redesign improved the quality of the obtained rescheduling solutions and showed better speedups for several disturbance scenarios.</t>
  </si>
  <si>
    <t xml:space="preserve">sai.prashanth.josyula@bth.se</t>
  </si>
  <si>
    <t xml:space="preserve">TRANS-FORM project - the municipality of Karlshamn [942-2015-2034]; Swedish Research Council (FORMAS) via ERA-NET; Trafikverket; Blekingetrafiken; NetPort; FR8Rail II project [826206]</t>
  </si>
  <si>
    <t xml:space="preserve">TRANS-FORM project - the municipality of Karlshamn; Swedish Research Council (FORMAS) via ERA-NET; Trafikverket; Blekingetrafiken; NetPort; FR8Rail II project</t>
  </si>
  <si>
    <t xml:space="preserve">The research presented in this article has been funded by the following research projects: (i) The TRANS-FORM project, funded by grants (Dnr 942-2015-2034) from the municipality of Karlshamn as well as the Swedish Research Council (FORMAS) via ERA-NET. This project has also received support from Trafikverket, Blekingetrafiken and NetPort. (ii) The FR8Rail II project (grant no: 826206).</t>
  </si>
  <si>
    <t xml:space="preserve">2168-6750</t>
  </si>
  <si>
    <t xml:space="preserve">IEEE T EMERG TOP COM</t>
  </si>
  <si>
    <t xml:space="preserve">IEEE Trans. Emerg. Top. Comput.</t>
  </si>
  <si>
    <t xml:space="preserve">OCT 1</t>
  </si>
  <si>
    <t xml:space="preserve">10.1109/TETC.2020.3030984</t>
  </si>
  <si>
    <t xml:space="preserve">Computer Science, Information Systems; Telecommunications</t>
  </si>
  <si>
    <t xml:space="preserve">XI0IO</t>
  </si>
  <si>
    <t xml:space="preserve">WOS:000725807100007</t>
  </si>
  <si>
    <t xml:space="preserve">Terahertz Three-dimensional SAR Imaging Using Time- and Frequency-Domain Algorithms</t>
  </si>
  <si>
    <t xml:space="preserve">THz; SAR; algorithm; resolution; PSLR</t>
  </si>
  <si>
    <t xml:space="preserve">MILLIMETER-WAVE; RADAR</t>
  </si>
  <si>
    <t xml:space="preserve">Terahertz (THz) SAR opens opportunity for some new applications, e.g., sub-mm localization based on 3D SAR imaging, that cannot be based on the conventional SAR operating at frequency ranges below THz. For 3D THz SAR imaging, the image formation algorithms play an important role. Two 3D SAR image formation algorithms, Range Migration (RM) operating in frequency domain and Backprojection (BP) operating in time domain are considered in this comparative study. The algorithms are first used to form 3D images from simulated THz SAR data. The comparison is then based on image quality measurements such as range and cross-range resolutions, and peak sidelobe ratio (PSLR).</t>
  </si>
  <si>
    <t xml:space="preserve">[Vu, Viet T.; Pettersson, Mats, I] Blekinge Inst Technol, Karlskrona, Sweden</t>
  </si>
  <si>
    <t xml:space="preserve">Vu, VT (corresponding author), Blekinge Inst Technol, Karlskrona, Sweden.</t>
  </si>
  <si>
    <t xml:space="preserve">viet.thuy.vu@bth.se; mats.pettersson@bth.se</t>
  </si>
  <si>
    <t xml:space="preserve">ELLIIT</t>
  </si>
  <si>
    <t xml:space="preserve">The authors would like to thank ELLIIT for the financial support in the research topic.</t>
  </si>
  <si>
    <t xml:space="preserve">10.1109/IWMTS51331.2021.9486769</t>
  </si>
  <si>
    <t xml:space="preserve">WOS:000713452400002</t>
  </si>
  <si>
    <t xml:space="preserve">Javadi, Saleh; Dahl, Mattias; Pettersson, Mats, I</t>
  </si>
  <si>
    <t xml:space="preserve">Change Detection in Aerial Images Using Three-Dimensional Feature Maps</t>
  </si>
  <si>
    <t xml:space="preserve">REMOTE SENSING</t>
  </si>
  <si>
    <t xml:space="preserve">aerial images; 3D change detection; optical vehicle surveillance; remote sensing; unmanned aerial vehicle</t>
  </si>
  <si>
    <t xml:space="preserve">NETWORKS</t>
  </si>
  <si>
    <t xml:space="preserve">Interest in aerial image analysis has increased owing to recent developments in and availability of aerial imaging technologies, like unmanned aerial vehicles (UAVs), as well as a growing need for autonomous surveillance systems. Variant illumination, intensity noise, and different viewpoints are among the main challenges to overcome in order to determine changes in aerial images. In this paper, we present a robust method for change detection in aerial images. To accomplish this, the method extracts three-dimensional (3D) features for segmentation of objects above a defined reference surface at each instant. The acquired 3D feature maps, with two measurements, are then used to determine changes in a scene over time. In addition, the important parameters that affect measurement, such as the camera's sampling rate, image resolution, the height of the drone, and the pixel's height information, are investigated through a mathematical model. To exhibit its applicability, the proposed method has been evaluated on aerial images of various real-world locations and the results are promising. The performance indicates the robustness of the method in addressing the problems of conventional change detection methods, such as intensity differences and shadows.</t>
  </si>
  <si>
    <t xml:space="preserve">[Javadi, Saleh] Blekinge Inst Technol BTH, Dept Math &amp; Nat Sci, S-37435 Karlshamn, Sweden; [Dahl, Mattias; Pettersson, Mats, I] Blekinge Inst Technol BTH, Dept Math &amp; Nat Sci, S-37179 Karlskrona, Sweden</t>
  </si>
  <si>
    <t xml:space="preserve">saleh.javadi@bth.se; mattias.dahl@bth.se; mats.pettersson@bth.se</t>
  </si>
  <si>
    <t xml:space="preserve">Pettersson, Mats/0000-0002-6643-312X; Javadi, Saleh/0000-0002-6834-5676; Dahl, Mattias/0000-0003-3707-2780</t>
  </si>
  <si>
    <t xml:space="preserve">This research was funded by the Municipality of Karlshamn, Sweden.</t>
  </si>
  <si>
    <t xml:space="preserve">2072-4292</t>
  </si>
  <si>
    <t xml:space="preserve">REMOTE SENS-BASEL</t>
  </si>
  <si>
    <t xml:space="preserve">Remote Sens.</t>
  </si>
  <si>
    <t xml:space="preserve">10.3390/rs12091404</t>
  </si>
  <si>
    <t xml:space="preserve">Environmental Sciences; Geosciences, Multidisciplinary; Remote Sensing; Imaging Science &amp; Photographic Technology</t>
  </si>
  <si>
    <t xml:space="preserve">Environmental Sciences &amp; Ecology; Geology; Remote Sensing; Imaging Science &amp; Photographic Technology</t>
  </si>
  <si>
    <t xml:space="preserve">MC6KT</t>
  </si>
  <si>
    <t xml:space="preserve">WOS:000543394000051</t>
  </si>
  <si>
    <t xml:space="preserve">Adjustable Contrast Enhancement Using Fast Piecewise Linear Histogram Equalization</t>
  </si>
  <si>
    <t xml:space="preserve">PROCEEDINGS OF THE 2020 3RD INTERNATIONAL CONFERENCE ON IMAGE AND GRAPHICS PROCESSING (ICIGP 2020)</t>
  </si>
  <si>
    <t xml:space="preserve">3rd International Conference on Image and Graphics Processing (ICIGP)</t>
  </si>
  <si>
    <t xml:space="preserve">FEB 08-10, 2020</t>
  </si>
  <si>
    <t xml:space="preserve">Singapore, SINGAPORE</t>
  </si>
  <si>
    <t xml:space="preserve">Tokyo City Univ,Kogakuin Univ,IACSIT,Alma Mater Studorium</t>
  </si>
  <si>
    <t xml:space="preserve">Histogram equalization; Contrast enhancement; Histogram modification; Image/video enhancement</t>
  </si>
  <si>
    <t xml:space="preserve">Histogram equalization is a technique to enhance the contrast of the image by redistributing the histogram. In this paper, a fast piecewise linear histogram equalization method is introduced based on an adjustable degree of enhancement and piecewise continuous transformation functions using frequencies of different grey-levels. This method aims to address and maximize the contrast enhancement of the image by stretching the entire spectrum. For this purpose, particular nodes (bins) on the histogram are simultaneously detected that in comparison with recursive methods, it requires less computational time. Then, the particular nodes are stretched using transformation functions to align with the reference nodes. The experimental results indicate that the performance of the proposed method is promising in terms of contrast enhancement. Moreover, this method preserves the texture of various regions in the image very well through the equalization process by using the degree of enhancement.</t>
  </si>
  <si>
    <t xml:space="preserve">[Javadi, Saleh; Dahl, Mattias; Pettersson, Mats I.] Blekinge Inst Technol BTH, Dept Math &amp; Nat Sci, S-37435 Karlshamn, Sweden</t>
  </si>
  <si>
    <t xml:space="preserve">Javadi, Saleh/JDW-1296-2023; Dahl, Mattias/AAE-8091-2022; Pettersson, Mats/N-1063-2016</t>
  </si>
  <si>
    <t xml:space="preserve">1515 BROADWAY, NEW YORK, NY 10036-9998 USA</t>
  </si>
  <si>
    <t xml:space="preserve">978-1-4503-7720-1</t>
  </si>
  <si>
    <t xml:space="preserve">10.1145/3383812.3383830</t>
  </si>
  <si>
    <t xml:space="preserve">Computer Science, Artificial Intelligence; Computer Science, Software Engineering; Remote Sensing; Imaging Science &amp; Photographic Technology</t>
  </si>
  <si>
    <t xml:space="preserve">Computer Science; Remote Sensing; Imaging Science &amp; Photographic Technology</t>
  </si>
  <si>
    <t xml:space="preserve">BQ2FY</t>
  </si>
  <si>
    <t xml:space="preserve">Green Published, Bronze</t>
  </si>
  <si>
    <t xml:space="preserve">WOS:000579359200011</t>
  </si>
  <si>
    <t xml:space="preserve">Snow and Ice Animation Methods in Computer Graphics</t>
  </si>
  <si>
    <t xml:space="preserve">COMPUTER GRAPHICS FORUM</t>
  </si>
  <si>
    <t xml:space="preserve">CCS Concepts; center dot Computing methodologies -&gt; Physical simulation; Procedural animation</t>
  </si>
  <si>
    <t xml:space="preserve">MATERIAL POINT METHOD; NUMERICAL SIMULATIONS; VISUAL SIMULATION; AVALANCHE; SAND</t>
  </si>
  <si>
    <t xml:space="preserve">Snow and ice animation methods are becoming increasingly popular in the field of computer graphics (CG). The applications of snow and ice in CG are varied, ranging from generating realistic background landscapes to avalanches and physical interaction with objects in movies, games, etc. Over the past two decades, several methods have been proposed to capture the time-evolving physical appearance or simulation of snow and ice using different models at different scales. This state-of-the-art report aims to identify existing animation methods in the field, provide an up-to-date summary of the research in CG, and identify gaps for promising future work. Furthermore, we also attempt to identify the primarily related work done on snow and ice in some other disciplines, such as civil or mechanical engineering, and draw a parallel with the similarities and differences in CG.</t>
  </si>
  <si>
    <t xml:space="preserve">[Goswami, Prashant] Blekinge Inst Technol, Karlskrona, Sweden</t>
  </si>
  <si>
    <t xml:space="preserve">Goswami, P (corresponding author), Blekinge Inst Technol, Karlskrona, Sweden.</t>
  </si>
  <si>
    <t xml:space="preserve">Human-Centered Intelligent Realities (HINTS) Profile Project</t>
  </si>
  <si>
    <t xml:space="preserve">No Statement Availabler No Statement Available</t>
  </si>
  <si>
    <t xml:space="preserve">0167-7055</t>
  </si>
  <si>
    <t xml:space="preserve">1467-8659</t>
  </si>
  <si>
    <t xml:space="preserve">COMPUT GRAPH FORUM</t>
  </si>
  <si>
    <t xml:space="preserve">Comput. Graph. Forum</t>
  </si>
  <si>
    <t xml:space="preserve">2024 APR 30</t>
  </si>
  <si>
    <t xml:space="preserve">10.1111/cgf.15059</t>
  </si>
  <si>
    <t xml:space="preserve">APR 2024</t>
  </si>
  <si>
    <t xml:space="preserve">PU6Q4</t>
  </si>
  <si>
    <t xml:space="preserve">WOS:001216639600001</t>
  </si>
  <si>
    <t xml:space="preserve">Sällberg, H; Wang, SJ; Numminen, E</t>
  </si>
  <si>
    <t xml:space="preserve">Sallberg, Henrik; Wang, Shujun; Numminen, Emil</t>
  </si>
  <si>
    <t xml:space="preserve">The combinatory role of online ratings and reviews in mobile app downloads: an empirical investigation of gaming and productivity apps from their initial app store launch</t>
  </si>
  <si>
    <t xml:space="preserve">JOURNAL OF MARKETING ANALYTICS</t>
  </si>
  <si>
    <t xml:space="preserve">Ratings; Reviews; Utilitarian; Hedonic; Apps; Downloads</t>
  </si>
  <si>
    <t xml:space="preserve">WORD-OF-MOUTH; MODERATING ROLE; IMPACT; DETERMINANTS; PERFORMANCE; POPULARITY; DISPERSION; CONSUMERS; VALIDITY; MARKET</t>
  </si>
  <si>
    <t xml:space="preserve">Mobile app ratings and reviews are important due to their influence on consumer behavior and the financial consequences for app developers and app platform providers. This paper contributes to prior work by analyzing how rating and review information in combination impact mobile app downloads. To achieve these ends, we utilize daily panel data of 341 gaming (hedonic consumption value-oriented) and productivity (utilitarian consumption value-oriented) apps tracked for almost two years from their release in the Apple App Store. Hence, we contribute to how ratings and reviews matter for the larger majority of apps, whereas previous research has mainly focused on either ratings' or reviews' impact on app performance for top-ranked apps. Results of fixed-effects regression analysis reveal different combinatory impacts of text review information (polarity, subjectivity, and review length) and rating information (average rating score, volume of ratings, and dispersion of ratings) on gaming versus productivity app downloads. Important implications of the findings for app developers and platform providers, and for future research into online ratings and reviews, are discussed.</t>
  </si>
  <si>
    <t xml:space="preserve">[Sallberg, Henrik; Wang, Shujun; Numminen, Emil] Blekinge Inst Technol, Dept Ind Econ, Campus Grasvik, S-37179 Karlskrona, Sweden</t>
  </si>
  <si>
    <t xml:space="preserve">Wang, SJ (corresponding author), Blekinge Inst Technol, Dept Ind Econ, Campus Grasvik, S-37179 Karlskrona, Sweden.</t>
  </si>
  <si>
    <t xml:space="preserve">henrik.sallberg@bth.se; shujun.wang@bth.se; emil.numminen@bth.se</t>
  </si>
  <si>
    <t xml:space="preserve">Sallberg, Henrik/0000-0002-9787-7620; Wang, Shujun/0000-0002-7928-2607</t>
  </si>
  <si>
    <t xml:space="preserve">PALGRAVE MACMILLAN LTD</t>
  </si>
  <si>
    <t xml:space="preserve">BASINGSTOKE</t>
  </si>
  <si>
    <t xml:space="preserve">BRUNEL RD BLDG, HOUNDMILLS, BASINGSTOKE RG21 6XS, HANTS, ENGLAND</t>
  </si>
  <si>
    <t xml:space="preserve">2050-3318</t>
  </si>
  <si>
    <t xml:space="preserve">2050-3326</t>
  </si>
  <si>
    <t xml:space="preserve">J MARK ANAL</t>
  </si>
  <si>
    <t xml:space="preserve">J. Market. Anal.</t>
  </si>
  <si>
    <t xml:space="preserve">10.1057/s41270-022-00171-w</t>
  </si>
  <si>
    <t xml:space="preserve">MAY 2022</t>
  </si>
  <si>
    <t xml:space="preserve">Business</t>
  </si>
  <si>
    <t xml:space="preserve">Q0KA5</t>
  </si>
  <si>
    <t xml:space="preserve">WOS:000803882500001</t>
  </si>
  <si>
    <t xml:space="preserve">Family houses - building an intergenerational space in post-apartheid Namibia</t>
  </si>
  <si>
    <t xml:space="preserve">CANADIAN JOURNAL OF AFRICAN STUDIES</t>
  </si>
  <si>
    <t xml:space="preserve">Namibia; older people; family house; township; intergenerational relations</t>
  </si>
  <si>
    <t xml:space="preserve">SOUTH-AFRICA; URBAN GHANA; GEOGRAPHIES; SEGREGATION; MIGRATION; SUPPORT; PLACE; AGE</t>
  </si>
  <si>
    <t xml:space="preserve">This qualitative study presents how intergenerational relationships have spatially shaped the former apartheid township Kuisebmond in Walvis Bay, Namibia. The apartheid housing, which was designed for nuclear families, now accommodates multiple generations. People in different age cohorts are distributed differently in space. People in late later life lived in the former township housing units, whilst people in early later life lived in backyard shacks or other rentals. Certain patterns of cohabitation with younger relatives were discernible. It is highly likely that the extended family will be an important facet of Namibian urban life in the foreseeable future, since traditional family patterns have been interpreted in an urbanised form. It is of great importance that housing can accommodate various versions of the extended family, necessary for family existence and intergenerational obligations of resource pooling.</t>
  </si>
  <si>
    <t xml:space="preserve">Riksbankens Jubileumsfond [P15-0140:1]; Swedish Foundation for Humanities and Social Sciences [P15-0140:1] Funding Source: Swedish Foundation for Humanities and Social Sciences</t>
  </si>
  <si>
    <t xml:space="preserve">Riksbankens Jubileumsfond; Swedish Foundation for Humanities and Social Sciences</t>
  </si>
  <si>
    <t xml:space="preserve">This work was supported by the Riksbankens Jubileumsfond [P15-0140:1].</t>
  </si>
  <si>
    <t xml:space="preserve">0008-3968</t>
  </si>
  <si>
    <t xml:space="preserve">1923-3051</t>
  </si>
  <si>
    <t xml:space="preserve">CAN J AFR STUDIES</t>
  </si>
  <si>
    <t xml:space="preserve">Can. J. Afr. Stud.</t>
  </si>
  <si>
    <t xml:space="preserve">MAY 4</t>
  </si>
  <si>
    <t xml:space="preserve">10.1080/00083968.2021.1938618</t>
  </si>
  <si>
    <t xml:space="preserve">SEP 2021</t>
  </si>
  <si>
    <t xml:space="preserve">Area Studies</t>
  </si>
  <si>
    <t xml:space="preserve">8K7HV</t>
  </si>
  <si>
    <t xml:space="preserve">WOS:000696872500001</t>
  </si>
  <si>
    <t xml:space="preserve">Vu, VT</t>
  </si>
  <si>
    <t xml:space="preserve">Vu, Viet T.</t>
  </si>
  <si>
    <t xml:space="preserve">Area Resolution for Bistatic Ultrawideband Ultrawidebeam SAR</t>
  </si>
  <si>
    <t xml:space="preserve">IEEE TRANSACTIONS ON AEROSPACE AND ELECTRONIC SYSTEMS</t>
  </si>
  <si>
    <t xml:space="preserve">Synthetic aperture radar; Signal resolution; Ultra wideband technology; Geometry; Spatial resolution; Transmitters; Receivers; Area resolution; bistatic; SAR; ultrawideband ultrawidebeam SAR</t>
  </si>
  <si>
    <t xml:space="preserve">DOPPLER</t>
  </si>
  <si>
    <t xml:space="preserve">Conventional SAR resolution equations cannot be applied to ultrawideband ultrawidebeam systems, particularly, bistatic ultrawideband ultrawidebeam systems. This is because the dependence of system frequency response in the range and across range is not considered. In this case, area resolution, i.e., area of the resolution cell, will be an alternative. This article introduces a new area resolution formula for bistatic ultrawideband ultrawidebeam SAR systems based on the relationship between radar signal frequency, range, and cross-range wavenumbers for bistatic synthetic aperture radar.</t>
  </si>
  <si>
    <t xml:space="preserve">[Vu, Viet T.] Blekinge Inst Technol, S-37179 Karlskrona, Sweden</t>
  </si>
  <si>
    <t xml:space="preserve">Vu, Viet/JDW-0738-2023</t>
  </si>
  <si>
    <t xml:space="preserve">0018-9251</t>
  </si>
  <si>
    <t xml:space="preserve">1557-9603</t>
  </si>
  <si>
    <t xml:space="preserve">IEEE T AERO ELEC SYS</t>
  </si>
  <si>
    <t xml:space="preserve">IEEE Trans. Aerosp. Electron. Syst.</t>
  </si>
  <si>
    <t xml:space="preserve">10.1109/TAES.2020.3040067</t>
  </si>
  <si>
    <t xml:space="preserve">Engineering, Aerospace; Engineering, Electrical &amp; Electronic; Telecommunications</t>
  </si>
  <si>
    <t xml:space="preserve">RM6DA</t>
  </si>
  <si>
    <t xml:space="preserve">Green Submitted, hybrid</t>
  </si>
  <si>
    <t xml:space="preserve">WOS:000639747300044</t>
  </si>
  <si>
    <t xml:space="preserve">Rameez, M; Dahl, M; Pettersson, M</t>
  </si>
  <si>
    <t xml:space="preserve">Rameez, Muhammad; Dahl, Mattias; Pettersson, Mats, I</t>
  </si>
  <si>
    <t xml:space="preserve">Autoregressive Model-Based Signal Reconstruction for Automotive Radar Interference Mitigation</t>
  </si>
  <si>
    <t xml:space="preserve">Interference; Radar; Chirp; Automotive engineering; Signal reconstruction; Baseband; Bandwidth; Automotive radar; autoregressive (AR) modeling; chirp sequence (CS); frequency modulated continuous wave (FMCW); interference mitigation; signal reconstruction</t>
  </si>
  <si>
    <t xml:space="preserve">MUTUAL INTERFERENCE; SELECTION; SUPPRESSION</t>
  </si>
  <si>
    <t xml:space="preserve">Automotive radars have become an important part of sensing systems in vehicles and other traffic applications due to their accuracy, compact design, and robustness under severe light and weather conditions. The increased use of radars in various traffic applications has given rise to the problem of mutual interference, which needs to be mitigated. In this paper, we investigate interference mitigation in chirp sequence (CS) automotive radars via signal reconstruction based on autoregressive (AR) models in fast- and slow-time. The interference is mitigated by replacing the disturbed baseband signal samples with samples predicted using the estimated AR models. Measurements from 77GHz frequency modulated continuous wave (FMCW) static and moving radars are used to evaluate the signal reconstruction performance in terms of the signal-to-interference-plus-noise ratio (SINR), peak side-lobe level (PSLL), and mean squared error (MSE). The results show that the interference is suppressed down to the general noise floor, leading to an improvement in the SINR. Additionally, enhanced side-lobe suppression is achieved via AR signal reconstruction, which is compared to a commonly used inverse-cosine method. Furthermore, the paper notes that the slow-time signal reconstruction can be more beneficial for interference suppression in certain scenarios.</t>
  </si>
  <si>
    <t xml:space="preserve">[Rameez, Muhammad; Dahl, Mattias; Pettersson, Mats, I] Blekinge Inst Technol, Dept Math &amp; Nat Sci, S-37435 Karlshamn, Sweden</t>
  </si>
  <si>
    <t xml:space="preserve">Rameez, M (corresponding author), Blekinge Inst Technol, Dept Math &amp; Nat Sci, S-37435 Karlshamn, Sweden.</t>
  </si>
  <si>
    <t xml:space="preserve">Thisworkwas supported in part by the Netport Science Park and in part by the Municipality of Karlshamn.</t>
  </si>
  <si>
    <t xml:space="preserve">MAR 1</t>
  </si>
  <si>
    <t xml:space="preserve">10.1109/JSEN.2020.3042061</t>
  </si>
  <si>
    <t xml:space="preserve">QE6PX</t>
  </si>
  <si>
    <t xml:space="preserve">WOS:000616329300107</t>
  </si>
  <si>
    <t xml:space="preserve">Paxling, L</t>
  </si>
  <si>
    <t xml:space="preserve">Paxling, Linda</t>
  </si>
  <si>
    <t xml:space="preserve">Exploring technology design among mobile entrepreneurs in Kampala: An open space workshop</t>
  </si>
  <si>
    <t xml:space="preserve">ELECTRONIC JOURNAL OF INFORMATION SYSTEMS IN DEVELOPING COUNTRIES</t>
  </si>
  <si>
    <t xml:space="preserve">feminist technoscience; mobile development; postcolonial computing; tech hub; technology design</t>
  </si>
  <si>
    <t xml:space="preserve">Information and communication technologies (ICTs) are located at the center of international development and considered vital for the progress of the current sustainable development goals. ICTs are embedded in cultural structures and social norms, which provide both possibilities and challenges to the people working with technologies such as mobile phones. Drawing upon theories and methodologies of feminist and postcolonial technosciences, my research objective is an exploration of how young entrepreneurs in Uganda affect and are affected by technology design. This article is based on conversations from an Open space workshop that took place at a tech hub in Kampala in 2012. The theme of the workshop was The mobile futures of Uganda: sharing visions and challenges for today and tomorrow. The workshop discussions showcase how norms and values are embedded in technology design and how colonial relationships still linger and affect contemporary design and technology practices. Together with my empirical material, I perform technoscientific stories that discuss challenges in entrepreneurship, working in software development and user design practices. I argue that studying the social and political dimensions of technology design is crucial for forming more inclusive and heterogeneous ICT practices.</t>
  </si>
  <si>
    <t xml:space="preserve">[Paxling, Linda] Blekinge Inst Technol, Dept Technol &amp; Aesthet, Fac Comp, S-37424 Karlshamn, Sweden</t>
  </si>
  <si>
    <t xml:space="preserve">Paxling, L (corresponding author), Blekinge Inst Technol, Dept Technol &amp; Aesthet, Fac Comp, S-37424 Karlshamn, Sweden.</t>
  </si>
  <si>
    <t xml:space="preserve">linda.paxling@bth.se</t>
  </si>
  <si>
    <t xml:space="preserve">1681-4835</t>
  </si>
  <si>
    <t xml:space="preserve">ELECTR J INF SYS DEV</t>
  </si>
  <si>
    <t xml:space="preserve">Electron. J. Inf. Syst. Dev. Ctries.</t>
  </si>
  <si>
    <t xml:space="preserve">e12116</t>
  </si>
  <si>
    <t xml:space="preserve">10.1002/isd2.12116</t>
  </si>
  <si>
    <t xml:space="preserve">Social Sciences, Interdisciplinary</t>
  </si>
  <si>
    <t xml:space="preserve">Social Sciences - Other Topics</t>
  </si>
  <si>
    <t xml:space="preserve">KT7UW</t>
  </si>
  <si>
    <t xml:space="preserve">WOS:000519219500001</t>
  </si>
  <si>
    <t xml:space="preserve">Borén, S</t>
  </si>
  <si>
    <t xml:space="preserve">Boren, Sven</t>
  </si>
  <si>
    <t xml:space="preserve">Electric buses' sustainability effects, noise, energy use, and costs</t>
  </si>
  <si>
    <t xml:space="preserve">INTERNATIONAL JOURNAL OF SUSTAINABLE TRANSPORTATION</t>
  </si>
  <si>
    <t xml:space="preserve">Electric bus; life cycle; noise; societal cost; sustainability; total cost of ownership</t>
  </si>
  <si>
    <t xml:space="preserve">TRANSPORT-SYSTEM DEVELOPMENT; STRATEGIC APPROACH; SOCIAL SUSTAINABILITY; PART 2</t>
  </si>
  <si>
    <t xml:space="preserve">Electric buses are growing in numbers in Sweden, which contributes to the development of a fossil fuel free society and a reduction of emissions. Earlier studies of bus systems have identified a need to further investigate societal costs, total cost of ownership, energy use on a yearly basis to account for seasonal variations, and noise during acceleration. Addressing those needs was the purpose of this study. Investigations were made in five cities in Sweden that have recently implemented different electric buses in their respective public transport system. Based on results from these investigations and earlier studies, new and developed models where designed and applied on electric buses on route 1 in Karlskrona, as a representative example. It was found that there were significant savings in societal costs and total cost of ownership when compared to diesel and biogas powered buses, mainly due to decreased noise, no emissions in the use phase, and decreased energy use.</t>
  </si>
  <si>
    <t xml:space="preserve">[Boren, Sven] Blekinge Inst Technol, Dept Strateg Sustainable Dev, Karlskrona, Sweden</t>
  </si>
  <si>
    <t xml:space="preserve">Borén, S (corresponding author), Blekinge Inst Technol, SE-37154 Karlskrona, Sweden.</t>
  </si>
  <si>
    <t xml:space="preserve">sbn@bth.se</t>
  </si>
  <si>
    <t xml:space="preserve">Swedish Energy Agency</t>
  </si>
  <si>
    <t xml:space="preserve">Swedish Energy Agency(Swedish Energy Agency)</t>
  </si>
  <si>
    <t xml:space="preserve">Partners in this study from Chalmers University of Technology, Goteborgs Energi, Electrodriving Scandinavia, Nobina, Karlstadsbuss, Keolis, Skanetrafiken, Volvo Buses, and Svealandstrafiken AB have been very helpful regarding collection of data for LCA and cost calculations. Vastmanlands lokaltrafik AB also provided great help during the noise measurements in Vasteras, as well as the city planning department at Karlskrona Municipality with data for calculating societal costs from noise and the Swedish Transport Administration for support with conceptual noise calculations. The financing by the Swedish Energy Agency of the research part of the study is gratefully appreciated, but they were not involved in the writing and submission of this paper. Supervisor and formal project leader Henrik Ny provided great support throughout the creation and execution of the study and gave together with main supervisor Goran Broman great feedback on this article.</t>
  </si>
  <si>
    <t xml:space="preserve">TAYLOR &amp; FRANCIS INC</t>
  </si>
  <si>
    <t xml:space="preserve">PHILADELPHIA</t>
  </si>
  <si>
    <t xml:space="preserve">530 WALNUT STREET, STE 850, PHILADELPHIA, PA 19106 USA</t>
  </si>
  <si>
    <t xml:space="preserve">1556-8318</t>
  </si>
  <si>
    <t xml:space="preserve">1556-8334</t>
  </si>
  <si>
    <t xml:space="preserve">INT J SUSTAIN TRANSP</t>
  </si>
  <si>
    <t xml:space="preserve">Int. J. Sustain. Transp.</t>
  </si>
  <si>
    <t xml:space="preserve">10.1080/15568318.2019.1666324</t>
  </si>
  <si>
    <t xml:space="preserve">SEP 2019</t>
  </si>
  <si>
    <t xml:space="preserve">Green &amp; Sustainable Science &amp; Technology; Environmental Studies; Transportation</t>
  </si>
  <si>
    <t xml:space="preserve">Science &amp; Technology - Other Topics; Environmental Sciences &amp; Ecology; Transportation</t>
  </si>
  <si>
    <t xml:space="preserve">NV2VA</t>
  </si>
  <si>
    <t xml:space="preserve">WOS:000486808900001</t>
  </si>
  <si>
    <t xml:space="preserve">Bauer, A; Frattini, J; Alégroth, E</t>
  </si>
  <si>
    <t xml:space="preserve">Bauer, Andreas; Frattini, Julian; Alegroth, Emil</t>
  </si>
  <si>
    <t xml:space="preserve">Augmented testing to support manual GUI-based regression testing: An empirical study</t>
  </si>
  <si>
    <t xml:space="preserve">GUI-based testing; GUI testing; Augmented testing; Manual testing; Bayesian data analysis</t>
  </si>
  <si>
    <t xml:space="preserve">SOFTWARE; TOOLS</t>
  </si>
  <si>
    <t xml:space="preserve">ContextManual graphical user interface (GUI) software testing presents a substantial part of the overall practiced testing efforts, despite various research efforts to further increase test automation. Augmented Testing (AT), a novel approach for GUI testing, aims to aid manual GUI-based testing through a tool-supported approach where an intermediary visual layer is rendered between the system under test (SUT) and the tester, superimposing relevant test information.ObjectiveThe primary objective of this study is to gather empirical evidence regarding AT's efficiency compared to manual GUI-based regression testing. Existing studies involving testing approaches under the AT definition primarily focus on exploratory GUI testing, leaving a gap in the context of regression testing. As a secondary objective, we investigate AT's benefits, drawbacks, and usability issues when deployed with the demonstrator tool, Scout.MethodWe conducted an experiment involving 13 industry professionals, from six companies, comparing AT to manual GUI-based regression testing. These results were complemented by interviews and Bayesian data analysis (BDA) of the study's quantitative results.ResultsThe results of the Bayesian data analysis revealed that the use of AT shortens test durations in 70% of the cases on average, concluding that AT is more efficient. When comparing the means of the total duration to perform all tests, AT reduced the test duration by 36% in total. Participant interviews highlighted nine benefits and eleven drawbacks of AT, while observations revealed four usability issues.ConclusionThis study presents empirical evidence of improved efficiency using AT in the context of manual GUI-based regression testing. We further report AT's benefits, drawbacks, and usability issues. The majority of identified usability issues and drawbacks can be attributed to the tool implementation of AT and, thus, can serve as valuable input for future tool development.</t>
  </si>
  <si>
    <t xml:space="preserve">[Bauer, Andreas; Frattini, Julian; Alegroth, Emil] Blekinge Inst Technol, Software Engn Res Lab SERL, Karlskrona, Sweden</t>
  </si>
  <si>
    <t xml:space="preserve">andreas.bauer@bth.se; julian.frattini@bth.se; emil.alegroth@bth.se</t>
  </si>
  <si>
    <t xml:space="preserve">Stiftelsen fr Kunskaps- och Kompetensutveckling</t>
  </si>
  <si>
    <t xml:space="preserve">We thank all study participants for their time and contribution to this study. Further, we thank our colleagues Michael Dorner and Davide Fucci for valuable discussions.</t>
  </si>
  <si>
    <t xml:space="preserve">10.1007/s10664-024-10522-z</t>
  </si>
  <si>
    <t xml:space="preserve">C9E8S</t>
  </si>
  <si>
    <t xml:space="preserve">WOS:001292331700002</t>
  </si>
  <si>
    <t xml:space="preserve">Fiedler, M; Svegland, J</t>
  </si>
  <si>
    <t xml:space="preserve">Fiedler, Markus; Svegland, Jonas</t>
  </si>
  <si>
    <t xml:space="preserve">Stereoscopic 360-Degree Hybrid Conference Experience at QoMEX 2024</t>
  </si>
  <si>
    <t xml:space="preserve">2024 16TH INTERNATIONAL CONFERENCE ON QUALITY OF MULTIMEDIA EXPERIENCE, QOMEX 2024</t>
  </si>
  <si>
    <t xml:space="preserve">16th International Conference on Quality of Multimedia Experience (QoMEX)</t>
  </si>
  <si>
    <t xml:space="preserve">JUN 18-20, 2024</t>
  </si>
  <si>
    <t xml:space="preserve">Blekinge Inst Technol, Karlshamn, SWEDEN</t>
  </si>
  <si>
    <t xml:space="preserve">IEEE Signal Proc Soc,European Network Qual Experience Multimedia Syst &amp; Serv,German Informationstechnische Gesell VdE,YouTube,Sparbanken Karlshamn,Meta,Netflix,Frej Creat,StudentReg Blekinge</t>
  </si>
  <si>
    <t xml:space="preserve">Blekinge Inst Technol</t>
  </si>
  <si>
    <t xml:space="preserve">The 2024 edition of QoMEX has the motto Towards Immersive Digiphysical Experiences. While the conference as such is organised as an on-site event, the keynotes and demonstration session(s) will be hybrid, and the demonstrations will be complemented by specific hybrid experiences. For the first time in the history of QoMEX, streaming of the keynotes will be performed using a stereoscopic 360-degree format, which can be enjoyed by a set of remote participants using Oculus headsets. This paper provides an overview of the technical solution behind this hybrid experience. It also reports on tests and qualitative user experiences obtained so far. The visitors of the demonstration and hybrid experience session will have the opportunity to take a closer look at the system, experience it in action and report the quality of their experience.</t>
  </si>
  <si>
    <t xml:space="preserve">[Fiedler, Markus; Svegland, Jonas] Blekinge Inst Technol, Dept Technol &amp; Aesthet, S-37435 Karlshamn, Sweden</t>
  </si>
  <si>
    <t xml:space="preserve">Fiedler, M (corresponding author), Blekinge Inst Technol, Dept Technol &amp; Aesthet, S-37435 Karlshamn, Sweden.</t>
  </si>
  <si>
    <t xml:space="preserve">markus.fiedler@bth.se; jonas.svegland@bth.se</t>
  </si>
  <si>
    <t xml:space="preserve">979-8-3503-6159-9; 979-8-3503-6158-2</t>
  </si>
  <si>
    <t xml:space="preserve">10.1109/QoMEX61742.2024.10598243</t>
  </si>
  <si>
    <t xml:space="preserve">Computer Science, Interdisciplinary Applications; Imaging Science &amp; Photographic Technology</t>
  </si>
  <si>
    <t xml:space="preserve">BX4HC</t>
  </si>
  <si>
    <t xml:space="preserve">WOS:001289486600012</t>
  </si>
  <si>
    <t xml:space="preserve">Silvander, J; Singh, SP</t>
  </si>
  <si>
    <t xml:space="preserve">Silvander, Johan; Singh, Shailesh Pratap</t>
  </si>
  <si>
    <t xml:space="preserve">Validating Trust in Human Decisions to Improve Expert Models Based on Small Data Sets</t>
  </si>
  <si>
    <t xml:space="preserve">BUSINESS MODELING AND SOFTWARE DESIGN, BMSD 2023</t>
  </si>
  <si>
    <t xml:space="preserve">13th International Symposium on Business Modeling and Software Design (BMSD)</t>
  </si>
  <si>
    <t xml:space="preserve">JUL 03-05, 2023</t>
  </si>
  <si>
    <t xml:space="preserve">Utrecht, NETHERLANDS</t>
  </si>
  <si>
    <t xml:space="preserve">Interdisciplinary Inst Collaborat &amp; Res Enterprise Syst &amp; Technol,Open Univ Netherlands,BPM D,Cesuur B V,Dutch Res Sch Informat &amp; Knowledge Syst</t>
  </si>
  <si>
    <t xml:space="preserve">Human Decisions; Trust Validation; Improving Expert Models</t>
  </si>
  <si>
    <t xml:space="preserve">When a model is built based on expert knowledge, a small data set will, in many cases, form the base for the model. It must be possible to validate the trustworthiness and model improvement potential of the provided information from humans or machines. In this study, we have investigated how to evaluate the information from humans to improve the model itself. We used evaluation research and collected the research data with the help of focus group interviews and questionnaires. The result of the study suggests a way to determine the trustworthiness of answers from humans and how to understand if these answers indicate a change to the underlying expert model. The introduction of divergence, and candidate areas, made it possible to evaluate the trust-worthiness and changes to the expert model. These were deemed valuable by practitioners.</t>
  </si>
  <si>
    <t xml:space="preserve">[Silvander, Johan; Singh, Shailesh Pratap] Blekinge Inst Technol, Karlskrona, Sweden</t>
  </si>
  <si>
    <t xml:space="preserve">Silvander, J (corresponding author), Blekinge Inst Technol, Karlskrona, Sweden.</t>
  </si>
  <si>
    <t xml:space="preserve">johan.silvander@bth.se</t>
  </si>
  <si>
    <t xml:space="preserve">978-3-031-36756-4; 978-3-031-36757-1</t>
  </si>
  <si>
    <t xml:space="preserve">10.1007/978-3-031-36757-1_17</t>
  </si>
  <si>
    <t xml:space="preserve">Business; Computer Science, Information Systems; Computer Science, Interdisciplinary Applications; Computer Science, Software Engineering; Management</t>
  </si>
  <si>
    <t xml:space="preserve">BX7AX</t>
  </si>
  <si>
    <t xml:space="preserve">WOS:001316087100017</t>
  </si>
  <si>
    <t xml:space="preserve">Öinert, J; Wagner, S</t>
  </si>
  <si>
    <t xml:space="preserve">Oinert, Johan; Wagner, Stefan</t>
  </si>
  <si>
    <t xml:space="preserve">Complex group rings and group C*-algebras of group extensions</t>
  </si>
  <si>
    <t xml:space="preserve">JOURNAL OF ALGEBRAIC COMBINATORICS</t>
  </si>
  <si>
    <t xml:space="preserve">Complex group ring; Group extension; Crossed product; Crossed system; Torsion-free group; Zero-divisor conjecture; Idempotent conjecture; Group C*-algebra; Kadison-Kaplansky conjecture</t>
  </si>
  <si>
    <t xml:space="preserve">ZERO DIVISORS; IDEMPOTENTS; CONJECTURE</t>
  </si>
  <si>
    <t xml:space="preserve">Let N and H be groups, and letG be an extension of H by N. In this article, we describe the structure of the complex group ring of G in terms of data associated with N and H. In particular, we present conditions on the building blocks N and H guaranteeing that G satisfies the zero-divisor and idempotent conjectures. Moreover, for central extensions involving amenable groups we present conditions on the building blocks guaranteeing that the Kadison-Kaplansky conjecture holds for the group C*-algebra of G.</t>
  </si>
  <si>
    <t xml:space="preserve">[Oinert, Johan; Wagner, Stefan] Blekinge Inst Technol, Dept Math &amp; Nat Sci, SE-37179 Karlskrona, Sweden</t>
  </si>
  <si>
    <t xml:space="preserve">Öinert, J (corresponding author), Blekinge Inst Technol, Dept Math &amp; Nat Sci, SE-37179 Karlskrona, Sweden.</t>
  </si>
  <si>
    <t xml:space="preserve">johan.oinert@bth.se; stefan.wagner@bth.se</t>
  </si>
  <si>
    <t xml:space="preserve">Carl Tryggers Stiftelse for Vetenskaplig Forskning [CTS 16:540, CTS KF17:27]</t>
  </si>
  <si>
    <t xml:space="preserve">Carl Tryggers Stiftelse for Vetenskaplig Forskning</t>
  </si>
  <si>
    <t xml:space="preserve">We are grateful to the anonymous referees for thoroughly reading our manuscript and for providing clear and useful feedback. The second named author would like to express his gratitude to Carl Tryggers Stiftelse for Vetenskaplig Forskning for supporting this research through the grants CTS 16:540 and CTS KF17:27.</t>
  </si>
  <si>
    <t xml:space="preserve">0925-9899</t>
  </si>
  <si>
    <t xml:space="preserve">1572-9192</t>
  </si>
  <si>
    <t xml:space="preserve">J ALGEBR COMB</t>
  </si>
  <si>
    <t xml:space="preserve">J. Algebr. Comb.</t>
  </si>
  <si>
    <t xml:space="preserve">10.1007/s10801-022-01183-6</t>
  </si>
  <si>
    <t xml:space="preserve">OCT 2022</t>
  </si>
  <si>
    <t xml:space="preserve">R5MR7</t>
  </si>
  <si>
    <t xml:space="preserve">WOS:000871156400001</t>
  </si>
  <si>
    <t xml:space="preserve">Chen, XR; Badampudi, D; Usman, M</t>
  </si>
  <si>
    <t xml:space="preserve">Chen, Xingru; Badampudi, Deepika; Usman, Muhammad</t>
  </si>
  <si>
    <t xml:space="preserve">Reuse in Contemporary Software Engineering Practices-An Exploratory Case Study in A Medium-sized Company</t>
  </si>
  <si>
    <t xml:space="preserve">software reuse; contemporary SE practices; software reuse costs and benefits; software reuse challenges and improvements; InnerSource</t>
  </si>
  <si>
    <t xml:space="preserve">MICROSERVICES</t>
  </si>
  <si>
    <t xml:space="preserve">Background: Software practice is evolving with changing technologies and practices such as InnerSource, DevOps, and microservices. It is important to investigate the impact of contemporary software engineering (SE) practices on software reuse.Aim: This study aims to characterize software reuse in contemporary SE practices and investigate its implications in terms of costs, benefits, challenges, and potential improvements in a medium-sized company.Method: We performed an exploratory case study by conducting interviews, group discussions, and reviewing company documentation to investigate software reuse in the context of contemporary SE practices in the case company.Results: The results indicate that the development for reuse in contemporary SE practices incurs additional coordination, among other costs. Development with reuse led to relatively fewer additional costs and resulted in several benefits such as better product quality and less development and delivery time. Ownership of reusable assets is challenging in contemporary SE practice. InnerSource practices may help mitigate the top perceived challenges: discoverability and ownership of the reusable assets, knowledge sharing and reuse measurement.Conclusion: Reuse in contemporary SE practices is not without additional costs and challenges. However, the practitioners perceive costs as investments that benefit the company in the long run.</t>
  </si>
  <si>
    <t xml:space="preserve">[Chen, Xingru; Badampudi, Deepika; Usman, Muhammad] Blekinge Inst Technol, Dept Software Engn, S-37179 Karlskrona, Sweden</t>
  </si>
  <si>
    <t xml:space="preserve">Chen, XR (corresponding author), Blekinge Inst Technol, Dept Software Engn, S-37179 Karlskrona, Sweden.</t>
  </si>
  <si>
    <t xml:space="preserve">xingru.chen@bth.se; deepika.badampudi@bth.se; muhammad.usman@bth.se</t>
  </si>
  <si>
    <t xml:space="preserve">Knowledge Foundation [20190081]; Blekinge Institute of Technology, Sweden</t>
  </si>
  <si>
    <t xml:space="preserve">Knowledge Foundation; Blekinge Institute of Technology, Sweden</t>
  </si>
  <si>
    <t xml:space="preserve">We would like to acknowledge that this work was supported by the Knowledge Foundation through the OSIR project (reference number 20190081) at Blekinge Institute of Technology, Sweden. We would also like to thank the practitioners from the case company for collaborating with us. Lastly, we would like to thank Prof. Claes Wohlin for participating in the initial discussion with the case company and providing valuable feedback on the study design and the initial version of the study report.</t>
  </si>
  <si>
    <t xml:space="preserve">10.37190/e-Inf220110</t>
  </si>
  <si>
    <t xml:space="preserve">4I8HT</t>
  </si>
  <si>
    <t xml:space="preserve">WOS:000850816000001</t>
  </si>
  <si>
    <t xml:space="preserve">Fucci, D</t>
  </si>
  <si>
    <t xml:space="preserve">Fucci, Davide</t>
  </si>
  <si>
    <t xml:space="preserve">FAIR enough: a Vision for Research Objects in Empirical Software Engineering Studies</t>
  </si>
  <si>
    <t xml:space="preserve">PROCEEDINGS OF THE 2024 IEEE/ACM INTERNATIONAL WORKSHOP ON METHODOLOGICAL ISSUES WITH EMPIRICAL STUDIES IN SOFTWARE ENGINEERING, WSESE 2024</t>
  </si>
  <si>
    <t xml:space="preserve">International Workshop on Methodological Issues with Empirical Studies in Software Engineering (WSESE)</t>
  </si>
  <si>
    <t xml:space="preserve">APR 16-16, 2024</t>
  </si>
  <si>
    <t xml:space="preserve">IEEE,ACM</t>
  </si>
  <si>
    <t xml:space="preserve">FAIR; Software Engineering Research; Empirical Studies; Ontology; Metadata</t>
  </si>
  <si>
    <t xml:space="preserve">In recent years, the software engineering-search community has been fostering Open Science through several initiatives. Although the transparency fostered in Open Science can address some of the concerns related to appropriate study design and data analysis methods, the community still needs to fully embrace a set of guidelines for managing research data, such as FAIR principles. A fundamental aspect of FAIR is the Research Object i.e., a bundle of research artifacts and their metadata. In this paper, I show an example of a Research Object and discuss how formalized metadata can benefit the community.</t>
  </si>
  <si>
    <t xml:space="preserve">[Fucci, Davide] Blekinge Inst Technol, Karlskrona, Sweden</t>
  </si>
  <si>
    <t xml:space="preserve">Fucci, D (corresponding author), Blekinge Inst Technol, Karlskrona, Sweden.</t>
  </si>
  <si>
    <t xml:space="preserve">davide.fucci@bth.se</t>
  </si>
  <si>
    <t xml:space="preserve">Fucci, Davide/C-1463-2015</t>
  </si>
  <si>
    <t xml:space="preserve">Fucci, Davide/0000-0002-0679-4361</t>
  </si>
  <si>
    <t xml:space="preserve">KKS foundation</t>
  </si>
  <si>
    <t xml:space="preserve">979-8-4007-0567-0</t>
  </si>
  <si>
    <t xml:space="preserve">10.1145/3643664.3648201</t>
  </si>
  <si>
    <t xml:space="preserve">BX4PN</t>
  </si>
  <si>
    <t xml:space="preserve">WOS:001293147200012</t>
  </si>
  <si>
    <t xml:space="preserve">Machchhar, RJ; Scurati, GW; Bertoni, A</t>
  </si>
  <si>
    <t xml:space="preserve">Machchhar, Raj Jiten; Scurati, Giulia Wally; Bertoni, Alessandro</t>
  </si>
  <si>
    <t xml:space="preserve">Leveraging Information Visualization Through Extended Reality (XR) for Incorporating Changeability in Product-Service Systems</t>
  </si>
  <si>
    <t xml:space="preserve">PSS; changeability; design; systems engineering; extended reality; XR; information visualization</t>
  </si>
  <si>
    <t xml:space="preserve">INDUSTRY</t>
  </si>
  <si>
    <t xml:space="preserve">The paper outlines a vision for how XR technologies can be utilized to support PSS design decisions concerning changeability with an emphasis on perceptual limitations. AnXR-enabled PSS changeability incorporation method is proposed based on the extension of the Responsive Systems Comparison method by integrating XR technologies to leverage the potential of information visualization for decision-making. The proposed method is theoretically described and applied to a demonstrative case in the construction machinery industry facing the problem of designing the next-generation autonomous and electrical vehicles for quarrying and mining.</t>
  </si>
  <si>
    <t xml:space="preserve">[Machchhar, Raj Jiten; Scurati, Giulia Wally; Bertoni, Alessandro] Blekinge Inst Technol, Dept Mech Engn, Karlskrona, Sweden</t>
  </si>
  <si>
    <t xml:space="preserve">raj.jiten.machchhar@bth.se; giulia.wally.scurati@bth.se; alessandro.bertoni@bth.se</t>
  </si>
  <si>
    <t xml:space="preserve">Swedish Innovation Agency (VINNOVA) through the Fossil-free mobile work machines [2021-02551]; Vinnova [2021-02551] Funding Source: Vinnova</t>
  </si>
  <si>
    <t xml:space="preserve">Swedish Innovation Agency (VINNOVA) through the Fossil-free mobile work machines; Vinnova(Vinnova)</t>
  </si>
  <si>
    <t xml:space="preserve">The research presented in this paper has received financial support from the Swedish Innovation Agency (VINNOVA) through the Fossil-free mobile work machines funding program under grant agreement 2021-02551.</t>
  </si>
  <si>
    <t xml:space="preserve">10.1007/978-3-031-42622-3_18</t>
  </si>
  <si>
    <t xml:space="preserve">WOS:001359444600018</t>
  </si>
  <si>
    <t xml:space="preserve">Poot, LP; Scurati, GW</t>
  </si>
  <si>
    <t xml:space="preserve">Poot, Leon Peter; Scurati, Giulia Wally</t>
  </si>
  <si>
    <t xml:space="preserve">Extended Reality-Assisted Risk Assessment in Conceptual Product Development</t>
  </si>
  <si>
    <t xml:space="preserve">Extended Reality; Risk Assessment; Product Development</t>
  </si>
  <si>
    <t xml:space="preserve">VIRTUAL-REALITY; AUGMENTED REALITY; AUTOMATION; SYSTEMS; SAFETY</t>
  </si>
  <si>
    <t xml:space="preserve">Risk assessment is a fundamental stage in the development of new products and systems, especially when adopting novel technologies. While such innovative solutions bring newbenefits, they often introduce newrisks and hazards that all the stakeholders (engineers, risk-assessment professionals, customers, and final users) are not experienced with. This increases the chance of both late identification of potential risks and the severity and frequency of accidents. Moreover, traditional risk assessment methods can only be implemented in late stages of product development, relying on the availability of physical prototypes. Data and knowledge-based simulations might also fail to identify hazards, since they are based on previous technologies. This work proposes an approach for the integration of Extended Reality (XR) tools into the risk assessment process, exploiting the capability of XR to increase risk awareness, support risk analysis, and enable operational interventions for risk mitigation in product configurations.</t>
  </si>
  <si>
    <t xml:space="preserve">[Poot, Leon Peter; Scurati, Giulia Wally] Blekinge Inst Technol, Karlskrona, Sweden</t>
  </si>
  <si>
    <t xml:space="preserve">Poot, LP (corresponding author), Blekinge Inst Technol, Karlskrona, Sweden.</t>
  </si>
  <si>
    <t xml:space="preserve">leon.poot@bth.se; giulia.wally.scurati@bth.se</t>
  </si>
  <si>
    <t xml:space="preserve">10.1007/978-3-031-42622-3_19</t>
  </si>
  <si>
    <t xml:space="preserve">WOS:001359444600019</t>
  </si>
  <si>
    <t xml:space="preserve">Machchhar, RJ; Toller, CNK; Bertoni, A; Bertoni, M</t>
  </si>
  <si>
    <t xml:space="preserve">Machchhar, Raj Jiten; Toller, Carl Nils Konrad; Bertoni, Alessandro; Bertoni, Marco</t>
  </si>
  <si>
    <t xml:space="preserve">Data-driven value creation in Smart Product-Service System design: State-of-the-art and research directions</t>
  </si>
  <si>
    <t xml:space="preserve">COMPUTERS IN INDUSTRY</t>
  </si>
  <si>
    <t xml:space="preserve">Operational data; Value creation; Smart Product-Service System; Operational context; Systematic Literature Review</t>
  </si>
  <si>
    <t xml:space="preserve">LIFE-CYCLE; OPPORTUNITIES; TECHNOLOGY; FRAMEWORK; CONTEXT; REQUIREMENTS; INFORMATION; CHALLENGES; KNOWLEDGE; SCIENCE</t>
  </si>
  <si>
    <t xml:space="preserve">The emergence of IoT has propelled the traditionally known Product-Service System (PSS) to be characterized by smarter technologies, enabling them to collect and process data from the operational stage and facilitate communication between the customer and the provider. Commonly referred to as Smart Product Service Systems (Smart PSS), these systems promise to create value at a personal level by collecting and effectively utilizing the operational data. However, one of the fundamental challenges is the lack of awareness as to what kind of data can be collected from the operational stage and what can be achieved from this data. This paper systematically reviews scientific literature to underline the kind of data being collected from the operational stage, the purposes being achieved from that data, and how they lead to value creation. The systematic review of 60 representative studies enabled the definition of the operational scenario that comprises 4 dimensions of data and 10 classes of data within these dimensions to generically identify what kind of data is being collected. The intend presented by various authors led to the generalization of 5 themes that target different purposes of collecting data. Further, the papers were classified with regards to functional or non-functional requirements to see how data in different approaches are leveraged for value creation. Finally, the discussion highlights the current gaps in the literature and raises several opportunities for future contributions. (c) 2022 The Authors. Published by Elsevier B.V. CC_BY_4.0</t>
  </si>
  <si>
    <t xml:space="preserve">[Machchhar, Raj Jiten; Toller, Carl Nils Konrad; Bertoni, Alessandro; Bertoni, Marco] Blekinge Inst Technol, Dept Mech Engn, Prod Dev Res Lab, Campus Grasvik, S-37179 Karlskrona, Sweden</t>
  </si>
  <si>
    <t xml:space="preserve">Machchhar, RJ (corresponding author), Blekinge Inst Technol, Dept Mech Engn, Prod Dev Res Lab, Campus Grasvik, S-37179 Karlskrona, Sweden.</t>
  </si>
  <si>
    <t xml:space="preserve">raj.jiten.machchhar@bth.se; carl.toller@bth.se; alessandro.bertoni@bth.se; marco.bertoni@bth.se</t>
  </si>
  <si>
    <t xml:space="preserve">Toller Melen, Carl Nils Konrad/0000-0002-2579-2310; Machchhar, Raj Jiten/0000-0001-7581-439X</t>
  </si>
  <si>
    <t xml:space="preserve">Swedish Knowledge and Competence Development Foundation (Stiftelsen for kunskapsoch kompetensutveckling) , Sweden, through the Model Driven Development and Decision Support research profile at Blekinge Institute of Technology, Sweden</t>
  </si>
  <si>
    <t xml:space="preserve">The research leading to these results has received financial sup-port from the Swedish Knowledge and Competence Development Foundation (Stiftelsen for kunskaps-och kompetensutveckling) , Sweden, through the Model Driven Development and Decision Support research profile at Blekinge Institute of Technology, Sweden.</t>
  </si>
  <si>
    <t xml:space="preserve">0166-3615</t>
  </si>
  <si>
    <t xml:space="preserve">1872-6194</t>
  </si>
  <si>
    <t xml:space="preserve">COMPUT IND</t>
  </si>
  <si>
    <t xml:space="preserve">Comput. Ind.</t>
  </si>
  <si>
    <t xml:space="preserve">10.1016/j.compind.2022.103606</t>
  </si>
  <si>
    <t xml:space="preserve">JAN 2022</t>
  </si>
  <si>
    <t xml:space="preserve">YX6DW</t>
  </si>
  <si>
    <t xml:space="preserve">WOS:000754192300002</t>
  </si>
  <si>
    <t xml:space="preserve">Post-colonial architecture: deterritorialisation of apartheid township housing and mass-housing</t>
  </si>
  <si>
    <t xml:space="preserve">JOURNAL OF ARCHITECTURE</t>
  </si>
  <si>
    <t xml:space="preserve">DESIGN</t>
  </si>
  <si>
    <t xml:space="preserve">This qualitative ethnographic study presents how intergenerational relationships have shaped the architecture of housing in the former apartheid township Kuisebmond in Walvis Bay, Namibia. The township housing, which was designed for nuclear families, now accommodates multiple generations. The original, small, single-family dwellings have become family houses by horizontal additions and extensions. The plots are often skilfully developed according to the families' needs. In some cases, they have become impressive buildings, housing many individuals. Since formal housing provision has not been able to keep pace with urbanisation, informal housing has been constructed in the form of backyard shacks on the plots of the former township dwellings. These often mimic the former township housing units, albeit on a very small scale. Formal housing, reconstructed or not, together with backyard shacks, constitutes a social geography of intergenerational relations of the extended family. This pattern of urban restructuring affords a scaffolding for extended family needs and an architecture of resistance to apartheid social engineering. The paper reveals an important lesson for housing providers, which is intended as a critical commentary on the persistent tendency of present-day government to continue with the formula of mass-housing with spatially limited single-family dwellings as the former township houses.</t>
  </si>
  <si>
    <t xml:space="preserve">Riksbankens Jubileumsfond [P15-0140]</t>
  </si>
  <si>
    <t xml:space="preserve">Riksbankens Jubileumsfond</t>
  </si>
  <si>
    <t xml:space="preserve">This study was funded by Riksbankens Jubileumsfond no. P15-0140: 1.</t>
  </si>
  <si>
    <t xml:space="preserve">1360-2365</t>
  </si>
  <si>
    <t xml:space="preserve">1466-4410</t>
  </si>
  <si>
    <t xml:space="preserve">J ARCHITECTURE</t>
  </si>
  <si>
    <t xml:space="preserve">J. Archit.</t>
  </si>
  <si>
    <t xml:space="preserve">JAN 2</t>
  </si>
  <si>
    <t xml:space="preserve">10.1080/13602365.2022.2054015</t>
  </si>
  <si>
    <t xml:space="preserve">2R1XI</t>
  </si>
  <si>
    <t xml:space="preserve">WOS:000794304700001</t>
  </si>
  <si>
    <t xml:space="preserve">Tell, J; Olander, E; Anderberg, P; Berglund, JS</t>
  </si>
  <si>
    <t xml:space="preserve">Tell, Johanna; Olander, Ewy; Anderberg, Peter; Sanmartin Berglund, Johan</t>
  </si>
  <si>
    <t xml:space="preserve">Nurses' Use and Ways of Understanding Web-Based National Guidelines for Child Healthcare</t>
  </si>
  <si>
    <t xml:space="preserve">CIN-COMPUTERS INFORMATICS NURSING</t>
  </si>
  <si>
    <t xml:space="preserve">Child healthcare nurses; Information and communication technology; Mixed methods; National guidelines; Phenomenography</t>
  </si>
  <si>
    <t xml:space="preserve">CLINICAL-PRACTICE GUIDELINES; ACCEPTANCE; TECHNOLOGY</t>
  </si>
  <si>
    <t xml:space="preserve">The national Rikshandboken for child healthcare is both a Web-based guideline containing knowledge and methodological guidance and a national child healthcare program in the process of being implemented in Sweden. The aim of this study was to examine child healthcare nurses' use and ways of understanding the national Web-based Rikshandboken. A mixed-methods study with sequential explanatory design in two phases was used; a Web survey with descriptive statistics was followed with telephone interviews with phenomenographic analysis. The study showed variations in use and contributed deeper knowledge of child healthcare nurses' ways of understanding the unit Rikshandboken whose varied parts interact with each other. To be reliable, useful, and relevant for nurses in their specific contexts, Rikshandboken must be kept updated and involve the end users in the development process. With access to technical devices and optimal use of the possibilities of information and communication technology, Rikshandboken can be a resource for continuing learning, a tool in everyday work, and a possible determinant to equality in child healthcare. The study contributes valuable knowledge for the design of Web-based national guidelines for healthcare, making them useful and relevant for the end users.</t>
  </si>
  <si>
    <t xml:space="preserve">[Tell, Johanna; Olander, Ewy; Anderberg, Peter; Sanmartin Berglund, Johan] Blekinge Inst Technol, Fac Technol, Dept Hlth, S-37179 Karlskrona, Sweden</t>
  </si>
  <si>
    <t xml:space="preserve">Tell, J (corresponding author), Blekinge Inst Technol, Fac Technol, Dept Hlth, S-37179 Karlskrona, Sweden.</t>
  </si>
  <si>
    <t xml:space="preserve">johanna.tell@bth.se</t>
  </si>
  <si>
    <t xml:space="preserve">Anderberg, Peter/0000-0001-9870-8477; Tell, Johanna/0000-0002-1714-0785</t>
  </si>
  <si>
    <t xml:space="preserve">LIPPINCOTT WILLIAMS &amp; WILKINS</t>
  </si>
  <si>
    <t xml:space="preserve">TWO COMMERCE SQ, 2001 MARKET ST, PHILADELPHIA, PA 19103 USA</t>
  </si>
  <si>
    <t xml:space="preserve">1538-2931</t>
  </si>
  <si>
    <t xml:space="preserve">1538-9774</t>
  </si>
  <si>
    <t xml:space="preserve">CIN-COMPUT INFORM NU</t>
  </si>
  <si>
    <t xml:space="preserve">CIN-Comput. Inform. Nurs.</t>
  </si>
  <si>
    <t xml:space="preserve">10.1097/CIN.0000000000000578</t>
  </si>
  <si>
    <t xml:space="preserve">Computer Science, Interdisciplinary Applications; Medical Informatics; Nursing</t>
  </si>
  <si>
    <t xml:space="preserve">Computer Science; Medical Informatics; Nursing</t>
  </si>
  <si>
    <t xml:space="preserve">KL7DI</t>
  </si>
  <si>
    <t xml:space="preserve">WOS:000513579100003</t>
  </si>
  <si>
    <t xml:space="preserve">Elwardy, M; Zepernick, HJ; Hu, Y; Chu, TMC; Sundstedt, V</t>
  </si>
  <si>
    <t xml:space="preserve">Elwardy, Majed; Zepernick, Hans-Jurgen; Hu, Yan; Chu, Thi My Chinh; Sundstedt, Veronica</t>
  </si>
  <si>
    <t xml:space="preserve">Evaluation of Simulator Sickness for 360° Videos on an HMD Subject to Participants' Experience with Virtual Reality</t>
  </si>
  <si>
    <t xml:space="preserve">2020 IEEE CONFERENCE ON VIRTUAL REALITY AND 3D USER INTERFACES WORKSHOPS (VRW 2020)</t>
  </si>
  <si>
    <t xml:space="preserve">27th IEEE Conference on Virtual Reality and 3D User Interfaces (IEEE VR)</t>
  </si>
  <si>
    <t xml:space="preserve">MAR 22-26, 2020</t>
  </si>
  <si>
    <t xml:space="preserve">Atlanta, GA</t>
  </si>
  <si>
    <t xml:space="preserve">Immersive media; 360 degrees videos; subjective experiments; M-ACR-HR method; simulator sickness questionnaire</t>
  </si>
  <si>
    <t xml:space="preserve">Virtual reality (VR) has seen tremendous advances in head-mounted displays (HMDs), optics, media quality, and other improvements that facilitate immersive experiences. With the occurrence of new technologies like Cloud VR and networked VR video services, applications such as 360 degrees video streaming are becoming more popular within the broader consumer markets. As a result, VR content is accessible to customers with rather different levels of experiences with immersive media, i.e., never, sometimes, or often use of VR. The question, therefore, arises to which degree simulator sickness is induced to viewers depending on their experiences with VR on HMDs. In this paper, simulator sickness is evaluated for 360 degrees videos that were shown on an HTC Vive Pro HMD to participants having different levels of experience with VR on HMDs. The modified absolute category rating with hidden reference (M-ACR-HR) method was used in a subjective experiment for video quality assessment within two subsequent sessions along with a simulator sickness questionnaire (SSQ). A statistical analysis of the SSQ scores is performed to reveal the relationship between simulator sickness and participants' experiences with VR regarding: (1) Individual symptoms, (2) Pairwise comparison of symptoms, and (3) Symptom clusters of nausea, oculomotor, disorientation, and total score. It is shown that the simulator sickness symptoms, in general, are slightly or rarely perceived across the different experience levels for the selected 360 degrees videos. The results indicate that the reported simulator sickness increases in the second session for participants that never used VR on HMDs. Sufficiently long breaks between sessions should therefore be accounted for in the M-ACR-HR method to avoid that simulator sickness influences quality rating.</t>
  </si>
  <si>
    <t xml:space="preserve">[Elwardy, Majed; Zepernick, Hans-Jurgen; Hu, Yan; Chu, Thi My Chinh; Sundstedt, Veronica] Blekinge Inst Technol, SE-37179 Karlskrona, Sweden</t>
  </si>
  <si>
    <t xml:space="preserve">majed.elwardy@bth.se; hans-jurgen.zepemiek@bth.se; yan.hu@bth.se; thi.my.chinh.chu@bth.se; veronica.sundstedt@bth.se</t>
  </si>
  <si>
    <t xml:space="preserve">Sundstedt, Veronica/IAP-9305-2023; Elwardy, Majed/AFH-8599-2022; Hu, Yan/ABO-0679-2022; Zepernick, Hans-Jürgen/AFJ-2429-2022</t>
  </si>
  <si>
    <t xml:space="preserve">The Knowledge Foundation, Sweden, through the ViaTecH project [20170056]</t>
  </si>
  <si>
    <t xml:space="preserve">The Knowledge Foundation, Sweden, through the ViaTecH project</t>
  </si>
  <si>
    <t xml:space="preserve">This work was supported in part by The Knowledge Foundation, Sweden, through the ViaTecH project (Contract 20170056). The study has been granted ethical approval (Dnr. 2018/863). We thank all volunteers who generously shared their time to participate in the subjective experiment. Special thanks go to Francisco Lopez Luro and Diego Navarro for their advice given to the development of the test platform.</t>
  </si>
  <si>
    <t xml:space="preserve">978-1-7281-6532-5</t>
  </si>
  <si>
    <t xml:space="preserve">10.1109/VRW50115.2020.0-176</t>
  </si>
  <si>
    <t xml:space="preserve">Computer Science, Artificial Intelligence; Computer Science, Software Engineering; Imaging Science &amp; Photographic Technology</t>
  </si>
  <si>
    <t xml:space="preserve">BQ1XM</t>
  </si>
  <si>
    <t xml:space="preserve">WOS:000578054300093</t>
  </si>
  <si>
    <t xml:space="preserve">Sundelin, A; Gonzalez-Huerta, J; Wnuk, K</t>
  </si>
  <si>
    <t xml:space="preserve">Sundelin, Anders; Gonzalez-Huerta, Javier; Wnuk, Krzysztof</t>
  </si>
  <si>
    <t xml:space="preserve">The Hidden Cost of Backward Compatibility: When Deprecation Turns into Technical Debt - An Experience Report</t>
  </si>
  <si>
    <t xml:space="preserve">2020 IEEE/ACM INTERNATIONAL CONFERENCE ON TECHNICAL DEBT, TECHDEBT</t>
  </si>
  <si>
    <t xml:space="preserve">3rd IEEE/ACM International Conference on Technical Debt (TechDebt)</t>
  </si>
  <si>
    <t xml:space="preserve">MAY 25-26, 2020</t>
  </si>
  <si>
    <t xml:space="preserve">Seoul, SOUTH KOREA</t>
  </si>
  <si>
    <t xml:space="preserve">IEEE,Assoc Comp Machinery,IEEE Comp Soc,ACM SIGSOFT,IEEE TCSE</t>
  </si>
  <si>
    <t xml:space="preserve">backwards compatibility; deprecation; technical debt; automated test base</t>
  </si>
  <si>
    <t xml:space="preserve">Context The micro-services architectural pattern advocates for the partitioning of functionality into loosely coupled services, which should be backward compatible, to enable independent upgrades. Deprecation is commonly used as a tool to manage multiple versions of methods or services. However, deprecation carries a cost in that tests might be duplicated and might rely on services that have become deprecated over time. Objective Using the terms of the Technical Debt metaphor, we explore the consequences of deprecation, and how it has affected the test base during seven years. Method We take an exploratory approach, reporting on experiences found before and after servicing parts of the incurred Technical Debt. We mine code repositories and validate our findings with experienced developers. Results We found that the growth of deprecation debt varied a lot. Some services experienced substantial growth, but most did not. Unit tests, where deprecation is visible in the developers' tools, were much less affected than integration tests, which lack such visualization mechanisms. While servicing debt of 121 out of 285 deprecated services, we discovered that up to 29% of the spent effort could be attributed to accrued interest. However, this is an upper bound; there could be less impact, depending on whether scripting could be used to service the debt or not. Conclusion This paper illustrates that integration tests can be viewed as a debt from the perspective of deprecated services. While the pattern was that deprecated services (debt principal) experienced no or little accrued interest, some, highly used, services experienced a lot, particularly during stressful times. Java-based tests, where deprecation is visible in the IDE, did not experience a similar pattern of increasing debt. We postulate that deprecation debt should be kept visible, either using developer tools or statistical reports.</t>
  </si>
  <si>
    <t xml:space="preserve">[Sundelin, Anders; Gonzalez-Huerta, Javier; Wnuk, Krzysztof] Blekinge Inst Technol, Karlskrona, Sweden</t>
  </si>
  <si>
    <t xml:space="preserve">Sundelin, A (corresponding author), Blekinge Inst Technol, Karlskrona, Sweden.</t>
  </si>
  <si>
    <t xml:space="preserve">anders.sundelin@bth.se; javier.gonzalez.huerta@bth.se; krzysztof.wnuk@bth.se</t>
  </si>
  <si>
    <t xml:space="preserve">KKS PLEng 2.0 grant at Blekinge University of Technology; Ericsson AB, through the SHADE KKS Hog project at Blekinge Institute of Technology, SERL Sweden [20170176]; Ericsson AB, through the KKS SERT Research Profile at Blekinge Institute of Technology, SERL Sweden [2018010]</t>
  </si>
  <si>
    <t xml:space="preserve">KKS PLEng 2.0 grant at Blekinge University of Technology; Ericsson AB, through the SHADE KKS Hog project at Blekinge Institute of Technology, SERL Sweden; Ericsson AB, through the KKS SERT Research Profile at Blekinge Institute of Technology, SERL Sweden</t>
  </si>
  <si>
    <t xml:space="preserve">This research was supported by the KKS PLEng 2.0 grant at Blekinge University of Technology, and Ericsson AB, through the SHADE KKS Hog project with ref: 20170176, and through the KKS SERT Research Profile with ref. 2018010 project both at Blekinge Institute of Technology, SERL Sweden.</t>
  </si>
  <si>
    <t xml:space="preserve">978-1-4503-7960-1</t>
  </si>
  <si>
    <t xml:space="preserve">10.1145/3387906.3388629</t>
  </si>
  <si>
    <t xml:space="preserve">Computer Science, Software Engineering; Computer Science, Theory &amp; Methods; Operations Research &amp; Management Science</t>
  </si>
  <si>
    <t xml:space="preserve">Computer Science; Operations Research &amp; Management Science</t>
  </si>
  <si>
    <t xml:space="preserve">BV5HV</t>
  </si>
  <si>
    <t xml:space="preserve">WOS:001048482100008</t>
  </si>
  <si>
    <t xml:space="preserve">Peng, C; Goswami, P; Bai, GH</t>
  </si>
  <si>
    <t xml:space="preserve">Peng, Cong; Goswami, Prashant; Bai, Guohua</t>
  </si>
  <si>
    <t xml:space="preserve">A literature review of current technologies on health data integration for patient-centered health management</t>
  </si>
  <si>
    <t xml:space="preserve">health data collaborative utilization; health data integration; health data management; interoperability; patient-centered care; self-management</t>
  </si>
  <si>
    <t xml:space="preserve">SEMANTIC WEB; OPEN PLATFORM; SECONDARY USE; RECORD; ARCHITECTURE; APPS; METHODOLOGY; ONTOLOGY; SENSORS; SMART</t>
  </si>
  <si>
    <t xml:space="preserve">Health data integration enables a collaborative utilization of data across different systems. It not only provides a comprehensive view of a patient's health but can also potentially cope with challenges faced by the current healthcare system. In this literature review, we investigated the existing work on heterogeneous health data integration as well as the methods of utilizing the integrated health data. Our search was narrowed down to 32 articles for analysis. The integration approaches in the reviewed articles were classified into three classifications, and the utilization approaches were classified into five classifications. The topic of health data integration is still under debate and problems are far from being resolved. This review suggests the need for a more efficient way to invoke the various services for aggregating health data, as well as a more effective way to integrate the aggregated health data for supporting collaborative utilization. We have found that the combination of Web Application Programming Interface and Semantic Web technologies has the potential to cope with the challenges based on our analysis of the review result.</t>
  </si>
  <si>
    <t xml:space="preserve">[Peng, Cong; Goswami, Prashant; Bai, Guohua] Blekinge Inst Technol, Karlskrona, Sweden</t>
  </si>
  <si>
    <t xml:space="preserve">Peng, C (corresponding author), Blekinge Inst Technol, Dept Comp Sci, Valhallavagen 1, S-37179 Karlskrona, Sweden.</t>
  </si>
  <si>
    <t xml:space="preserve">cong.peng@bth.se</t>
  </si>
  <si>
    <t xml:space="preserve">Peng, Cong/AAD-9512-2020</t>
  </si>
  <si>
    <t xml:space="preserve">Peng, Cong/0000-0002-3127-7024</t>
  </si>
  <si>
    <t xml:space="preserve">10.1177/1460458219892387</t>
  </si>
  <si>
    <t xml:space="preserve">MW5PI</t>
  </si>
  <si>
    <t xml:space="preserve">WOS:000507099100001</t>
  </si>
  <si>
    <t xml:space="preserve">A domain adaptation technique through cluster boundary integration</t>
  </si>
  <si>
    <t xml:space="preserve">Clustering techniques; Domain adaptation; Cluster integration</t>
  </si>
  <si>
    <t xml:space="preserve">Many machine learning models deployed on smart or edge devices experience a phase where there is a drop in their performance due to the arrival of data from new domains. This paper proposes a novel unsupervised domain adaptation algorithm called DIBCA++ to deal with such situations. The algorithm uses only the clusters' mean, standard deviation, and size, which makes the proposed algorithm modest in terms of the required storage and computation. The study also presents the explainability aspect of the algorithm. DIBCA++ is compared with its predecessor, DIBCA, and its applicability and performance are studied and evaluated in two real-world scenarios. One is coping with the Global Navigation Satellite System activation problem from the smart logistics domain, while the other identifies different activities a person performs and deals with a human activity recognition task. Both scenarios involve time series data phenomena, i.e., DIBCA++ also contributes towards addressing the current gap regarding domain adaptation solutions for time series data. Based on the experimental results, DIBCA++ has improved performance compared to DIBCA. The DIBCA++ has performed better in all human activity recognition task experiments and 82.5% of experimental scenarios on the smart logistics use case. The results also showcase the need and benefit of personalizing the models using DIBCA++, along with the ability to transfer new knowledge between domains, leading to improved performance. The adapted source and target models have performed better in 70% and 80% of cases in an experimental scenario conducted on smart logistics.</t>
  </si>
  <si>
    <t xml:space="preserve">[Devagiri, Vishnu Manasa; Boeva, Veselka; Abghari, Shahrooz] Blekinge Inst Technol, Dept Comp Sci, Valhallavagen 1, S-37141 Karlskrona, Sweden</t>
  </si>
  <si>
    <t xml:space="preserve">Devagiri, VM (corresponding author), Blekinge Inst Technol, Dept Comp Sci, Valhallavagen 1, S-37141 Karlskrona, Sweden.</t>
  </si>
  <si>
    <t xml:space="preserve">vishnu.manasa.devagiri@bth.se; veselka.boeva@bth.se; shahrooz.abghari@bth.se</t>
  </si>
  <si>
    <t xml:space="preserve">Knowledge Foundation; Knowledge Foundation, Sweden [20220068]; Human-Centered Intelligent Realities (HINTS) Profile Project</t>
  </si>
  <si>
    <t xml:space="preserve">Knowledge Foundation; Knowledge Foundation, Sweden; Human-Centered Intelligent Realities (HINTS) Profile Project</t>
  </si>
  <si>
    <t xml:space="preserve">This research was funded partly by the Knowledge Foundation, Sweden, through the Human-Centered Intelligent Realities (HINTS) Profile Project (contract 20220068). In addition, the data used in one of the experiments were provided due to the involvement in the Sony RAP 2020 Project Distributed and Adaptive Edge-based AI Models for Sensor Networks.</t>
  </si>
  <si>
    <t xml:space="preserve">10.1007/s12530-024-09635-z</t>
  </si>
  <si>
    <t xml:space="preserve">N3L6E</t>
  </si>
  <si>
    <t xml:space="preserve">WOS:001363397000001</t>
  </si>
  <si>
    <t xml:space="preserve">Andersson, K; Landén, E; Goswami, P</t>
  </si>
  <si>
    <t xml:space="preserve">Andersson, Klara; Landen, Erik; Goswami, Prashant</t>
  </si>
  <si>
    <t xml:space="preserve">Exploring the Effects of Foveated Rendering on Virtual Reality Game Graphics</t>
  </si>
  <si>
    <t xml:space="preserve">Foveated rendering; Virtual Reality; Interactive Video Games</t>
  </si>
  <si>
    <t xml:space="preserve">This study explores foveated rendering for its quality impact on players in virtual reality (VR) video game settings. Foveated rendering has the potential to decrease the performance cost by only rendering the part of the scene where the user is looking at a higher resolution, which it achieves with the use of an eye tracker. A user study is conducted to test the perceived visual quality by playing a fast-paced shooter game that requires many eye and head movements using a head-mounted display (HMD). The game is played with three different types of foveation: no foveation, static, and dynamic foveated rendering. Results show that the majority of participants did not notice a difference in the visual quality between the foveated and non-foveated game versions.</t>
  </si>
  <si>
    <t xml:space="preserve">[Andersson, Klara; Landen, Erik; Goswami, Prashant] Blekinge Inst Technol, Dept Comp Sci, Karlskrona, Sweden</t>
  </si>
  <si>
    <t xml:space="preserve">Andersson, K (corresponding author), Blekinge Inst Technol, Dept Comp Sci, Karlskrona, Sweden.</t>
  </si>
  <si>
    <t xml:space="preserve">kmda23@hotmail.com; eriksland@gmail.com; prashant.goswami@bth.se</t>
  </si>
  <si>
    <t xml:space="preserve">10.1109/GEM61861.2024.10585690</t>
  </si>
  <si>
    <t xml:space="preserve">WOS:001281983200110</t>
  </si>
  <si>
    <t xml:space="preserve">Iftikhar, U; Bin Ali, N; Börstler, J; Usman, M</t>
  </si>
  <si>
    <t xml:space="preserve">Iftikhar, Umar; Bin Ali, Nauman; Borstler, Juergen; Usman, Muhammad</t>
  </si>
  <si>
    <t xml:space="preserve">A tertiary study on links between source code metrics and external quality attributes</t>
  </si>
  <si>
    <t xml:space="preserve">Product quality; Quality models; Code quality; Evidence; Tertiary study; Tertiary review</t>
  </si>
  <si>
    <t xml:space="preserve">SOFTWARE CHANGE PREDICTION; MAINTAINABILITY PREDICTION; FAULT PREDICTION; MODEL; RELIABILITY; VALIDITY; REVIEWS; SYSTEMS</t>
  </si>
  <si>
    <t xml:space="preserve">Context: Several secondary studies have investigated the relationship between internal quality attributes, source code metrics and external quality attributes. Sometimes they have contradictory results.Objective: We synthesize evidence of the link between internal quality attributes, source code metrics and external quality attributes along with the efficacy of the prediction models used. Method: We conducted a tertiary review to identify, evaluate and synthesize secondary studies. We used several characteristics of secondary studies as indicators for the strength of evidence and considered them when synthesizing the results.Results: From 711 secondary studies, we identified 15 secondary studies that have investigated the link between source code and external quality. Our results show : (1) primarily, the focus has been on object -oriented systems, (2) maintainability and reliability are most often linked to internal quality attributes and source code metrics, with only one secondary study reporting evidence for security, (3) only a small set of complexity, coupling, and size-related source code metrics report a consistent positive link with maintainability and reliability, and (4) group method of data handling (GMDH) based prediction models have performed better than other prediction models for maintainability prediction. Conclusions: Based on our results, lines of code, coupling, complexity and the cohesion metrics from Chidamber &amp; Kemerer (CK) metrics are good indicators of maintainability with consistent evidence from high and moderate-quality secondary studies. Similarly, four CK metrics related to coupling, complexity and cohesion are good indicators of reliability, while inheritance and certain cohesion metrics show no consistent evidence of links to maintainability and reliability. Further empirical studies are needed to explore the link between internal quality attributes, source code metrics and other external quality attributes, including functionality, portability, and usability. The results will help researchers and practitioners understand the body of knowledge on the subject and identify future research directions.</t>
  </si>
  <si>
    <t xml:space="preserve">[Iftikhar, Umar; Bin Ali, Nauman; Borstler, Juergen; Usman, Muhammad] Blekinge Inst Technol, Dept Software Engn, Karlskrona SE-371 79, Sweden</t>
  </si>
  <si>
    <t xml:space="preserve">Iftikhar, U (corresponding author), Blekinge Inst Technol, Dept Software Engn, Karlskrona SE-371 79, Sweden.</t>
  </si>
  <si>
    <t xml:space="preserve">umar.iftikhar@bth.se; nauman.ali@bth.se; jurgen.borstler@bth.se; muhammad.usman@bth.se</t>
  </si>
  <si>
    <t xml:space="preserve">Ali, Nauman bin/0000-0001-7266-5632; Usman, Muhammad/0000-0002-8132-0107; Iftikhar, Umar/0000-0003-3177-6138</t>
  </si>
  <si>
    <t xml:space="preserve">ELLIIT; Swedish Government; Knowledge Foundation in Sweden [20190081]</t>
  </si>
  <si>
    <t xml:space="preserve">ELLIIT; Swedish Government; Knowledge Foundation in Sweden</t>
  </si>
  <si>
    <t xml:space="preserve">This work has been supported by ELLIIT, a Strategic Area within IT and Mobile Communications, funded by the Swedish Government. The work has also been supported by research grant for the OSIR project (reference number 20190081) from the Knowledge Foundation in Sweden.</t>
  </si>
  <si>
    <t xml:space="preserve">10.1016/j.infsof.2023.107348</t>
  </si>
  <si>
    <t xml:space="preserve">OCT 2023</t>
  </si>
  <si>
    <t xml:space="preserve">Y0OU7</t>
  </si>
  <si>
    <t xml:space="preserve">WOS:001102357100001</t>
  </si>
  <si>
    <t xml:space="preserve">Watz, Matilda; Hallstedt, Sophie, I</t>
  </si>
  <si>
    <t xml:space="preserve">Towards sustainable product development - Insights from testing and evaluating a profile model for management of sustainability integration into design requirements</t>
  </si>
  <si>
    <t xml:space="preserve">Sustainable product development; Requirements; Traceability; Trade-offs; Sustainability criteria; Sustainable design; Implementation</t>
  </si>
  <si>
    <t xml:space="preserve">ECO-DESIGN; SYSTEMS; TOOLS; CHALLENGES; SUPPORT; SCIENCE; MAP</t>
  </si>
  <si>
    <t xml:space="preserve">Product development and manufacturing continues to be a profound contributor to the socio-ecological problems and challenges we are facing in our world today. For products to contribute to sustainability requires not only that socio-ecological lifecycle impacts are considered in the initial stages of the product innovation process, but that they are maintained as integral product requirements. Although research offers a plethora of approaches, methods, and tools for sustainable product development, the implementation in industry remains low. The focus of this research is a less explored area of sustainable product development implementation, the management of needs identification and propagation of design requirements. The purpose is to: i) add to state of knowledge about current practices of sustainability integration into requirements, and ii) the academic discussion on implementation of sustainable design and product development. A self-assessment approach for sustainability integration into requirements is tested. The purpose of the approach is to support improvement of the requirements management process design, including activities and competencies, for engineering design. Four Swedish product development and manufacturing companies tested the approach, from which the results are used to evaluate usefulness, usability, and effect potential. The findings are discussed together with key characteristics for requirements and sustainability criteria, providing insights to ensure that socio-ecological considerations are both influencing the initial requirement specification, and maintained as decision parameters throughout the product development process.</t>
  </si>
  <si>
    <t xml:space="preserve">[Watz, Matilda; Hallstedt, Sophie, I] Blekinge Inst Technol, Dept Strateg Sustainable Dev, Campus Grasv, S-37179 Karlskrona, Sweden</t>
  </si>
  <si>
    <t xml:space="preserve">Watz, M (corresponding author), Blekinge Inst Technol, Dept Strateg Sustainable Dev, Campus Grasv, S-37179 Karlskrona, Sweden.</t>
  </si>
  <si>
    <t xml:space="preserve">Sandgren Watz, Matilda/0000-0003-0813-3193; I. Hallstedt, Sophie/0000-0002-7382-1825</t>
  </si>
  <si>
    <t xml:space="preserve">APR 20</t>
  </si>
  <si>
    <t xml:space="preserve">10.1016/j.jclepro.2022.131000</t>
  </si>
  <si>
    <t xml:space="preserve">MAR 2022</t>
  </si>
  <si>
    <t xml:space="preserve">2P9XR</t>
  </si>
  <si>
    <t xml:space="preserve">WOS:000820084900001</t>
  </si>
  <si>
    <t xml:space="preserve">Hu, Y; Elwardy, M; Zepernick, HJ</t>
  </si>
  <si>
    <t xml:space="preserve">Hu, Yan; Elwardy, Majed; Zepernick, Hans-Jurgen</t>
  </si>
  <si>
    <t xml:space="preserve">On the Effect of Standing and Seated Viewing of 360° Videos on Subjective Quality Assessment: A Pilot Study</t>
  </si>
  <si>
    <t xml:space="preserve">human-centered computing; computing methodologies; virtual reality; 360 degrees videos; standing viewing; seated viewing; perception; subjective tests; quality assessment</t>
  </si>
  <si>
    <t xml:space="preserve">Due to the advances in head-mounted displays (HMDs), hardware and software technologies, and mobile connectivity, virtual reality (VR) applications such as viewing 360 degrees videos on HMDs have seen an increased interest in a wide range of consumer and vertical markets. Quality assessment of digital media systems and services related to immersive visual stimuli has been one of the challenging problems of multimedia signal processing. Specifically, subjective quality assessment of 360 degrees videos presented on HMDs is needed to obtain a ground truth on the visual quality as perceived by humans. Standardized test methodologies to assess the subjective quality of 360 degrees videos on HMDs are currently not as developed as for conventional videos and are subject to further study. In addition, subjective tests related to quality assessment of 360 degrees videos are commonly conducted with participants seated on a chair but neglect other options of consumption such as standing viewing. In this paper, we compare the effect that standing and seated viewing of 360 degrees videos on an HMD has on subjective quality assessment. A pilot study was conducted to obtain psychophysical and psychophysiological data that covers explicit and implicit responses of the participants to the shown 360 degrees video stimuli with different quality levels. The statistical analysis of the data gathered in the pilot study is reported in terms of average rating times, mean opinion scores, standard deviation of opinion scores, head movements, pupil diameter, galvanic skin response (GSR), and simulator sickness scores. The results indicate that the average rating times consumed for 360 degrees video quality assessment are similar for standing and seated viewing. Further, the participants showed higher resolving power among different 360 degrees video quality levels and were more confident about the given opinion scores for seated viewing. On the other hand, a larger scene exploration of 360 degrees videos was observed for standing viewing which appears to distract from the quality assessment task. A slightly higher pupil dilation was recorded for standing viewing which suggests a slightly more immersed experience compared to seated viewing. GSR data indicate a lower degree of emotional arousal in seated viewing which seems to allow the participants to better conduct the quality assessment task. Similarly, simulator sickness symptoms are kept significantly lower when seated. The pilot study also contributes to a holistic view of subjective quality assessment and provides indicative ground truth that can guide the design of large-scale subjective tests.</t>
  </si>
  <si>
    <t xml:space="preserve">[Hu, Yan; Elwardy, Majed; Zepernick, Hans-Jurgen] Blekinge Inst Technol, Valhallavagen 1, SE-37179 Karlskrona, Sweden</t>
  </si>
  <si>
    <t xml:space="preserve">Zepernick, HJ (corresponding author), Blekinge Inst Technol, Valhallavagen 1, SE-37179 Karlskrona, Sweden.</t>
  </si>
  <si>
    <t xml:space="preserve">yan.hu@bth.se; majed.elwardy@bth.se; hans-jurgen.zepernick@bth.se</t>
  </si>
  <si>
    <t xml:space="preserve">Hu, Yan/0000-0002-3283-2819; Elwardy, Majed/0000-0002-7550-5818; Zepernick, Hans-Jurgen/0000-0003-3604-2766</t>
  </si>
  <si>
    <t xml:space="preserve">This work was funded in part by The Knowledge Foundation, Sweden, grant number 20170056, ViaTecH project (https://a.bth.se/viatech-synergy/, accessed on 31 March 2021).</t>
  </si>
  <si>
    <t xml:space="preserve">JUN</t>
  </si>
  <si>
    <t xml:space="preserve">10.3390/computers10060080</t>
  </si>
  <si>
    <t xml:space="preserve">SX8GX</t>
  </si>
  <si>
    <t xml:space="preserve">WOS:000665437300001</t>
  </si>
  <si>
    <t xml:space="preserve">Co-design with marginalised people: designers' perceptions of barriers and enablers</t>
  </si>
  <si>
    <t xml:space="preserve">CODESIGN-INTERNATIONAL JOURNAL OF COCREATION IN DESIGN AND THE ARTS</t>
  </si>
  <si>
    <t xml:space="preserve">Co-design; design process; designer-perceptions; developing countries; base of the Pyramid; frugal innovations; sustainability</t>
  </si>
  <si>
    <t xml:space="preserve">The base of the world income pyramid, typically known as the Base of the pyramid (BOP), represents low-income people living in developing countries. Co-design with BOP people is crucial for sustained adoption and use of products and services. Based on interviews with practising designers, we identify barriers and enablers that the designers encounter in undertaking various tasks in the process of co-designing with these marginalised people. The findings suggest that a broad range of factors, related to the BOP context, co-design processes and methods, organisational issues, and aspects of collaboration, support or hinder activities in the co-design process. Consideration of these factors, as perceived by the designers, can lead to more impactful co-design with BOP people.</t>
  </si>
  <si>
    <t xml:space="preserve">[Jagtap, Santosh] Blekinge Inst Technol, Prod Dev Res Lab, Karlskrona, Sweden</t>
  </si>
  <si>
    <t xml:space="preserve">Jagtap, S (corresponding author), Blekinge Inst Technol, Prod Dev Res Lab, Karlskrona, Sweden.</t>
  </si>
  <si>
    <t xml:space="preserve">KKS research foundation, Sweden</t>
  </si>
  <si>
    <t xml:space="preserve">This work was supported by the KKS research foundation, Sweden.</t>
  </si>
  <si>
    <t xml:space="preserve">TAYLOR &amp; FRANCIS LTD</t>
  </si>
  <si>
    <t xml:space="preserve">2-4 PARK SQUARE, MILTON PARK, ABINGDON OR14 4RN, OXON, ENGLAND</t>
  </si>
  <si>
    <t xml:space="preserve">1571-0882</t>
  </si>
  <si>
    <t xml:space="preserve">1745-3755</t>
  </si>
  <si>
    <t xml:space="preserve">CODESIGN</t>
  </si>
  <si>
    <t xml:space="preserve">CoDesign</t>
  </si>
  <si>
    <t xml:space="preserve">JUL 3</t>
  </si>
  <si>
    <t xml:space="preserve">10.1080/15710882.2021.1883065</t>
  </si>
  <si>
    <t xml:space="preserve">FEB 2021</t>
  </si>
  <si>
    <t xml:space="preserve">Art</t>
  </si>
  <si>
    <t xml:space="preserve">4E2HD</t>
  </si>
  <si>
    <t xml:space="preserve">WOS:000617230000001</t>
  </si>
  <si>
    <t xml:space="preserve">Case Study Research in Software Engineering-It is a Case, and it is a Study, but is it a Case Study?</t>
  </si>
  <si>
    <t xml:space="preserve">Case study; Empirical; Misuse; Software engineering</t>
  </si>
  <si>
    <t xml:space="preserve">Background: Case studies are regularly published in the software engineering literature, and guidelines for conducting case studies are available. Based on a perception that the label case study'' is assigned to studies that are not case studies, an investigation has been conducted. Objective: The aim was to investigate whether or not the label case study'' is correctly used in software engineering research. Method: To address the objective, 100 recent articles found through Scopus when searching for case studies in software engineering have been investigated and classified. Results: Unfortunately, the perception of misuse of the label case study'' is correct. Close to 50% of the articles investigated were judged as not being case studies according to the definition of a case study. Conclusions: We either need to ensure correct use of the label case study'', or we need another label for its definition. Given that case study'' is a well-established label, it is probably impossible to change the label. Thus, we introduce an alternative definition of case study emphasising its real-life context, and urge researchers to carefully follow the definition of different research methods when presenting their research.</t>
  </si>
  <si>
    <t xml:space="preserve">[Wohlin, Claes] Blekinge Inst Technol, Karlskrona, Sweden</t>
  </si>
  <si>
    <t xml:space="preserve">Wohlin, C (corresponding author), Blekinge Inst Technol, Karlskrona, Sweden.</t>
  </si>
  <si>
    <t xml:space="preserve">10.1016/j.infsof.2021.106514</t>
  </si>
  <si>
    <t xml:space="preserve">JAN 2021</t>
  </si>
  <si>
    <t xml:space="preserve">QL2TC</t>
  </si>
  <si>
    <t xml:space="preserve">WOS:000620932900006</t>
  </si>
  <si>
    <t xml:space="preserve">Tanveer, B</t>
  </si>
  <si>
    <t xml:space="preserve">Tanveer, Binish</t>
  </si>
  <si>
    <t xml:space="preserve">Sustainable software engineering - have we neglected the software engineer's perspective?</t>
  </si>
  <si>
    <t xml:space="preserve">2021 36TH IEEE/ACM INTERNATIONAL CONFERENCE ON AUTOMATED SOFTWARE ENGINEERING WORKSHOPS (ASEW 2021)</t>
  </si>
  <si>
    <t xml:space="preserve">36th IEEE/ACM International Conference on Automated Software Engineering (ASE)</t>
  </si>
  <si>
    <t xml:space="preserve">NOV 15-19, 2021</t>
  </si>
  <si>
    <t xml:space="preserve">IEEE,ACM,IEEE Comp Soc,Monash Univ,NASA Ames Res Ctr,Amazon Web Serv,Huawei,Facebook,IEEE TCSE,ACM SIGAI,ACM SIGSOFT,Deakin Univ</t>
  </si>
  <si>
    <t xml:space="preserve">sustainable software engineering; software development; individual sustainability</t>
  </si>
  <si>
    <t xml:space="preserve">COGNITIVE LOAD</t>
  </si>
  <si>
    <t xml:space="preserve">Background: Software development is a knowledge-intensive and creative activity requiring human ingenuity, thus, sustainability from an engineer's perspective (i.e., meeting an engineer's personal and professional needs while maintaining their mental and physical well-being) must be achieved and maintained. Aims: With this paper, we aim to bring attention to the currently overlooked aspect of sustainability from an individual engineer's perspective. Method: Through an analysis of systematic literature reviews and mapping studies, this research demonstrates a lack of research investigating the individual (human) dimension of sustainability in the current software engineering literature. Results: The analysis of the literature reviews reveals that the current research has mainly focused on reducing the energy footprint of software systems. Thus, revealing the renewed need for paying attention to the individual engineer's perspective. Conclusion: Future research should leverage contributions from related research areas like human aspects in software engineering (e.g., topics like cognition and motivation). There is a need for identifying factors that impact sustainability at an individual level and their interplay with the team and organization level practices, policies, and decisions. The overall ambition is to develop empirically validated guidelines and best practices to measure, improve and maintain sustainability from an engineer's perspective. Such measures are expected to ensure engineers' sustainability and enable highquality software development.</t>
  </si>
  <si>
    <t xml:space="preserve">[Tanveer, Binish] Blekinge Inst Technol, Dept Software Engn, Karlskrona, Sweden</t>
  </si>
  <si>
    <t xml:space="preserve">Tanveer, B (corresponding author), Blekinge Inst Technol, Dept Software Engn, Karlskrona, Sweden.</t>
  </si>
  <si>
    <t xml:space="preserve">We would like to acknowledge that this work was supported by the Knowledge Foundation through the projects SERT Software Engineering ReThought.</t>
  </si>
  <si>
    <t xml:space="preserve">978-1-6654-3583-3</t>
  </si>
  <si>
    <t xml:space="preserve">10.1109/ASEW52652.2021.00059</t>
  </si>
  <si>
    <t xml:space="preserve">Automation &amp; Control Systems; Computer Science, Software Engineering; Computer Science, Theory &amp; Methods</t>
  </si>
  <si>
    <t xml:space="preserve">Automation &amp; Control Systems; Computer Science</t>
  </si>
  <si>
    <t xml:space="preserve">BS9KL</t>
  </si>
  <si>
    <t xml:space="preserve">WOS:000781851100046</t>
  </si>
  <si>
    <t xml:space="preserve">Borg, A; Boldt, M; Rosander, O; Ahlstrand, J</t>
  </si>
  <si>
    <t xml:space="preserve">Borg, Anton; Boldt, Martin; Rosander, Oliver; Ahlstrand, Jim</t>
  </si>
  <si>
    <t xml:space="preserve">E-mail classification with machine learning and word embeddings for improved customer support</t>
  </si>
  <si>
    <t xml:space="preserve">NEURAL COMPUTING &amp; APPLICATIONS</t>
  </si>
  <si>
    <t xml:space="preserve">E-mail classification; Machine learning; Long short-term memory; Natural language processing</t>
  </si>
  <si>
    <t xml:space="preserve">Classifying e-mails into distinct labels can have a great impact on customer support. By using machine learning to label e-mails, the system can set up queues containing e-mails of a specific category. This enables support personnel to handle request quicker and more easily by selecting a queue that match their expertise. This study aims to improve a manually defined rule-based algorithm, currently implemented at a large telecom company, by using machine learning. The proposed model should have higher F-1-score and classification rate. Integrating or migrating from a manually defined rule-based model to a machine learning model should also reduce the administrative and maintenance work. It should also make the model more flexible. By using the frameworks, TensorFlow, Scikit-learn and Gensim, the authors conduct a number of experiments to test the performance of several common machine learning algorithms, text-representations, word embeddings to investigate how they work together. A long short-term memory network showed best classification performance with an F-1-score of 0.91. The authors conclude that long short-term memory networks outperform other non-sequential models such as support vector machines and AdaBoost when predicting labels for e-mails. Further, the study also presents a Web-based interface that were implemented around the LSTM network, which can classify e-mails into 33 different labels.</t>
  </si>
  <si>
    <t xml:space="preserve">[Borg, Anton; Boldt, Martin; Rosander, Oliver; Ahlstrand, Jim] Blekinge Inst Technol, Dept Comp Sci &amp; Engn, S-37179 Karlskrona, Sweden</t>
  </si>
  <si>
    <t xml:space="preserve">Borg, A (corresponding author), Blekinge Inst Technol, Dept Comp Sci &amp; Engn, S-37179 Karlskrona, Sweden.</t>
  </si>
  <si>
    <t xml:space="preserve">anton.borg@bth.se; martin.boldt@bth.se; oliver.rosander@student.bth.se; jim.ahlstrand@student.bth.se</t>
  </si>
  <si>
    <t xml:space="preserve">Ahlstrand, Jim/HIZ-8715-2022; Borg, Anton/AAS-4475-2021; Boldt, Martin/J-4958-2019</t>
  </si>
  <si>
    <t xml:space="preserve">Ahlstrand, Jim/0000-0002-0179-5090; Borg, Anton/0000-0002-8929-7220</t>
  </si>
  <si>
    <t xml:space="preserve">SPRINGER LONDON LTD</t>
  </si>
  <si>
    <t xml:space="preserve">236 GRAYS INN RD, 6TH FLOOR, LONDON WC1X 8HL, ENGLAND</t>
  </si>
  <si>
    <t xml:space="preserve">0941-0643</t>
  </si>
  <si>
    <t xml:space="preserve">1433-3058</t>
  </si>
  <si>
    <t xml:space="preserve">NEURAL COMPUT APPL</t>
  </si>
  <si>
    <t xml:space="preserve">Neural Comput. Appl.</t>
  </si>
  <si>
    <t xml:space="preserve">10.1007/s00521-020-05058-4</t>
  </si>
  <si>
    <t xml:space="preserve">JUN 2020</t>
  </si>
  <si>
    <t xml:space="preserve">QT9XW</t>
  </si>
  <si>
    <t xml:space="preserve">Green Submitted, hybrid, Green Published</t>
  </si>
  <si>
    <t xml:space="preserve">WOS:000541326700002</t>
  </si>
  <si>
    <t xml:space="preserve">On the Effect of Standing and Seated Viewing of 360° Videos on Subjective Quality Assessment</t>
  </si>
  <si>
    <t xml:space="preserve">Human-centered computing; Computing methodologies; Virtual reality; Perception</t>
  </si>
  <si>
    <t xml:space="preserve">In this paper, we compare the impact that standing and seated viewing of 360 degrees videos on head-mounted displays has on subjective quality assessment. The statistical analysis of the data gathered in a pilot study is reported in terms of average rating times, mean opinion scores, and simulator sickness scores. The results indicate: (1) Average rating times consumed for 360 degrees video quality assessment are similar for standing and seated viewing, (2) Higher resolving power among different quality levels is obtained for seated viewing, (3) Simulator sickness is kept significantly lower when seated.</t>
  </si>
  <si>
    <t xml:space="preserve">[Hu, Yan; Elwardy, Majed; Zepernick, Hans-Jurgen] Blekinge Inst Technol, S-37179 Karlskrona, Sweden</t>
  </si>
  <si>
    <t xml:space="preserve">Hu, Y (corresponding author), Blekinge Inst Technol, S-37179 Karlskrona, Sweden.</t>
  </si>
  <si>
    <t xml:space="preserve">Elwardy, Majed/AFH-8599-2022; Hu, Yan/ABO-0679-2022; Zepernick, Hans-Jürgen/AFJ-2429-2022</t>
  </si>
  <si>
    <t xml:space="preserve">This work was supported in part by the Knowledge Foundation, Sweden, through the ViaTecH project under contract 20170056. We thank all volunteers for their time participating in the pilot study.</t>
  </si>
  <si>
    <t xml:space="preserve">10.1109/VRW50115.2020.0-215</t>
  </si>
  <si>
    <t xml:space="preserve">WOS:000578054300054</t>
  </si>
  <si>
    <t xml:space="preserve">Performance Analysis of a Cognitive Radio Assisted Cooperative NOMA UAV System</t>
  </si>
  <si>
    <t xml:space="preserve">PROCEEDINGS 2024 IEEE 25TH INTERNATIONAL SYMPOSIUM ON A WORLD OF WIRELESS, MOBILE AND MULTIMEDIA NETWORKS, WOWMOM 2024</t>
  </si>
  <si>
    <t xml:space="preserve">IEEE International Symposium on World of Wireless Mobile and Multimedia Networks</t>
  </si>
  <si>
    <t xml:space="preserve">25th IEEE International Symposium on a World of Wireless, Mobile and Multimedia Networks (IEEE WoWMoM)</t>
  </si>
  <si>
    <t xml:space="preserve">JUN 04-07, 2024</t>
  </si>
  <si>
    <t xml:space="preserve">Murdoch Univ, Perth, AUSTRALIA</t>
  </si>
  <si>
    <t xml:space="preserve">IEEE,IEEE Comp Soc Tech Comm Comp Commun,Univ New S Wales,Missouri Univ Sci &amp; Technol</t>
  </si>
  <si>
    <t xml:space="preserve">Murdoch Univ</t>
  </si>
  <si>
    <t xml:space="preserve">Unmanned aerial vehicles; non-orthogonal multiple access; cognitive radio; cooperative communications; outage probability; sum rate</t>
  </si>
  <si>
    <t xml:space="preserve">INTERNET; NETWORKS; 5G</t>
  </si>
  <si>
    <t xml:space="preserve">Future 6G mobile networks are expected to provide ubiquitous communication to a wide range of mobile devices through heterogeneous networks including non-terrestrial networks (NTNs). As an important complement to terrestrial networks, unmanned aerial vehicles (UAVs) based NTNs offer benefits such as flexible deployment, mobility control, and strong line-of-sight links. In this paper, a cognitive radio (CR) assisted cooperative non-orthogonal multiple access (NOMA) UAV system is proposed and its performance is analysed. In this system, the base station uses power-domain NOMA regarding the UAVs. The UAVs act as decode-and-forward relays serving clusters of user equipments (UEs). The CR concept is applied to reduce the interference caused by the UAVs to adjacent clusters of UEs. Analytical expressions of the outage probability and sum rate of this system are derived for the case of Nakagami-m fading. Numerical results are provided to reveal the impact of system parameters on the outage probability and sum rate. Further, design options and trade-offs between orthogonal multiple access and CR assisted cooperative NOMA UAV systems are illustrated.</t>
  </si>
  <si>
    <t xml:space="preserve">2770-0526</t>
  </si>
  <si>
    <t xml:space="preserve">979-8-3503-9466-5; 979-8-3503-9467-2</t>
  </si>
  <si>
    <t xml:space="preserve">World Wireless Mobil</t>
  </si>
  <si>
    <t xml:space="preserve">10.1109/WoWMoM60985.2024.00020</t>
  </si>
  <si>
    <t xml:space="preserve">Computer Science, Interdisciplinary Applications; Telecommunications</t>
  </si>
  <si>
    <t xml:space="preserve">BX4FK</t>
  </si>
  <si>
    <t xml:space="preserve">WOS:001289070500009</t>
  </si>
  <si>
    <t xml:space="preserve">Wang, SJ</t>
  </si>
  <si>
    <t xml:space="preserve">Wang, Shujun</t>
  </si>
  <si>
    <t xml:space="preserve">Early Expansion of the User Base for Mobile Applications: Evidence from the US Apple App Store</t>
  </si>
  <si>
    <t xml:space="preserve">Mobile applications; early expansion; diffusion pattern; Bass model; Apple App Store</t>
  </si>
  <si>
    <t xml:space="preserve">PRODUCT LIFE-CYCLES; TELECOMMUNICATIONS SERVICES; DIFFUSION-MODELS; INNOVATION; TELEPHONY; DEMAND; PHONES; DETERMINANTS; COMPETITION; TECHNOLOGY</t>
  </si>
  <si>
    <t xml:space="preserve">Mobile applications (apps) have grown drastically since their birth in 2008. Acquiring more app users as quickly as possible after the app is released in the app stores is one of the key rules for app developers to survive in this emerging and competitive digital market. This paper uses cumulative weekly downloading data from the US Apple App Store during a two-year period of 2015 and 2016 to study the early expansion curves and diffusion patterns of mobile apps in the app market. Downloading payment methods (free or paid to download an app) and hedonic or utilitarian value-orientated app types (games and productivity apps) are considered when we study the diffusion pattern of mobile apps. The Bass model is used as the baseline model, and the logistic model and Gompertz model are used to conduct a robustness check. Nonlinear least squares (NLS) is the measurement to obtain parameters of diffusion models. The results show that the Bass model is the best-fitting model compared with the other two models, and the diffusion pattern of mobile apps is S-shaped at the market level. The first 35 weeks are essential for the app developers to attract app users' downloads. More app data from different app stores and more diffusion models can be tested for mobile app diffusion and early expansion patterns in future research.</t>
  </si>
  <si>
    <t xml:space="preserve">[Wang, Shujun] Blekinge Inst Technol, Karlskrona, Sweden</t>
  </si>
  <si>
    <t xml:space="preserve">Wang, SJ (corresponding author), Blekinge Inst Technol, Karlskrona, Sweden.</t>
  </si>
  <si>
    <t xml:space="preserve">shujun.wang@bth.se</t>
  </si>
  <si>
    <t xml:space="preserve">Wang, Shujun/0000-0002-7928-2607</t>
  </si>
  <si>
    <t xml:space="preserve">10.1142/S021987702350044X</t>
  </si>
  <si>
    <t xml:space="preserve">JUL 2023</t>
  </si>
  <si>
    <t xml:space="preserve">W1KX4</t>
  </si>
  <si>
    <t xml:space="preserve">WOS:001025937400002</t>
  </si>
  <si>
    <t xml:space="preserve">Ayers, J; Missimer, M; Bryant, J</t>
  </si>
  <si>
    <t xml:space="preserve">Ayers, James; Missimer, Merlina; Bryant, Jayne</t>
  </si>
  <si>
    <t xml:space="preserve">Intrapersonal capacities for sustainability: a change agent perspective on the 'inner dimension' of sustainability work</t>
  </si>
  <si>
    <t xml:space="preserve">SUSTAINABILITY SCIENCE</t>
  </si>
  <si>
    <t xml:space="preserve">Education for sustainable development; Competence; Capacities; Change agents; Intrapersonal; Sustainability</t>
  </si>
  <si>
    <t xml:space="preserve">KEY COMPETENCES; CLIMATE-CHANGE; LEADERSHIP; EDUCATION; MINDFULNESS; FRAMEWORK; HOPE</t>
  </si>
  <si>
    <t xml:space="preserve">An ongoing discussion in education for sustainable development (ESD) research has focused on defining a list of agreed upon sustainability competencies required for the work of sustainability change agents. This discussion has included the consideration of an 'Intrapersonal' perspective that considers the role of inner qualities in change agents and how this impacts their ability to implement sustainability. While many researchers have looked at the 'inner dimension' of sustainability work, the identification and function of an 'Intrapersonal' competence remains in question. Utilizing practitioner responses, this paper identifies eight Intrapersonal capacities that change agents described as beneficial to their implementation of sustainability. These capacities are the ability to: Hold complexity, Foster a learner's mindset, Deeply value others, Let be, Show up as one's full self, Regulate and manage the self, Persist with lightness and Ensure one's wellbeing. The study provides insights into the identification of the capacities and their relationship to a wider Intrapersonal research field. It also discusses the implications this perspective has on education for sustainable development should it consider incorporating such capacities into teaching and learning. While much literature in the field is of conceptual nature, this paper offers an empirical contribution by including the voice and perspective of change agents to the Intrapersonal discussion.</t>
  </si>
  <si>
    <t xml:space="preserve">[Ayers, James; Missimer, Merlina; Bryant, Jayne] Blekinge Inst Technol, Valhallavagan 1, S-37141 Karlsrkona, Sweden</t>
  </si>
  <si>
    <t xml:space="preserve">Ayers, J (corresponding author), Blekinge Inst Technol, Valhallavagan 1, S-37141 Karlsrkona, Sweden.</t>
  </si>
  <si>
    <t xml:space="preserve">James.Ayers@bth.se</t>
  </si>
  <si>
    <t xml:space="preserve">Bryant, Jayne/0000-0002-7993-7116; Ayers, James/0000-0003-4187-9050</t>
  </si>
  <si>
    <t xml:space="preserve">Open access funding provided by Blekinge Institute of Technology</t>
  </si>
  <si>
    <t xml:space="preserve">SPRINGER JAPAN KK</t>
  </si>
  <si>
    <t xml:space="preserve">TOKYO</t>
  </si>
  <si>
    <t xml:space="preserve">SHIROYAMA TRUST TOWER 5F, 4-3-1 TORANOMON, MINATO-KU, TOKYO, 105-6005, JAPAN</t>
  </si>
  <si>
    <t xml:space="preserve">1862-4065</t>
  </si>
  <si>
    <t xml:space="preserve">1862-4057</t>
  </si>
  <si>
    <t xml:space="preserve">SUSTAIN SCI</t>
  </si>
  <si>
    <t xml:space="preserve">Sustain. Sci.</t>
  </si>
  <si>
    <t xml:space="preserve">10.1007/s11625-022-01288-8</t>
  </si>
  <si>
    <t xml:space="preserve">FEB 2023</t>
  </si>
  <si>
    <t xml:space="preserve">Green &amp; Sustainable Science &amp; Technology; Environmental Sciences</t>
  </si>
  <si>
    <t xml:space="preserve">AL4U5</t>
  </si>
  <si>
    <t xml:space="preserve">WOS:000935084200001</t>
  </si>
  <si>
    <t xml:space="preserve">Al-Saedi, AA; Boeva, V</t>
  </si>
  <si>
    <t xml:space="preserve">Iliadis, L; Maglogiannis, I; Alonso, S; Jayne, C; Pimenidis, E</t>
  </si>
  <si>
    <t xml:space="preserve">Al-Saedi, Ahmed A.; Boeva, Veselka</t>
  </si>
  <si>
    <t xml:space="preserve">Group-Personalized Federated Learning for Human Activity Recognition Through Cluster Eccentricity Analysis</t>
  </si>
  <si>
    <t xml:space="preserve">24TH INTERNATIONAL CONFERENCE ON ENGINEERING APPLICATIONS OF NEURAL NETWORKS, EAAAI/EANN 2023</t>
  </si>
  <si>
    <t xml:space="preserve">Communications in Computer and Information Science</t>
  </si>
  <si>
    <t xml:space="preserve">24th International Conference on Engineering Applications of Neural Networks (EANN)</t>
  </si>
  <si>
    <t xml:space="preserve">JUN 14-17, 2023</t>
  </si>
  <si>
    <t xml:space="preserve">Leon, SPAIN</t>
  </si>
  <si>
    <t xml:space="preserve">Federated Learning; Clustering; Eccentricity Analysis; Non-IID data; HAR</t>
  </si>
  <si>
    <t xml:space="preserve">Human Activity Recognition (HAR) plays a significant role in recent years due to its applications in various fields including health care and well-being. Traditional centralized methods reach very high recognition rates, but they incur privacy and scalability issues. Federated learning (FL) is a leading distributed machine learning (ML) paradigm, to train a global model collaboratively on distributed data in a privacy-preserving manner. However, for HAR scenarios, the existing action recognition system mainly focuses on a unified model, i.e. it does not provide users with personalized recognition of activities. Furthermore, the heterogeneity of data across user devices can lead to degraded performance of traditional FL models in the smart applications such as personalized health care. To this end, we propose a novel federated learning model that tries to cope with a statistically heterogeneous federated learning environment by introducing a group-personalized FL (GP-FL) solution. The proposed GP-FL algorithm builds several global ML models, each one trained iteratively on a dynamic group of clients with homogeneous class probability estimations. The performance of the proposed FL scheme is studied and evaluated on real-world HAR data. The evaluation results demonstrate that our approach has advantages in terms of model performance and convergence speed with respect to two baseline FL algorithms used for comparison.</t>
  </si>
  <si>
    <t xml:space="preserve">[Al-Saedi, Ahmed A.; Boeva, Veselka] Blekinge Inst Technol, Karlskrona, Sweden</t>
  </si>
  <si>
    <t xml:space="preserve">Al-Saedi, AA (corresponding author), Blekinge Inst Technol, Karlskrona, Sweden.</t>
  </si>
  <si>
    <t xml:space="preserve">ahmed.a.al-saedi@bth.se; veselka.boeva@bth.se</t>
  </si>
  <si>
    <t xml:space="preserve">Al-Saedi, Ahmed/IAQ-4965-2023; Boeva, Veselka/IAP-9371-2023</t>
  </si>
  <si>
    <t xml:space="preserve">Al-Saedi, Ahmed Abbas Mohsin/0000-0001-6061-0861</t>
  </si>
  <si>
    <t xml:space="preserve">This research was funded partly by the Knowledge Foundation, Sweden, through the Human-Centered Intelligent Realities (HINTS) Profile Project (contract 20220068).</t>
  </si>
  <si>
    <t xml:space="preserve">1865-0929</t>
  </si>
  <si>
    <t xml:space="preserve">1865-0937</t>
  </si>
  <si>
    <t xml:space="preserve">978-3-031-34203-5; 978-3-031-34204-2</t>
  </si>
  <si>
    <t xml:space="preserve">COMM COM INF SC</t>
  </si>
  <si>
    <t xml:space="preserve">10.1007/978-3-031-34204-2_41</t>
  </si>
  <si>
    <t xml:space="preserve">BX6EW</t>
  </si>
  <si>
    <t xml:space="preserve">WOS:001308331700041</t>
  </si>
  <si>
    <t xml:space="preserve">Vu, VT; Ivanenko, Y; Pettersson, MI</t>
  </si>
  <si>
    <t xml:space="preserve">Vu, Viet T.; Ivanenko, Yevhen; Pettersson, Mats I.</t>
  </si>
  <si>
    <t xml:space="preserve">Phase Error Calculation Caused by Start-Stop Approximation in Processing FMCW Radar Signals for SAR Imaging</t>
  </si>
  <si>
    <t xml:space="preserve">Radar; Radar imaging; Synthetic aperture radar; Frequency modulation; Apertures; Radar signal processing; Radar measurements; Error analysis; FMCW; ramp duration; phase error; back-projection</t>
  </si>
  <si>
    <t xml:space="preserve">The current synthetic aperture radar (SAR) image formation algorithms have been developed for pulse radar systems, and they are desired for use in for frequency-modulated continuous wave (FMCW) radar systems. Since there is a difference between the outputs of pulse radar and FMCW radar, it is necessary to adapt these algorithms to the output of the pulse radar. In addition, the start-stop approximation, which can be used for the signal processing of pulse radar systems, should be taken into account for FMCW radar systems because the pulse duration of the pulse radar is relatively small in comparison to the modulation time of the FMCW radar. In this study, the phase error caused by the start-stop approximation in processing the data measured by an FMCW radar system for synthetic aperture imaging is investigated. The important results of this study indicate that the start-stop approximation is valid for processing FMCW SAR data in many cases. If the following circumstances occur simultaneously, such as a high radar signal frequency, long modulation time, high platform speed, and short propagation range, then the approximation may become invalid. The simulations and experiments performed with a wideband 154 GHz FMCW radar support this statement.</t>
  </si>
  <si>
    <t xml:space="preserve">[Vu, Viet T.; Ivanenko, Yevhen; Pettersson, Mats I.] Blekinge Inst Technol, S-37179 Karlskrona, Sweden</t>
  </si>
  <si>
    <t xml:space="preserve">; Pettersson, Mats/N-1063-2016</t>
  </si>
  <si>
    <t xml:space="preserve">Ivanenko, Yevhen/0000-0002-3928-6064; Pettersson, Mats/0000-0002-6643-312X</t>
  </si>
  <si>
    <t xml:space="preserve">ELLIIT Research Environment through the Project Multistatic High-Resolution Sensing at THzunder [A17]; Crafoord Foundation, Sweden [20230898]</t>
  </si>
  <si>
    <t xml:space="preserve">ELLIIT Research Environment through the Project Multistatic High-Resolution Sensing at THzunder; Crafoord Foundation, Sweden</t>
  </si>
  <si>
    <t xml:space="preserve">This work was supported in part by the ELLIIT Research Environment through the Project Multistatic High-Resolution Sensing at THzunder Grant A17; and in part by the Crafoord Foundation, Sweden, (''Crafoordska stiftelsen'') under Project 20230898.</t>
  </si>
  <si>
    <t xml:space="preserve">10.1109/ACCESS.2023.3318009</t>
  </si>
  <si>
    <t xml:space="preserve">U0BY2</t>
  </si>
  <si>
    <t xml:space="preserve">WOS:001081558300001</t>
  </si>
  <si>
    <t xml:space="preserve">Hu, Y; Jiang, ZT; Zhu, KC</t>
  </si>
  <si>
    <t xml:space="preserve">Hu, Yan; Jiang, Zeting; Zhu, Kaicheng</t>
  </si>
  <si>
    <t xml:space="preserve">An Optimized CNN Model for Engagement Recognition in an E-Learning Environment</t>
  </si>
  <si>
    <t xml:space="preserve">CNN; ShuffleNet v2; engagement recognition; E-learning</t>
  </si>
  <si>
    <t xml:space="preserve">NEURAL-NETWORKS; EIGENFACES</t>
  </si>
  <si>
    <t xml:space="preserve">In the wake of the restrictions imposed on social interactions due to the COVID-19 pandemic, traditional classroom education was replaced by distance education in many universities. Under the changed circumstances, students are required to learn more independently. The challenge for teachers has been to duly ascertain students' learning efficiency and engagement during online lectures. This paper proposes an optimized lightweight convolutional neural network (CNN) model for engagement recognition within a distance-learning setup through facial expressions. The ShuffleNet v2 architecture was selected, as this model can easily adapt to mobile platforms and deliver outstanding performance compared to other lightweight models. The proposed model was trained, tested, evaluated and compared with other CNN models. The results of our experiment showed that an optimized model based on the ShuffleNet v2 architecture with a change of activation function and the introduction of an attention mechanism provides the best performance concerning engagement recognition. Further, our proposed model outperforms many existing works in engagement recognition on the same database. Finally, this model is suitable for student engagement recognition for distance learning on mobile platforms.</t>
  </si>
  <si>
    <t xml:space="preserve">[Hu, Yan; Jiang, Zeting; Zhu, Kaicheng] Blekinge Inst Technol, Dept Comp Sci, S-37179 Karlskrona, Sweden</t>
  </si>
  <si>
    <t xml:space="preserve">Hu, Y (corresponding author), Blekinge Inst Technol, Dept Comp Sci, S-37179 Karlskrona, Sweden.</t>
  </si>
  <si>
    <t xml:space="preserve">yan.hu@bth.se</t>
  </si>
  <si>
    <t xml:space="preserve">10.3390/app12168007</t>
  </si>
  <si>
    <t xml:space="preserve">4D3RS</t>
  </si>
  <si>
    <t xml:space="preserve">WOS:000847062000001</t>
  </si>
  <si>
    <t xml:space="preserve">Mesquita, PL; Missimer, M</t>
  </si>
  <si>
    <t xml:space="preserve">Mesquita, Patricia Lagun; Missimer, Merlina</t>
  </si>
  <si>
    <t xml:space="preserve">Social Sustainability Work in Product Development Organizations: An Empirical Study of Three Sweden-Based Companies</t>
  </si>
  <si>
    <t xml:space="preserve">social sustainability; product development; strategic sustainable development; case study</t>
  </si>
  <si>
    <t xml:space="preserve">STRATEGIC APPROACH; DESIGN; MANAGEMENT</t>
  </si>
  <si>
    <t xml:space="preserve">Companies responsible for product development (PD) and manufacturing play an important role in supporting society in achieving sustainability, and yet they do not always include full sustainability considerations in PD decisions. The social dimension of sustainability has been largely neglected in the PD field and there is very little empirical evidence of social sustainability implementation in general. The aim of this paper is to investigate how social sustainability is currently included in PD organizations and what their motivations are to do so. Results from a comparative case study approach with three organizations include rich descriptions across four dimensions: The scope of the work and their view of interdependencies with other social systems, their definition of social sustainability and the issues they work with, what guides strategic decisions, and how this internal work is structured. The results reveal that the three product development organizations are heterogenous in their approaches to social sustainability and that the more advanced approach shows a better understanding of the complexity of social sustainability and a broader perspective of its interdependencies, which goes hand-in-hand with a way of organizing that overcomes traditional hierarchies and allows for more collaborative and strategic work in this area. This systems perspective also drives what issues are included in an organization's work; scope and definition of social sustainability become more encompassing and aligned. Finally, our study shows that social sustainability impacts connected to products' lifecycles, when addressed, are done so by functions outside design activities, as opposed to product developers. A greater understanding of how companies currently approach social sustainability and what challenges they might face in integrating it in organizational and design related practices has been called for; our paper contributes to this but acknowledges that more work is needed.</t>
  </si>
  <si>
    <t xml:space="preserve">[Mesquita, Patricia Lagun; Missimer, Merlina] Blekinge Inst Technol, Dept Strateg Sustainable Dev, SE-37179 Karlskrona, Sweden</t>
  </si>
  <si>
    <t xml:space="preserve">Mesquita, PL (corresponding author), Blekinge Inst Technol, Dept Strateg Sustainable Dev, SE-37179 Karlskrona, Sweden.</t>
  </si>
  <si>
    <t xml:space="preserve">patricia.lagun.mesquita@bth.se; merlina.missimer@bth.se</t>
  </si>
  <si>
    <t xml:space="preserve">Knowledge Foundation; FUTURA Foundation</t>
  </si>
  <si>
    <t xml:space="preserve">This research and the APC were funded by the Knowledge Foundation and the FUTURA Foundation, both in Sweden.</t>
  </si>
  <si>
    <t xml:space="preserve">10.3390/su13041986</t>
  </si>
  <si>
    <t xml:space="preserve">QQ8YA</t>
  </si>
  <si>
    <t xml:space="preserve">WOS:000624803700001</t>
  </si>
  <si>
    <t xml:space="preserve">Borg, A; Boldt, M</t>
  </si>
  <si>
    <t xml:space="preserve">Borg, Anton; Boldt, Martin</t>
  </si>
  <si>
    <t xml:space="preserve">Using VADER sentiment and SVM for predicting customer response sentiment</t>
  </si>
  <si>
    <t xml:space="preserve">EXPERT SYSTEMS WITH APPLICATIONS</t>
  </si>
  <si>
    <t xml:space="preserve">Sentiment prediction; VADER sentiment; Supervised classification; Customer support; E-mail sentiment analysis; SVM</t>
  </si>
  <si>
    <t xml:space="preserve">CLASSIFICATION</t>
  </si>
  <si>
    <t xml:space="preserve">Customer support is important to corporate operations, which involves dealing with disgruntled customer and content customers that can have different requirements. As such, it is important to quickly extract the sentiment of support errands. In this study we investigate sentiment analysis in customer support for a large Swedish Telecom corporation. The data set consists of 168,010 e-mails divided into 69,900 conversation threads without any sentiment information available. Therefore, VADER sentiment is used together with a Swedish sentiment lexicon in order to provide initial labeling of the e-mails. The e-mail content and sentiment labels are then used to train two Support Vector Machine models in extracting/classifying the sentiment of e-mails. Further, the ability to predict sentiment of not-yet-seen e-mail responses is investigated. Experimental results show that the LinearSVM model was able to extract sentiment with a mean F-1-score of 0.834 and mean AUC of 0.896. Moreover, the LinearSVM algorithm was also able to predict the sentiment of an e-mail one step ahead in the thread (based on the text in the an already sent e-mail) with a mean F-1-score of 0.688 and the mean AUC of 0.805. The results indicate a predictable pattern in e-mail conversation that enables predicting the sentiment of a not-yet-seen e-mail. This can be used e.g. to prepare particular actions for customers that are likely to have a negative response. It can also provide feedback on possible sentiment reactions to customer support e-mails. (C) 2020 Elsevier Ltd. All rights reserved.</t>
  </si>
  <si>
    <t xml:space="preserve">[Borg, Anton; Boldt, Martin] Blekinge Inst Technol, S-37179 Karlskrona, Sweden</t>
  </si>
  <si>
    <t xml:space="preserve">Borg, A (corresponding author), Blekinge Inst Technol, S-37179 Karlskrona, Sweden.</t>
  </si>
  <si>
    <t xml:space="preserve">anton.borg@bth.se; martin.boldt@bth.se</t>
  </si>
  <si>
    <t xml:space="preserve">Borg, Anton/AAS-4475-2021; Boldt, Martin/J-4958-2019</t>
  </si>
  <si>
    <t xml:space="preserve">Borg, Anton/0000-0002-8929-7220</t>
  </si>
  <si>
    <t xml:space="preserve">Knowledge Foundation in Sweden [20140032]</t>
  </si>
  <si>
    <t xml:space="preserve">This research work is supported by the Knowledge Foundation in Sweden through project Scalable resource-efficient systems for big data analytics (grant: 20140032).</t>
  </si>
  <si>
    <t xml:space="preserve">0957-4174</t>
  </si>
  <si>
    <t xml:space="preserve">1873-6793</t>
  </si>
  <si>
    <t xml:space="preserve">EXPERT SYST APPL</t>
  </si>
  <si>
    <t xml:space="preserve">Expert Syst. Appl.</t>
  </si>
  <si>
    <t xml:space="preserve">DEC 30</t>
  </si>
  <si>
    <t xml:space="preserve">10.1016/j.eswa.2020.113746</t>
  </si>
  <si>
    <t xml:space="preserve">Computer Science, Artificial Intelligence; Engineering, Electrical &amp; Electronic; Operations Research &amp; Management Science</t>
  </si>
  <si>
    <t xml:space="preserve">Computer Science; Engineering; Operations Research &amp; Management Science</t>
  </si>
  <si>
    <t xml:space="preserve">OG8FU</t>
  </si>
  <si>
    <t xml:space="preserve">WOS:000582113700019</t>
  </si>
  <si>
    <t xml:space="preserve">Rameez, M; Dahl, M; Pettersson, MI</t>
  </si>
  <si>
    <t xml:space="preserve">Rameez, Muhammad; Dahl, Mattias; Pettersson, Mats I.</t>
  </si>
  <si>
    <t xml:space="preserve">Experimental Evaluation of Adaptive Beamforming for Automotive Radar Interference Suppression</t>
  </si>
  <si>
    <t xml:space="preserve">2020 IEEE RADIO AND WIRELESS SYMPOSIUM (RWS 2020)</t>
  </si>
  <si>
    <t xml:space="preserve">IEEE Radio and Wireless Symposium</t>
  </si>
  <si>
    <t xml:space="preserve">IEEE Radio and Wireless Symposium (RWS)</t>
  </si>
  <si>
    <t xml:space="preserve">JAN 26-29, 2020</t>
  </si>
  <si>
    <t xml:space="preserve">San Antonio, TX</t>
  </si>
  <si>
    <t xml:space="preserve">IEEE,IEEE Microwave Theory &amp; Tech Soc,IEEE Aerosp &amp; Elect Syst Soc,IEEE Antennas &amp; Propagat Soc</t>
  </si>
  <si>
    <t xml:space="preserve">Mutual interference between automotive radars can make it difficult to detect targets, especially the weaker ones, such as cyclists and pedestrians. In this paper, the interference suppression performance of a Least Mean Squares (LMS) algorithm-based adaptive beamformer is evaluated using measurements from a 77 GHz Frequency Modulated Continuous Wave (FMCW) radar in an outdoor environment. It is shown that the adaptive beamformer increases detection performance and that the interference is suppressed down to the noise floor of the radar in the Range-Doppler domain. In the paper, real baseband sampling and complex-baseband sampling (IQ) radar receivers are compared in the context of interference suppression. The measurements show that IQ receivers are more beneficial in the presence of interference.</t>
  </si>
  <si>
    <t xml:space="preserve">[Rameez, Muhammad; Dahl, Mattias; Pettersson, Mats I.] Blekinge Inst Technol, S-37441 Karlshamn, Sweden</t>
  </si>
  <si>
    <t xml:space="preserve">Rameez, M (corresponding author), Blekinge Inst Technol, S-37441 Karlshamn, Sweden.</t>
  </si>
  <si>
    <t xml:space="preserve">Rameez, Muhammad/ABC-1347-2020; Dahl, Mattias/AAE-8091-2022; Pettersson, Mats/N-1063-2016</t>
  </si>
  <si>
    <t xml:space="preserve">Rameez, Muhammad/0000-0002-7464-5704; Dahl, Mattias/0000-0003-3707-2780; Pettersson, Mats/0000-0002-6643-312X</t>
  </si>
  <si>
    <t xml:space="preserve">2164-2958</t>
  </si>
  <si>
    <t xml:space="preserve">978-1-7281-1120-9</t>
  </si>
  <si>
    <t xml:space="preserve">IEEE RADIO WIRELESS</t>
  </si>
  <si>
    <t xml:space="preserve">10.1109/rws45077.2020.9049982</t>
  </si>
  <si>
    <t xml:space="preserve">Telecommunications</t>
  </si>
  <si>
    <t xml:space="preserve">BP8HS</t>
  </si>
  <si>
    <t xml:space="preserve">WOS:000565685500049</t>
  </si>
  <si>
    <t xml:space="preserve">Nygren, A; Alégroth, E; Eriksson, A; Pettersson, E</t>
  </si>
  <si>
    <t xml:space="preserve">Nygren, Ase; Alegroth, Emil; Eriksson, Anna; Pettersson, Eva</t>
  </si>
  <si>
    <t xml:space="preserve">Does Previous Experience with Online Platforms Matter? A Survey about Online Learning across Study Programs</t>
  </si>
  <si>
    <t xml:space="preserve">online learning; student perception; survey; COVID-19 pandemic; post-pandemic</t>
  </si>
  <si>
    <t xml:space="preserve">HIGHER-EDUCATION</t>
  </si>
  <si>
    <t xml:space="preserve">The COVID-19 pandemic has had a dramatic effect on society, including teaching within higher education that was forced to adapt to online teaching. Research on this phenomenon has looked at pedagogical methods as well as student perceptions of this way of teaching. However, to the best of our knowledge, no studies have looked at the wider perspective, within the entire student populous of a university, what students' perceptions are and how these correlate with the students' previous experiences and habits with online platforms, e.g., online streaming or social media. In this study, we perform a questionnaire survey with 431 responses with students from 20 programs at Blekinge Institute of technology. The survey responses are analyzed using descriptive statistics and qualitative analysis to draw its conclusions. Results show that there is no correlation between previous habits and student experience with online platforms in relation to online learning. Instead, other factors, e.g., teacher engagement, is found central for student learning and therefore important to consider for future research and development of online teaching methodologies.</t>
  </si>
  <si>
    <t xml:space="preserve">[Nygren, Ase; Pettersson, Eva] Blekinge Inst Technol, Educ Dev Unit, S-37191 Karlskrona, Sweden; [Alegroth, Emil; Eriksson, Anna] Blekinge Inst Technol, Dept Software Engn, S-37191 Karlskrona, Sweden</t>
  </si>
  <si>
    <t xml:space="preserve">Nygren, A (corresponding author), Blekinge Inst Technol, Educ Dev Unit, S-37191 Karlskrona, Sweden.</t>
  </si>
  <si>
    <t xml:space="preserve">ase.nygren@bth.se</t>
  </si>
  <si>
    <t xml:space="preserve">10.3390/educsci13020181</t>
  </si>
  <si>
    <t xml:space="preserve">9H7KE</t>
  </si>
  <si>
    <t xml:space="preserve">WOS:000939006400001</t>
  </si>
  <si>
    <t xml:space="preserve">Debattista, K; Paljic, A; Ziat, M; DeSousa, AA; Hurter, C; Purchase, H; Farinella, GM; Radeva, P; Bouatouch, K</t>
  </si>
  <si>
    <t xml:space="preserve">The Electrodermal Activity of Player Experience in Virtual Reality Games: An Extended Evaluation of the Phasic Component</t>
  </si>
  <si>
    <t xml:space="preserve">COMPUTER VISION, IMAGING AND COMPUTER GRAPHICS THEORY AND APPLICATIONS, VISIGRAPP 2022</t>
  </si>
  <si>
    <t xml:space="preserve">17th International Joint Conference on Computer Vision, Imaging and Computer Graphics Theory and Applications (VISIGRAPP) / 17th International Conference on Computer Vision Theory and Applications (VISAPP)</t>
  </si>
  <si>
    <t xml:space="preserve">Electrodermography; Phasic component; Virtual reality; Game experience; Convex optimization; cvxEDA; Deconvolution; Leap motion; HTC vive</t>
  </si>
  <si>
    <t xml:space="preserve">Thanks to its effectiveness, electrodermal activity (EDA) has been previously included as an evaluation metric, within analyses of user experience. In this study, the phasic component of participants' EDA data is examined in relation to their reported experiences when playing a set of virtual reality games, that featured the HTC Vive and Leap Motion controllers for input. Two models are used in the analysis of the phasic component: a deconvolution model and a convex optimization model. Despite having significant differences in their player experiences, results indicate that there are not many significant differences in the phasic component data. Even if some weak correlations were found, the majority of results show no linear correlations between the phasic component data and the reported experience variables. This shows that the phasic component of EDA data should be further investigated in conjunction with other psychophysiological signals because it has only recently demonstrated a weak link with player experience.</t>
  </si>
  <si>
    <t xml:space="preserve">[Navarro, Diego; Garro, Valeria; Sundstedt, Veronica] Blekinge Inst Technol, S-37179 Karlskrona, Sweden</t>
  </si>
  <si>
    <t xml:space="preserve">Navarro, D (corresponding author), Blekinge Inst Technol, S-37179 Karlskrona, Sweden.</t>
  </si>
  <si>
    <t xml:space="preserve">dna@bth.se; vgr@bth.se; vsu@bth.se</t>
  </si>
  <si>
    <t xml:space="preserve">Knowledge Foundation, Sweden [20170056]; Human-Centered Intelligent Realities (HINTS) Profile project [20220068]</t>
  </si>
  <si>
    <t xml:space="preserve">Knowledge Foundation, Sweden; Human-Centered Intelligent Realities (HINTS) Profile project</t>
  </si>
  <si>
    <t xml:space="preserve">This work has been funded partly by the Knowledge Foundation, Sweden, through the ViaTecH-Synergy project (contract 20170056), and the Human-Centered Intelligent Realities (HINTS) Profile project (contract 20220068).</t>
  </si>
  <si>
    <t xml:space="preserve">978-3-031-45724-1; 978-3-031-45725-8</t>
  </si>
  <si>
    <t xml:space="preserve">10.1007/978-3-031-45725-8_10</t>
  </si>
  <si>
    <t xml:space="preserve">Computer Science, Artificial Intelligence; Computer Science, Interdisciplinary Applications; Computer Science, Theory &amp; Methods</t>
  </si>
  <si>
    <t xml:space="preserve">BX5QN</t>
  </si>
  <si>
    <t xml:space="preserve">WOS:001302630600010</t>
  </si>
  <si>
    <t xml:space="preserve">Waelitalo, L; Robert, KH; Broman, G</t>
  </si>
  <si>
    <t xml:space="preserve">Waelitalo, Lisa; Robert, Karl-Henrik; Broman, Goeran</t>
  </si>
  <si>
    <t xml:space="preserve">An approach to involve municipal leaders into strategic decision-making for sustainability-A case study</t>
  </si>
  <si>
    <t xml:space="preserve">FRONTIERS IN SUSTAINABLE CITIES</t>
  </si>
  <si>
    <t xml:space="preserve">strategic sustainable development; municipalities and regions; involving leaders; capacity building for sustainability; explorative case study</t>
  </si>
  <si>
    <t xml:space="preserve">BARRIERS; AREA</t>
  </si>
  <si>
    <t xml:space="preserve">In a previous study we tested a model for implementation of methodological support for cross-sectoral collaboration for strategic transition toward sustainability. To make the model viable long-term, practitioners emphasized the importance to recruit and engage leaders into the process upfront, however, this was also the key missing element according to the ten municipalities and regions in the action research project. Nevertheless, if addressed sufficiently, active leadership could favor other needed support, such as capacity building and merging with ongoing work. Therefore, this study aimed to design, test and evaluate an approach to better involve leaders into strategic decision-making for sustainability early on in the collaboration processes. The approach evolved as an in-depth study in one of the municipalities. A pre-assessment based on semi-structured interviews and desktop review was compiled and presented back to municipal top management during a session that included a focus group discussion to capture the leaders' feedback on the assessment as well as advice on how to make the implementation model viable long-term. Results gave that the leaders reached a good understanding of the implementation model and how current practice in the municipality related or could be related to it. As an indicator of spurred engagement and hence, a successful result, one outcome from the session was a strategic decision to carry out a thorough sustainability analysis according to the methodology that the model is supposed to implement. This work is ongoing. In addition, support for alignment with existing management systems was asked for. An evaluation of the approach itself was positive, however, pointed at the extensive work needed for the assessment. Alternative ways, such as self-assessment or peer-assessment was discussed. Forthcoming research will test and further refine the applied approach of this study to enhance strategic decision-making for sustainability while also considering the role of academia in municipal practices for sustainability.</t>
  </si>
  <si>
    <t xml:space="preserve">[Waelitalo, Lisa; Robert, Karl-Henrik; Broman, Goeran] Blekinge Inst Technol, Dept Strateg Sustainable Dev, Karlskrona, Sweden</t>
  </si>
  <si>
    <t xml:space="preserve">Waelitalo, L (corresponding author), Blekinge Inst Technol, Dept Strateg Sustainable Dev, Karlskrona, Sweden.</t>
  </si>
  <si>
    <t xml:space="preserve">lwo@bth.se</t>
  </si>
  <si>
    <t xml:space="preserve">2624-9634</t>
  </si>
  <si>
    <t xml:space="preserve">FRONT SUSTAIN CITIES</t>
  </si>
  <si>
    <t xml:space="preserve">Front. Sustain. Cities</t>
  </si>
  <si>
    <t xml:space="preserve">AUG 17</t>
  </si>
  <si>
    <t xml:space="preserve">10.3389/frsc.2022.895962</t>
  </si>
  <si>
    <t xml:space="preserve">Green &amp; Sustainable Science &amp; Technology; Environmental Sciences; Environmental Studies; Urban Studies</t>
  </si>
  <si>
    <t xml:space="preserve">Science &amp; Technology - Other Topics; Environmental Sciences &amp; Ecology; Urban Studies</t>
  </si>
  <si>
    <t xml:space="preserve">7T7BL</t>
  </si>
  <si>
    <t xml:space="preserve">WOS:000911597800001</t>
  </si>
  <si>
    <t xml:space="preserve">Borg, A; Svensson, M</t>
  </si>
  <si>
    <t xml:space="preserve">Borg, Anton; Svensson, Martin</t>
  </si>
  <si>
    <t xml:space="preserve">All Burglaries Are Not the Same: Predicting Near-Repeat Burglaries in Cities Using Modus Operandi</t>
  </si>
  <si>
    <t xml:space="preserve">ISPRS INTERNATIONAL JOURNAL OF GEO-INFORMATION</t>
  </si>
  <si>
    <t xml:space="preserve">residential burglaries; repeat and near-repeat victimization; crime prediction; geographic crime analysis</t>
  </si>
  <si>
    <t xml:space="preserve">CRIME; PATTERNS; SELECTION; FUTURE; MODEL; RISK; LAW</t>
  </si>
  <si>
    <t xml:space="preserve">The evidence that burglaries cluster spatio-temporally is strong. However, research is unclear on whether clustered burglaries (repeats/near-repeats) should be treated as qualitatively different crimes compared to spatio-temporally unrelated burglaries (non-repeats). This study, therefore, investigated if there were differences in modus operandi-signatures (MOs, the habits and methods employed by criminals) between near-repeat and non-repeat burglaries across 10 Swedish cities, as well as whether MO-signatures can aid in predicting if a burglary is classified as a near-repeat or a non-repeat crime. Data consisted of 5744 residential burglaries, with 137 MO features characterizing each case. Descriptive data of repeats/non-repeats is provided together with Wilcoxon tests of MO-differences between crime pairs, while logistic regressions were used to train models to predict if a crime scene was classified as a near-repeat or a non-repeat crime. Near-repeat crimes were rather stylized, showing heterogeneity in MOs across cities, but showing homogeneity within cities at the same time, as there were significant differences between near-repeat and non-repeat burglaries, including subgroups of features, such as differences in mode of entering, target selection, types of goods stolen, as well the traces that were left at the crime scene. Furthermore, using logistic regression models, it was possible to predict near-repeat and non-repeat crimes with a mean F-1-score of 0.8155 (0.0866) based on the MO. Potential policy implications are discussed in terms of how data-driven procedures can facilitate analysis of spatio-temporal phenomena based on the MO-signatures of offenders, as well as how law enforcement agencies can provide differentiated advice and response when there is suspicion that a crime is part of a series as opposed to an isolated event.</t>
  </si>
  <si>
    <t xml:space="preserve">[Borg, Anton; Svensson, Martin] Blekinge Inst Technol, S-37179 Karlskrona, Sweden</t>
  </si>
  <si>
    <t xml:space="preserve">anton.borg@bth.se; martin.svensson@bth.se</t>
  </si>
  <si>
    <t xml:space="preserve">Borg, Anton/AAS-4475-2021; Svensson, Martin/ISR-9012-2023</t>
  </si>
  <si>
    <t xml:space="preserve">Svensson, Martin/0000-0001-8438-4520; Borg, Anton/0000-0002-8929-7220</t>
  </si>
  <si>
    <t xml:space="preserve">EU Regional Development Fund</t>
  </si>
  <si>
    <t xml:space="preserve">Computer aided support for increased knowledge about serial crimes, partially funded by the EU Regional Development Fund. The authors would like to thank all of the members of the project.</t>
  </si>
  <si>
    <t xml:space="preserve">2220-9964</t>
  </si>
  <si>
    <t xml:space="preserve">ISPRS INT J GEO-INF</t>
  </si>
  <si>
    <t xml:space="preserve">ISPRS Int. J. Geo-Inf.</t>
  </si>
  <si>
    <t xml:space="preserve">10.3390/ijgi11030160</t>
  </si>
  <si>
    <t xml:space="preserve">Computer Science, Information Systems; Geography, Physical; Remote Sensing</t>
  </si>
  <si>
    <t xml:space="preserve">Computer Science; Physical Geography; Remote Sensing</t>
  </si>
  <si>
    <t xml:space="preserve">0C4CE</t>
  </si>
  <si>
    <t xml:space="preserve">WOS:000775262300001</t>
  </si>
  <si>
    <t xml:space="preserve">Designing solutions with the product-service systems digital twin: What is now and what is next?</t>
  </si>
  <si>
    <t xml:space="preserve">Product-service systems; Digital twin; Systematic review; Systematic mapping</t>
  </si>
  <si>
    <t xml:space="preserve">LIFE-CYCLE; BUSINESS MODELS; INNOVATION; KNOWLEDGE; FRAMEWORK; CONTEXT; WEB</t>
  </si>
  <si>
    <t xml:space="preserve">Digital Twins (DT) are of particular interest in the domain of Product-Service Systems (PSS), to predict hardware availability, to inform about the needed features of new solutions, and to forecast the expected performances of new configurations in operation. The aim of this paper is to shed light on the extent to which 'twins' are applied today across the PSS life cycle, and to spotlight the ability of DT-related case studies to capture a full value perspective vs. simply attempting to represent hardware and services in the digital realm. By means of a systematic literature review combined with a mapping study, the paper reveals how only a minimal part of the existing literature is able to demonstrate how real-time physical-to-virtual and virtual-to-physical connections can be used to improve the design of servitized solutions. The analysis shows how contributions in the topic are mostly proposing frameworks and methods, as opposed to models and tools, as well as how 'evaluation', 'validation' tasks are largely neglected. As a result, the paper proposes a specialized definition of the PSS DT, together with a set of research questions that need to be answered to empower the engineering teams with relevant DT for PSS design. (c) 2022 The Authors. Published by Elsevier B.V. CC_BY_4.0</t>
  </si>
  <si>
    <t xml:space="preserve">[Bertoni, Marco; Bertoni, Alessandro] Blekinge Inst Technol, Dept Mech Engn, Karlskrona, Sweden</t>
  </si>
  <si>
    <t xml:space="preserve">Knowledge Foundation in Sweden (Stiftelsen for kunskapsoch kompetensutveckling) through the Model Driven Development and Decision Support research profile at Blekinge Institute of Technology [20180159]</t>
  </si>
  <si>
    <t xml:space="preserve">Knowledge Foundation in Sweden (Stiftelsen for kunskapsoch kompetensutveckling) through the Model Driven Development and Decision Support research profile at Blekinge Institute of Technology</t>
  </si>
  <si>
    <t xml:space="preserve">The research leading to these results has received financial sup-port from the The Knowledge Foundation in Sweden (Stiftelsen for kunskapsoch kompetensutveckling, diary number: 20180159) through the Model Driven Development and Decision Support research profile at Blekinge Institute of Technology.</t>
  </si>
  <si>
    <t xml:space="preserve">10.1016/j.compind.2022.103629</t>
  </si>
  <si>
    <t xml:space="preserve">YX4HH</t>
  </si>
  <si>
    <t xml:space="preserve">WOS:000754066000004</t>
  </si>
  <si>
    <t xml:space="preserve">Understanding Human Generated Decision Data</t>
  </si>
  <si>
    <t xml:space="preserve">BUSINESS MODELING AND SOFTWARE DESIGN, BMSD 2020</t>
  </si>
  <si>
    <t xml:space="preserve">10th Annual International symposium on Business Modeling and Software Design (BMSD)</t>
  </si>
  <si>
    <t xml:space="preserve">JUL 06-08, 2020</t>
  </si>
  <si>
    <t xml:space="preserve">Berlin, GERMANY</t>
  </si>
  <si>
    <t xml:space="preserve">Interdisciplinary Inst Collaborat &amp; Res Enterprise Syst &amp; Technol,Univ Potsdam,BPM D</t>
  </si>
  <si>
    <t xml:space="preserve">Human decisions; Bayesian statistics; Probabilistic programming</t>
  </si>
  <si>
    <t xml:space="preserve">In order to design intent-driven systems, the understanding of how the data is generated is essential. Without the understanding of the data generation process, it is not possible to use interventions, and counterfactuals. Interventions, and counterfactuals, are useful tools in order to achieve an artificial intelligence which can improve the system itself. We will create an understanding, and a model, of how data about decisions are generated, as well as used, by human decision makers. The research data were collected with the help of focus group interviews, and questionnaires. The models were built and evaluated with the help of, bayesian statistics, probability programming, and discussions with the practitioners. When we are combining, probabilistic programming models, extended machine learning algorithms, and data science processes, into a directed acyclic graph, we can mimic the process of human generated decision data. We believe the usage of a directed acyclic graph, to combine the functions and models, is a good base for mimic human generated decision data. Our next step is to evaluate if flow-based programming can be used as a framework for realization of components, useful in intent-driven systems.</t>
  </si>
  <si>
    <t xml:space="preserve">978-3-030-52306-0; 978-3-030-52305-3</t>
  </si>
  <si>
    <t xml:space="preserve">10.1007/978-3-030-52306-0_26</t>
  </si>
  <si>
    <t xml:space="preserve">BS7FK</t>
  </si>
  <si>
    <t xml:space="preserve">WOS:000759772900026</t>
  </si>
  <si>
    <t xml:space="preserve">Unterkalmsteiner, M</t>
  </si>
  <si>
    <t xml:space="preserve">Breaux, T; Zisman, A; Fricker, S; Glinz, M</t>
  </si>
  <si>
    <t xml:space="preserve">Unterkalmsteiner, Michael</t>
  </si>
  <si>
    <t xml:space="preserve">Early Requirements Traceability with Domain-Specific Taxonomies - A Pilot Experiment</t>
  </si>
  <si>
    <t xml:space="preserve">2020 28TH IEEE INTERNATIONAL REQUIREMENTS ENGINEERING CONFERENCE (RE'20)</t>
  </si>
  <si>
    <t xml:space="preserve">International Requirements Engineering Conference</t>
  </si>
  <si>
    <t xml:space="preserve">28th IEEE International Requirements Engineering Conference (RE)</t>
  </si>
  <si>
    <t xml:space="preserve">AUG 31-SEP 04, 2020</t>
  </si>
  <si>
    <t xml:space="preserve">Zurich, SWITZERLAND</t>
  </si>
  <si>
    <t xml:space="preserve">IEEE,IEEE Comp Soc,Univ Zurich,Tech Council Software Engn,Univ Appl Sci &amp; Arts NW Switzerland, Inst Interact Technologies,ACM In Cooperat,Special Interest Grp Software Engn</t>
  </si>
  <si>
    <t xml:space="preserve">Traceability; Requirements; Domain-specific Taxonomy; Recommender; Pilot Experiment</t>
  </si>
  <si>
    <t xml:space="preserve">Background: Establishing traceability from requirements documents to downstream artifacts early can be beneficial as it allows engineers to reason about requirements quality (e.g. completeness, consistency, redundancy). However, creating such early traces is difficult if downstream artifacts do not exist yet. Objective: We propose to use domain-specific taxonomies to establish early traceability, raising the value and perceived benefits of trace links so that they are also available at later development phases, e.g. in design, testing or maintenance. Method: We developed a recommender system that suggests trace links from requirements to a domain-specific taxonomy based on a series of heuristics. We designed a controlled experiment to compare industry practitioners' efficiency, accuracy, consistency and confidence with and without support from the recommender. Results: We have piloted the experimental material with seven practitioners. The analysis of self-reported confidence suggests that the trace task itself is very challenging as both control and treatment group report low confidence on correctness and completeness. Conclusions: As a pilot, the experiment was successful since it provided initial feedback on the performance of the recommender, insight on the experimental material and illustrated that the collected data can be meaningfully analysed.</t>
  </si>
  <si>
    <t xml:space="preserve">[Unterkalmsteiner, Michael] Blekinge Inst Technol, Dept Software Engn, Karlskrona, Sweden</t>
  </si>
  <si>
    <t xml:space="preserve">Unterkalmsteiner, M (corresponding author), Blekinge Inst Technol, Dept Software Engn, Karlskrona, Sweden.</t>
  </si>
  <si>
    <t xml:space="preserve">Trafikverket (FoI KREDA)</t>
  </si>
  <si>
    <t xml:space="preserve">The author would like to thank Claes Wohlin for providing feedback on the experiment design. This work was funded by Trafikverket (FoI KREDA).</t>
  </si>
  <si>
    <t xml:space="preserve">2332-6441</t>
  </si>
  <si>
    <t xml:space="preserve">978-1-7281-7438-9</t>
  </si>
  <si>
    <t xml:space="preserve">INT REQUIR ENG CONF</t>
  </si>
  <si>
    <t xml:space="preserve">10.1109/RE48521.2020.00042</t>
  </si>
  <si>
    <t xml:space="preserve">BR0CQ</t>
  </si>
  <si>
    <t xml:space="preserve">WOS:000628527900033</t>
  </si>
  <si>
    <t xml:space="preserve">Zabardast, E; Gonzalez-Huerta, J; Smite, D</t>
  </si>
  <si>
    <t xml:space="preserve">Martini, A; Wimmer, M; Skavhaug, A</t>
  </si>
  <si>
    <t xml:space="preserve">Zabardast, Ehsan; Gonzalez-Huerta, Javier; Smite, Darja</t>
  </si>
  <si>
    <t xml:space="preserve">Refactoring, Bug Fixing, and New Development Effect on Technical Debt: An Industrial Case Study</t>
  </si>
  <si>
    <t xml:space="preserve">2020 46TH EUROMICRO CONFERENCE ON SOFTWARE ENGINEERING AND ADVANCED APPLICATIONS (SEAA 2020)</t>
  </si>
  <si>
    <t xml:space="preserve">EUROMICRO Conference Proceedings</t>
  </si>
  <si>
    <t xml:space="preserve">46th Euromicro Conference on Software Engineering and Advanced Applications (SEAA)</t>
  </si>
  <si>
    <t xml:space="preserve">AUG 26-28, 2020</t>
  </si>
  <si>
    <t xml:space="preserve">Univ Maribor, Fac Org Sci,Univ Ljubljana, Fac Elect Engn,Univ Maribor, Fac Elect Engn &amp; Comp Sci,Euromicro</t>
  </si>
  <si>
    <t xml:space="preserve">Technical Debt; Empirical Study; Industrial Study; Case Study; Refactoring; Bug Fixing; New Development</t>
  </si>
  <si>
    <t xml:space="preserve">SMELL BAD</t>
  </si>
  <si>
    <t xml:space="preserve">Code evolution, whether related to the development of new features, bug fixing, or refactoring, inevitably changes the quality of the code. One particular type of such change is the accumulation of Technical Debt (TD) resulting from sub-optimal design decisions. Traditionally, refactoring is one of the means that has been acknowledged to help to keep TD under control. Developers refactor their code to improve its maintainability and to repay TD (e.g., by removing existing code smells and anti-patterns in the source code). While the accumulation of the TD and the effect of refactoring on TD have been studied before, there is a lack of empirical evidence from industrial projects on how the different types of code changes affect the TD and whether specific refactoring operations are more effective for repaying TD. To fill this gap, we conducted an empirical study on an industrial project and investigated how Refactoring, Bug Fixing, and New Development affect the TD. We have analyzed 2, 286 commits in total to identify which activities reduced, kept the same, or even increased the TD, further delving into specific refactoring operations to assess their impact. Our results suggest that TD in the studied project is mainly introduced in the development of new features (estimated in 72.8 hours). Counterintuitively, from the commits tagged as refactoring, only 22.90% repay TD (estimated to repay 8.30 hours of the TD). Moreover, while some types of refactoring operations (e.g., Extract Method), help repaying TD, other refactoring operations (e.g., Move Class) are highly prone to introduce more TD.</t>
  </si>
  <si>
    <t xml:space="preserve">[Zabardast, Ehsan; Gonzalez-Huerta, Javier; Smite, Darja] Blekinge Inst Technol, Software Engn Res Lab SERL Sweden, Karlskrona, Sweden</t>
  </si>
  <si>
    <t xml:space="preserve">Zabardast, E (corresponding author), Blekinge Inst Technol, Software Engn Res Lab SERL Sweden, Karlskrona, Sweden.</t>
  </si>
  <si>
    <t xml:space="preserve">ehsan.zabardast@bth.se; javier.gonzalez.huerta@bth.se; darja.smite@bth.se</t>
  </si>
  <si>
    <t xml:space="preserve">KKS foundation through the SHADE KKS Hog project [20170176, 2018010]</t>
  </si>
  <si>
    <t xml:space="preserve">KKS foundation through the SHADE KKS Hog project</t>
  </si>
  <si>
    <t xml:space="preserve">This research was supported by the KKS foundation through the SHADE KKS Hog project with ref: 20170176 and through the KKS S.E.R.T. Research Profile with ref. 2018010 project at Blekinge Institute of Technology, SERL Sweden.</t>
  </si>
  <si>
    <t xml:space="preserve">1089-6503</t>
  </si>
  <si>
    <t xml:space="preserve">978-1-7281-9532-2</t>
  </si>
  <si>
    <t xml:space="preserve">EUROMICRO CONF PROC</t>
  </si>
  <si>
    <t xml:space="preserve">10.1109/SEAA51224.2020.00068</t>
  </si>
  <si>
    <t xml:space="preserve">Computer Science, Software Engineering; Computer Science, Theory &amp; Methods; Engineering, Electrical &amp; Electronic</t>
  </si>
  <si>
    <t xml:space="preserve">BS2JJ</t>
  </si>
  <si>
    <t xml:space="preserve">WOS:000702094100057</t>
  </si>
  <si>
    <t xml:space="preserve">Åleskog, C; Grahn, H; Borg, A</t>
  </si>
  <si>
    <t xml:space="preserve">Aleskog, Christoffer; Grahn, Hakan; Borg, Anton</t>
  </si>
  <si>
    <t xml:space="preserve">A Comparative Study on Simulation Frameworks for AI Accelerator Evaluation</t>
  </si>
  <si>
    <t xml:space="preserve">2024 IEEE INTERNATIONAL PARALLEL AND DISTRIBUTED PROCESSING SYMPOSIUM WORKSHOPS, IPDPSW 2024</t>
  </si>
  <si>
    <t xml:space="preserve">1st International Conference on Smart Energy Systems and Artificial Intelligence (SESAI)</t>
  </si>
  <si>
    <t xml:space="preserve">JUN 03-06, 2024</t>
  </si>
  <si>
    <t xml:space="preserve">Mauritius, MAURITIUS</t>
  </si>
  <si>
    <t xml:space="preserve">AI Accelerator; Comparative Study; Hardware Simulator; Simulation</t>
  </si>
  <si>
    <t xml:space="preserve">Domain-Specific Hardware Accelerators (DSHA) are natural components in the evolution of general computers. However, designing and simulating hardware in Hardware Description Languages (MTh) often requires more effort for the developers and might not be suitable in all scenarios, which makes high-level language-based software simulators for computer hardware attractive. Yet, choosing which simulation framework to use can he challenging due to the lack of comparative studies of high-level language-based simulators. This paper presents a comparative evaluation of slate-of-the-art simulation frameworks that simulate computer hardware in high-level languages like C++. The contemporary simulators used in this study were selected from the 79 articles introducing novel AI accelerators referenced in our previous survey. We have identified six simulators that are suitable for AI accelerator evaluation, and provide a deeper analysis of three of them.</t>
  </si>
  <si>
    <t xml:space="preserve">[Aleskog, Christoffer; Grahn, Hakan; Borg, Anton] Blekinge Inst Technol, Dept Comp Sci, Karlskrona, Sweden</t>
  </si>
  <si>
    <t xml:space="preserve">Åleskog, C (corresponding author), Blekinge Inst Technol, Dept Comp Sci, Karlskrona, Sweden.</t>
  </si>
  <si>
    <t xml:space="preserve">christoffer.aleskog@bth.se; hakan.grahn@bth.se; anton.borg@bth.se</t>
  </si>
  <si>
    <t xml:space="preserve">Borg, Anton/AAS-4475-2021</t>
  </si>
  <si>
    <t xml:space="preserve">This research was funded by the Excellence Center at Linkoping-Lund in Information Technology (ELLIIT) project GPAI-General Purpose AI Computing.</t>
  </si>
  <si>
    <t xml:space="preserve">979-8-3503-6461-3; 979-8-3503-6460-6</t>
  </si>
  <si>
    <t xml:space="preserve">10.1109/IPDPSW63119.2024.00073</t>
  </si>
  <si>
    <t xml:space="preserve">Computer Science, Hardware &amp; Architecture; Computer Science, Interdisciplinary Applications; Computer Science, Theory &amp; Methods</t>
  </si>
  <si>
    <t xml:space="preserve">BX3SY</t>
  </si>
  <si>
    <t xml:space="preserve">WOS:001284697300115</t>
  </si>
  <si>
    <t xml:space="preserve">Javadi, S; Palm, BG; Vu, VT; Pettersson, MI</t>
  </si>
  <si>
    <t xml:space="preserve">Javadi, Saleh; Palm, Bruna G.; Vu, Viet T.; Pettersson, Mats I.</t>
  </si>
  <si>
    <t xml:space="preserve">PERFORMANCE EVALUATION OF UNSUPERVISED COREGISTRATION ALGORITHMS FOR MULTITEMPORAL SAR IMAGES</t>
  </si>
  <si>
    <t xml:space="preserve">2022 IEEE INTERNATIONAL GEOSCIENCE AND REMOTE SENSING SYMPOSIUM (IGARSS 2022)</t>
  </si>
  <si>
    <t xml:space="preserve">IEEE International Symposium on Geoscience and Remote Sensing IGARSS</t>
  </si>
  <si>
    <t xml:space="preserve">IEEE International Geoscience and Remote Sensing Symposium (IGARSS)</t>
  </si>
  <si>
    <t xml:space="preserve">JUL 17-22, 2022</t>
  </si>
  <si>
    <t xml:space="preserve">Kuala Lumpur, MALAYSIA</t>
  </si>
  <si>
    <t xml:space="preserve">2-D cross correlation; 2-D projective transformation; parabolic interpolation; SAR coregistration; synthetic aperture radar (SAR)</t>
  </si>
  <si>
    <t xml:space="preserve">REGISTRATION</t>
  </si>
  <si>
    <t xml:space="preserve">In this paper, we present three algorithms for the multitemporal synthetic aperture radar (SAR) images coregistration. The proposed algorithms are a 2-D cross correlation, a 1-D parabolic based, and a 2-D projective transformation. The 2-D cross correlation algorithm is used to obtain coarse estimation of the displacement for coregistration. In the second method, two independent 1-D parabolic interpolations are calculated to refine the estimation of the peak location of the cross correlation matrix with subpixel accuracy. Finally, in the third method, a 2-D projective transformation is employed to align the SAR images using point correspondences and the cubic interpolation. The performance evaluation of these algorithms are provided based on the coherence magnitude and the absolute displacement error for a point target using a corner reflector in the scene. The experimental results obtained on real recorded multitemporal satellite SAR data demonstrate the effectiveness and the computational complexity of these algorithms.</t>
  </si>
  <si>
    <t xml:space="preserve">[Javadi, Saleh; Palm, Bruna G.; Vu, Viet T.; Pettersson, Mats I.] Blekinge Inst Technol, S-37179 Karlskrona, Sweden</t>
  </si>
  <si>
    <t xml:space="preserve">Javadi, S (corresponding author), Blekinge Inst Technol, S-37179 Karlskrona, Sweden.</t>
  </si>
  <si>
    <t xml:space="preserve">Javadi, Saleh/JDW-1296-2023; G. Palm, Bruna/AAZ-4107-2021; Vu, Viet/JDW-0738-2023; Pettersson, Mats/N-1063-2016</t>
  </si>
  <si>
    <t xml:space="preserve">Pettersson, Mats/0000-0002-6643-312X; Javadi, Saleh/0000-0002-6834-5676</t>
  </si>
  <si>
    <t xml:space="preserve">2153-6996</t>
  </si>
  <si>
    <t xml:space="preserve">978-1-6654-2792-0</t>
  </si>
  <si>
    <t xml:space="preserve">INT GEOSCI REMOTE SE</t>
  </si>
  <si>
    <t xml:space="preserve">10.1109/IGARSS46834.2022.9884014</t>
  </si>
  <si>
    <t xml:space="preserve">Geosciences, Multidisciplinary; Remote Sensing</t>
  </si>
  <si>
    <t xml:space="preserve">Geology; Remote Sensing</t>
  </si>
  <si>
    <t xml:space="preserve">BU5YB</t>
  </si>
  <si>
    <t xml:space="preserve">WOS:000920916600017</t>
  </si>
  <si>
    <t xml:space="preserve">Angelova, M; Boeva, V; Abghari, S</t>
  </si>
  <si>
    <t xml:space="preserve">Martinez, JAI; Baruah, RD; Kangin, D; Souza, PVD</t>
  </si>
  <si>
    <t xml:space="preserve">Angelova, Milena; Boeva, Veselka; Abghari, Shahrooz</t>
  </si>
  <si>
    <t xml:space="preserve">EdgeCluster: A Resource-Aware Evolving Clustering for Streaming Data</t>
  </si>
  <si>
    <t xml:space="preserve">IEEE CONFERENCE ON EVOLVING AND ADAPTIVE INTELLIGENT SYSTEMS 2024, IEEE EAIS 2024</t>
  </si>
  <si>
    <t xml:space="preserve">IEEE Conference on Evolving and Adaptive Intelligence Systems</t>
  </si>
  <si>
    <t xml:space="preserve">IEEE Conference on Evolving and Adaptive Intelligent Systems (IEEE EAIS)</t>
  </si>
  <si>
    <t xml:space="preserve">MAY 23-24, 2024</t>
  </si>
  <si>
    <t xml:space="preserve">Madrid, SPAIN</t>
  </si>
  <si>
    <t xml:space="preserve">evolving clustering; data mining; smart monitoring; concept drift</t>
  </si>
  <si>
    <t xml:space="preserve">VALIDATION; WINDOWS</t>
  </si>
  <si>
    <t xml:space="preserve">In this paper, we propose a novel evolving clustering algorithm for streaming data entitled EdgeCluster. The proposed algorithm is resource efficient, making it suitable for use at edge devices with limited storage and computational capacity. The EdgeCluster is capable of modeling and monitoring a streaming data phenomenon and identifying outlying behavior. In parallel with the monitoring, the EdgeCluster algorithm dynamically maintains the set of clusters that models the phenomenon's normal behavioral scenarios by taking newly arrived data into account and updating the clustering model accordingly. The EdgeCluster algorithm is evaluated and benchmarked to another resource-aware stream clustering algorithm, EvolveCluster, in two experimental data scenarios using synthetic and real-world datasets.</t>
  </si>
  <si>
    <t xml:space="preserve">[Angelova, Milena; Boeva, Veselka; Abghari, Shahrooz] Blekinge Inst Technol, Dept Comp Sci, Karlskrona, Sweden</t>
  </si>
  <si>
    <t xml:space="preserve">Angelova, M (corresponding author), Blekinge Inst Technol, Dept Comp Sci, Karlskrona, Sweden.</t>
  </si>
  <si>
    <t xml:space="preserve">milena.angelova@bth.se; veselka.boeva@bth.se; shahrooz.abghari@bth.se</t>
  </si>
  <si>
    <t xml:space="preserve">Boeva, Veselka/IAP-9371-2023; Abghari, Shahrooz/ADU-1546-2022</t>
  </si>
  <si>
    <t xml:space="preserve">Knowledge Foundation, Sweden; Human-Centered Intelligent Realities (HINTS) Profile Project [20220068]</t>
  </si>
  <si>
    <t xml:space="preserve">Knowledge Foundation, Sweden; Human-Centered Intelligent Realities (HINTS) Profile Project</t>
  </si>
  <si>
    <t xml:space="preserve">2330-4863</t>
  </si>
  <si>
    <t xml:space="preserve">979-8-3503-6623-5; 979-8-3503-6624-2</t>
  </si>
  <si>
    <t xml:space="preserve">IEEE CONF EVOL ADAPT</t>
  </si>
  <si>
    <t xml:space="preserve">10.1109/EAIS58494.2024.10569997</t>
  </si>
  <si>
    <t xml:space="preserve">BX2ID</t>
  </si>
  <si>
    <t xml:space="preserve">WOS:001261404700019</t>
  </si>
  <si>
    <t xml:space="preserve">Holmqvist, DW; Memeti, S</t>
  </si>
  <si>
    <t xml:space="preserve">Zeinalipour, D; Heras, DB; Pallis, G; Herodotou, H; Trihinas, D; Balouek, D; Diehl, P; Cojean, T; Furlinger, K; Kirkeby, MH; Nardelli, M; DiSanzo, P</t>
  </si>
  <si>
    <t xml:space="preserve">Holmqvist, David Weisskopf; Memeti, Suejb</t>
  </si>
  <si>
    <t xml:space="preserve">Enhancing Performance Monitoring in C/C plus plus Programs with EDPM: A Domain-Specific Language for Performance Monitoring</t>
  </si>
  <si>
    <t xml:space="preserve">EURO-PAR 2023: PARALLEL PROCESSING WORKSHOPS, PT I, EURO-PAR 2023</t>
  </si>
  <si>
    <t xml:space="preserve">29th International Conference on Parallel and Distributed Computing (Euro-Par)</t>
  </si>
  <si>
    <t xml:space="preserve">AUG 28-SEP 01, 2023</t>
  </si>
  <si>
    <t xml:space="preserve">Limassol, CYPRUS</t>
  </si>
  <si>
    <t xml:space="preserve">performance monitoring; domain-specific languages; language abstractions; compilers</t>
  </si>
  <si>
    <t xml:space="preserve">The utilization of performance monitoring probes is a valuable tool for programmers to gather performance data. However, the manual insertion of these probes can result in an increase in code size, code obfuscation, and an added burden of learning different APIs associated with performance monitoring tools. To mitigate these issues, EDPM, an embedded domain-specific language, was developed to provide a higher level of abstraction for annotating regions of code that require instrumentation in C and C++ programs. This paper presents the design and implementation of EDPM and compares it to the wellknown tool PAPI, in terms of required lines of code, flexibility in configuring regions, and performance overhead. The results of this study demonstrate that EDPM is a low-resolution profiling tool that offers a reduction in required lines of code and enables programmers to express various configurations of regions. Furthermore, the design of EDPM is such that its pragmas are ignored by the standard compiler, allowing for seamless integration into existing software processes without disrupting build systems or increasing the size of the executable. Additionally, the design of the EDPM pre-compiler allows for the extension of available performance counters while maintaining a high level of abstraction for programmers. Therefore, EDPM offers a promising solution to simplify and optimize performance monitoring in C and C++ programs.</t>
  </si>
  <si>
    <t xml:space="preserve">[Holmqvist, David Weisskopf; Memeti, Suejb] Blekinge Inst Technol, Dept Comp Sci DIDA, S-37179 Karlskrona, Sweden</t>
  </si>
  <si>
    <t xml:space="preserve">Memeti, S (corresponding author), Blekinge Inst Technol, Dept Comp Sci DIDA, S-37179 Karlskrona, Sweden.</t>
  </si>
  <si>
    <t xml:space="preserve">daae19@student.bth.se; suejb.memeti@bth.se</t>
  </si>
  <si>
    <t xml:space="preserve">978-3-031-50683-3; 978-3-031-50684-0</t>
  </si>
  <si>
    <t xml:space="preserve">10.1007/978-3-031-50684-0_9</t>
  </si>
  <si>
    <t xml:space="preserve">BX3HG</t>
  </si>
  <si>
    <t xml:space="preserve">WOS:001279250600009</t>
  </si>
  <si>
    <t xml:space="preserve">Memeti, S</t>
  </si>
  <si>
    <t xml:space="preserve">Memeti, Suejb</t>
  </si>
  <si>
    <t xml:space="preserve">Enabling Dynamic Selection of Implementation Variants in Component-Based Parallel Programming for Heterogeneous Systems</t>
  </si>
  <si>
    <t xml:space="preserve">component-based programming; implementation variant selection; heterogeneous parallel computing systems; source-to-source compilation; performance optimization</t>
  </si>
  <si>
    <t xml:space="preserve">Heterogeneous systems, consisting of CPUs and GPUs, offer the capability to address the demands of compute- and data-intensive applications. However, programming such systems is challenging, requiring knowledge of various parallel programming frameworks. This paper introduces COMPAR, a component-based parallel programming framework that enables the exposure and selection of multiple implementation variants of components at runtime. The framework leverages compiler directive-based language extensions to annotate the source code and generate the necessary glue code for the StarPU runtime system. COMPAR provides a unified view of implementation variants and allows for intelligent selection based on runtime context. Our evaluation demonstrates the effectiveness of COMPAR through benchmark applications. The proposed approach simplifies heterogeneous parallel programming and promotes code reuse while achieving optimal performance.</t>
  </si>
  <si>
    <t xml:space="preserve">[Memeti, Suejb] Blekinge Inst Technol, Dept Comp Sci DIDA, Karlskrona, Sweden</t>
  </si>
  <si>
    <t xml:space="preserve">Memeti, S (corresponding author), Blekinge Inst Technol, Dept Comp Sci DIDA, Karlskrona, Sweden.</t>
  </si>
  <si>
    <t xml:space="preserve">suejb.memeti@bth.se</t>
  </si>
  <si>
    <t xml:space="preserve">10.1007/978-3-031-50684-0_17</t>
  </si>
  <si>
    <t xml:space="preserve">WOS:001279250600017</t>
  </si>
  <si>
    <t xml:space="preserve">Iftikhar, Umar; Bin Ali, Nauman; Borstler, Jurgen; Usman, Muhammad</t>
  </si>
  <si>
    <t xml:space="preserve">A Catalog of Source Code Metrics - A Tertiary Study</t>
  </si>
  <si>
    <t xml:space="preserve">Internal quality attributes; Code measurement; Code quality; Tertiary study; Source code metrics</t>
  </si>
  <si>
    <t xml:space="preserve">SUITE</t>
  </si>
  <si>
    <t xml:space="preserve">Context: A large number of source code metrics are reported in the literature. It is necessary to systematically collect, describe and classify source code metrics to support research and practice. Objective: We aim to utilize existing secondary studies to develop a catalog of source code metrics together with their descriptions. The catalog will also provide information about which units of code (e.g., operators, operands, lines of code, variables, parameters, code blocks, or functions) are used to measure the internal quality attributes and the scope on which they are collected. Method: We conducted a tertiary study to identify secondary studies reporting source code metrics. We have classified the source code metrics according to the measured internal quality attributes, the units of code used in the measures, and the scope at which the source code metrics are collected. Results: From 711 secondary studies, we identified 52 relevant secondary studies. We reported 423 source code metrics together with their descriptions and the internal quality attributes they measure. Source code metrics predominantly incorporate function as a unit of code to measure internal quality attributes. In contrast, several source code metrics use more than one unit of code when measuring internal quality attributes. Nearly 51% of the source code metrics are collected at the class scope, while almost 12% and 15% of source code metrics are collected at module and application levels, respectively. Conclusions: Researchers and practitioners can use the extensive catalog to assess which source code metrics meet their individual needs based on the description and classification scheme presented.</t>
  </si>
  <si>
    <t xml:space="preserve">[Iftikhar, Umar; Bin Ali, Nauman; Borstler, Jurgen; Usman, Muhammad] Blekinge Inst Technol, Karlskrona, Sweden</t>
  </si>
  <si>
    <t xml:space="preserve">Iftikhar, U (corresponding author), Blekinge Inst Technol, Karlskrona, Sweden.</t>
  </si>
  <si>
    <t xml:space="preserve">umar.iftikhar@bth.se</t>
  </si>
  <si>
    <t xml:space="preserve">Ali, Nauman bin/J-4293-2015; Börstler, Jürgen/IWE-4001-2023</t>
  </si>
  <si>
    <t xml:space="preserve">Borstler, Jurgen/0000-0003-0639-4234</t>
  </si>
  <si>
    <t xml:space="preserve">ELLIIT, a Strategic Area within IT and Mobile Communications - Swedish Government; OSIR project - Swedish Knowledge Foundation [20190081]</t>
  </si>
  <si>
    <t xml:space="preserve">ELLIIT, a Strategic Area within IT and Mobile Communications - Swedish Government; OSIR project - Swedish Knowledge Foundation</t>
  </si>
  <si>
    <t xml:space="preserve">This work has been supported by ELLIIT, a Strategic Area within IT and Mobile Communications, funded by the Swedish Government. The work has also been supported by the OSIR project funded by the Swedish Knowledge Foundation (grant number 20190081).</t>
  </si>
  <si>
    <t xml:space="preserve">10.1007/978-3-031-31488-9_5</t>
  </si>
  <si>
    <t xml:space="preserve">WOS:001269092500005</t>
  </si>
  <si>
    <t xml:space="preserve">Kebande, VR; Ding, JG</t>
  </si>
  <si>
    <t xml:space="preserve">Quwaider, M; Awaysheh, F; Jararweh, Y</t>
  </si>
  <si>
    <t xml:space="preserve">Kebande, Victor R.; Ding, Jianguo</t>
  </si>
  <si>
    <t xml:space="preserve">Blockchain-Enabled Renewable Energy Traceability with a Crypto-based Arbitrage Pricing Model</t>
  </si>
  <si>
    <t xml:space="preserve">2023 EIGHTH INTERNATIONAL CONFERENCE ON FOG AND MOBILE EDGE COMPUTING, FMEC</t>
  </si>
  <si>
    <t xml:space="preserve">8th IEEE International Conference on Fog and Mobile Edge Computing (FMEC)</t>
  </si>
  <si>
    <t xml:space="preserve">SEP 18-20, 2023</t>
  </si>
  <si>
    <t xml:space="preserve">Tartu, ESTONIA</t>
  </si>
  <si>
    <t xml:space="preserve">IEEE,IEEE Estonia Sect,Univ Tartuensis,Data Syst Grp</t>
  </si>
  <si>
    <t xml:space="preserve">Renewable Energy; Blockchain; Traceability; Pricing Model</t>
  </si>
  <si>
    <t xml:space="preserve">The need for Renewable Energy (RE) market decentralization and its rapid growth has led to new challenges related to energy traceability and pricing. While RE has undergone remarkable growth, the traditional methods of tracking renewable energy transactions lack transparency, making it difficult to ensure the authenticity of claims related to the source and quality of energy. Blockchain has been seen as a remarkable future technology capable of being integrated across many systems on the internet. This paper proposes a blockchain-enabled solution to address these challenges by providing a secure and transparent traceability and pricing model for RE. The proposed approach uses blockchain technology to record and verify all energy transactions in a decentralized and tamper-proof manner. Additionally, the approach suggests the incorporation of smart contracts and Crypto-based Arbitrage techniques to automate the pricing of RE and the exploitation of a fair and efficient pricing mechanism. The paper goes the extra mile and presents an RE-based hypothetical case scenario that illustrates the implementation of the proposed model in an RE market while highlighting the benefits of using blockchain technology for energy traceability and pricing. The culminating discussions show that the blockchain-enabled RE traceability and pricing model offers a secure, transparent, and efficient pricing solution that can enhance trust in the RE market while promoting the transition to a sustainable energy future.</t>
  </si>
  <si>
    <t xml:space="preserve">[Kebande, Victor R.; Ding, Jianguo] Blekinge Inst Technol, Dept Comp Sci, Karlskrona, Sweden</t>
  </si>
  <si>
    <t xml:space="preserve">Kebande, VR (corresponding author), Blekinge Inst Technol, Dept Comp Sci, Karlskrona, Sweden.</t>
  </si>
  <si>
    <t xml:space="preserve">victor.kebande@bth.se; jianguo.ding@bth.se</t>
  </si>
  <si>
    <t xml:space="preserve">Kebande, Victor/AAE-4855-2019; Ding, Jianguo/B-5748-2008</t>
  </si>
  <si>
    <t xml:space="preserve">Blekinge Institute of Technology (BTH), Sweden; Swedish Knowledge Foundation [20190111]</t>
  </si>
  <si>
    <t xml:space="preserve">Blekinge Institute of Technology (BTH), Sweden; Swedish Knowledge Foundation</t>
  </si>
  <si>
    <t xml:space="preserve">The authors would like to thank Blekinge Institute of Technology (BTH), Sweden for their support while coming up with this research. This work was partly sponsored by the Swedish Knowledge Foundation through the project Symphony - Supply-and-Demand-based Service Exposure using Robust Distributed Concepts (Dnr 20190111). The authors also acknowledge that the opinions, findings, and conclusions expressed in this paper are purely those of the authors.</t>
  </si>
  <si>
    <t xml:space="preserve">979-8-3503-1697-1</t>
  </si>
  <si>
    <t xml:space="preserve">10.1109/FMEC59375.2023.10306021</t>
  </si>
  <si>
    <t xml:space="preserve">BW1AL</t>
  </si>
  <si>
    <t xml:space="preserve">WOS:001103180200005</t>
  </si>
  <si>
    <t xml:space="preserve">Behrens, A; Anderberg, P; Berglund, JS</t>
  </si>
  <si>
    <t xml:space="preserve">Behrens, Anders; Anderberg, Peter; Berglund, Johan Sanmartin</t>
  </si>
  <si>
    <t xml:space="preserve">Sleep disturbance predicts worse cognitive performance in subsequent years: A longitudinal population-based cohort study</t>
  </si>
  <si>
    <t xml:space="preserve">ARCHIVES OF GERONTOLOGY AND GERIATRICS</t>
  </si>
  <si>
    <t xml:space="preserve">Cognition; Sleep; Risk factors; Cohort studies</t>
  </si>
  <si>
    <t xml:space="preserve">MINI-MENTAL-STATE; OLDER-ADULTS; ALZHEIMERS-DISEASE; DEMENTIA; QUALITY; RISK; ASSOCIATION; IMPAIRMENT; DURATION; DECLINE</t>
  </si>
  <si>
    <t xml:space="preserve">Background: Poor sleep is a potential modifiable risk factor for later life development cognitive impairment. The aim of this study is to examine if subjective measures of sleep duration and sleep disturbance predict future cognitive decline in a population-based cohort of 60, 66, 72 and 78-year-olds with a maximal follow up time of 18 years.Methods: This study included participants from the Swedish National Study on Ageing and Care - Blekinge, with assessments 2001-2021. A cohort of 60 (n = 478), 66 (n = 623), 72 (n = 662) and 78 (n = 548) year-olds, were assessed at baseline and every 6 years until 78 years of age. Longitudinal associations between sleep disturbance (sleep scale), self-reported sleep duration and cognitive tests (Mini Mental State Examination and the Clock drawing test) were examined together with typical confounders (sex, education level, hypertension, hyperlip-idemia, smoking status, physical inactivity and depression).Results: There was an association between sleep disturbance at age 60 and worse cognitive function at ages 60, 66 and 72 years in fully adjusted models. The association was attenuated after bootstrap-analysis for the 72-year -olds. The items of the sleep scale most predictive of later life cognition regarded nightly awakenings, pain and itching and daytime naps. Long sleep was predictive of future worse cognitive function.Conclusion: Sleep disturbance was associated with worse future cognitive performance for the 60-year-olds, which suggests poor sleep being a risk factor for later life cognitive decline. Questions regarding long sleep, waking during the night, pain and itching and daytime naps should be further explored in future research and may be targets for intervention.</t>
  </si>
  <si>
    <t xml:space="preserve">[Behrens, Anders; Anderberg, Peter; Berglund, Johan Sanmartin] Blekinge Inst Technol, Dept Hlth, Karlskrona, Sweden; [Behrens, Anders] Blekinge Inst Technol, Dept Hlth, Valhallavagen 1, S-37141 Karlskrona, Sweden</t>
  </si>
  <si>
    <t xml:space="preserve">Behrens, A (corresponding author), Blekinge Inst Technol, Dept Hlth, Valhallavagen 1, S-37141 Karlskrona, Sweden.</t>
  </si>
  <si>
    <t xml:space="preserve">anders.behrens@bth.se</t>
  </si>
  <si>
    <t xml:space="preserve">Anderberg, Peter/0000-0001-9870-8477; Behrens, Anders/0000-0002-9099-0348</t>
  </si>
  <si>
    <t xml:space="preserve">Ministry of Health and Social Affairs, Sweden</t>
  </si>
  <si>
    <t xml:space="preserve">SNAC is financially supported by the Ministry of Health and Social Affairs, Sweden, and the participating county councils, municipalities, and university departments.</t>
  </si>
  <si>
    <t xml:space="preserve">ELSEVIER IRELAND LTD</t>
  </si>
  <si>
    <t xml:space="preserve">CLARE</t>
  </si>
  <si>
    <t xml:space="preserve">ELSEVIER HOUSE, BROOKVALE PLAZA, EAST PARK SHANNON, CO, CLARE, 00000, IRELAND</t>
  </si>
  <si>
    <t xml:space="preserve">0167-4943</t>
  </si>
  <si>
    <t xml:space="preserve">1872-6976</t>
  </si>
  <si>
    <t xml:space="preserve">ARCH GERONTOL GERIAT</t>
  </si>
  <si>
    <t xml:space="preserve">Arch. Gerontol. Geriatr.</t>
  </si>
  <si>
    <t xml:space="preserve">10.1016/j.archger.2022.104899</t>
  </si>
  <si>
    <t xml:space="preserve">DEC 2022</t>
  </si>
  <si>
    <t xml:space="preserve">6Z3XD</t>
  </si>
  <si>
    <t xml:space="preserve">WOS:000897712900008</t>
  </si>
  <si>
    <t xml:space="preserve">SSV360: A Dataset on Subjetive Quality Assessment of 360° Videos for Standing and Seated Viewing on an HMD</t>
  </si>
  <si>
    <t xml:space="preserve">2022 IEEE CONFERENCE ON VIRTUAL REALITY AND 3D USER INTERFACES ABSTRACTS AND WORKSHOPS (VRW 2022)</t>
  </si>
  <si>
    <t xml:space="preserve">IEEE Conference on Virtual Reality and 3D User Interfaces (IEEE VR)</t>
  </si>
  <si>
    <t xml:space="preserve">MAR 12-16, 2022</t>
  </si>
  <si>
    <t xml:space="preserve">IEEE,IEEE Comp Soc,ChristchurchNZ,Virbela,Univ Canterbury,Immers Learning Res Network,Qualcomm,HIT Lab NZ, Appl Immers Gaming Initiat</t>
  </si>
  <si>
    <t xml:space="preserve">Human-centered computing; Computing methodologies; Virtual reality; Dataset</t>
  </si>
  <si>
    <t xml:space="preserve">In this paper, we introduce the SSV360 dataset containing psychophysical and psychophysiological data gathered in a pilot study on the effect of standing and seated viewing of 360 degrees videos on subjective quality assessment. The stimuli were shown to the participants on a head-mounted display for both viewing conditions. The ground truth contained in the SSV360 dataset may support, e.g., benchmarking of immersive media processing algorithms and developing of objective perceptual quality metrics.</t>
  </si>
  <si>
    <t xml:space="preserve">This work was funded in part by the Knowledge Foundation, Sweden, through the ViaTecH project (Contract 20170056). We thank the volunteers for their participation in this study.</t>
  </si>
  <si>
    <t xml:space="preserve">978-1-6654-8402-2</t>
  </si>
  <si>
    <t xml:space="preserve">10.1109/VRW55335.2022.00047</t>
  </si>
  <si>
    <t xml:space="preserve">Computer Science, Artificial Intelligence; Computer Science, Cybernetics; Computer Science, Software Engineering</t>
  </si>
  <si>
    <t xml:space="preserve">BT2FN</t>
  </si>
  <si>
    <t xml:space="preserve">WOS:000808111800038</t>
  </si>
  <si>
    <t xml:space="preserve">Chu, Thi My Chinh; Zepernick, Hans-Jurgen</t>
  </si>
  <si>
    <t xml:space="preserve">Modeling and Analysis of Small Cell Networks with NOMA: A Stochastic Geometry Approach</t>
  </si>
  <si>
    <t xml:space="preserve">In this paper, a stochastic geometry approach is used to model and analyse a downlink small cell network (SCN). Carrier sense multiple access with collision avoidance (CSMA/CA) is used as medium access control (MAC) protocol at the base stations (BSs). To boost spectral efficiency, each active BS deploys both orthogonal multiple access (OMA) and nonorthogonal multiple access (NOMA) to transmit signals to the user equipments (UEs) in its coverage area. The choice between OMA and NOMA mode is based on the density of UEs and aims to improve the sum rate of the BS. If there exist two UEs that sufficiently differ in their channel power gains to the BS, the BS will use NOMA superimposing the signals of the UEs in the power-domain. Otherwise, the BS will operate in OMA mode to transmit the signal of a single UE in its coverage area. Stochastic geometry is used to include the spatial densities of the UEs and BSs in the performance assessment of the SCN. On this basis, analytical expressions for the coverage probability, data rates of the UEs, and sum rate of the BSs of the considered system are derived. Numerical results are provided to illustrate the impact of system parameters on the performance of this SCN with NOMA subject to the spatial densities of the BSs and UEs.</t>
  </si>
  <si>
    <t xml:space="preserve">[Chu, Thi My Chinh; Zepernick, Hans-Jurgen] Blekinge Inst Technol, SE-37179 Karlskrona, Sweden</t>
  </si>
  <si>
    <t xml:space="preserve">10.1109/ICCE48956.2021.9352143</t>
  </si>
  <si>
    <t xml:space="preserve">WOS:000670611800016</t>
  </si>
  <si>
    <t xml:space="preserve">Vishnubhotla, SD; Mendes, E; Lundberg, L</t>
  </si>
  <si>
    <t xml:space="preserve">Vishnubhotla, Sai Datta; Mendes, Emilia; Lundberg, Lars</t>
  </si>
  <si>
    <t xml:space="preserve">Investigating the relationship between personalities and agile team climate of software professionals in a telecom company</t>
  </si>
  <si>
    <t xml:space="preserve">Personality traits; Team climate; Correlation; Regression; Agile software development</t>
  </si>
  <si>
    <t xml:space="preserve">BRIGGS TYPE INDICATOR; 5 FACTOR MODEL; WORK PREFERENCES; GROUP INNOVATION; PERFORMANCE; TRAITS; CONSCIENTIOUSNESS; INTELLIGENCE; PERSPECTIVE; VALIDATION</t>
  </si>
  <si>
    <t xml:space="preserve">Context: Previous research found that the performance of a team not only depends on the team personally composition, but also on the interactive effects of team climate. Although investigation on personalities associated with software development has been an active research area over the past decades, there has been very limited research in relation to team climate. Objective: Our study investigates the association between the five factor model personally traits (openness to experience, conscientiousness, extraversion, agreeableness and neuroticism) and the factors related to team climate (team vision, participative safety, support for innovation and task orientation) within the context of agile teams working in a telecom company. Method: A survey was used to gather data on personally characteristics and team climate perceptions of 43 members from eight agile teams. The data was initially used for correlation analysis; then, regression models were developed for predicting the personally traits related to team climate perception. Results: We observed a statistically significant positive correlation between openness to experience and support for innovation (r = 0.31). Additionally, agreeableness was observed to be positively correlated with overall team climate (r = 0.35). Further, from regression models, we observed that personally traits accounted to less than 15% of the variance in team climate. Conclusion: A person's ability to easily get along with team members (agreeableness) has a significant positive influence on the perceived level of team climate. Results from our regression analysis suggest that further data may be needed, and/or there are other human factors, in addition to personally traits, that should also be investigated with regard to their relationship with team climate. Overall, the relationships identified in our study are likely to be applicable to organizations within the telecommunications domain that use scrum methodology for software development.</t>
  </si>
  <si>
    <t xml:space="preserve">[Vishnubhotla, Sai Datta; Mendes, Emilia; Lundberg, Lars] BTH Blekinge Tekniska Hgsk, Karlshamn, Sweden</t>
  </si>
  <si>
    <t xml:space="preserve">Vishnubhotla, SD (corresponding author), BTH Blekinge Tekniska Hgsk, Karlshamn, Sweden.</t>
  </si>
  <si>
    <t xml:space="preserve">sai-datta.vishnubhotla@bth.se</t>
  </si>
  <si>
    <t xml:space="preserve">Vishnubhotla, Sai/AAF-8950-2021; Mendes, Maria/B-4207-2015</t>
  </si>
  <si>
    <t xml:space="preserve">Vishnubhotla, Sai Datta/0000-0002-0983-8817; Mendes, Emilia/0000-0003-0449-5322</t>
  </si>
  <si>
    <t xml:space="preserve">KK-stiftelsen-HOG AgileSec research project</t>
  </si>
  <si>
    <t xml:space="preserve">We would like to thank all practitioners who contributed their valuable time. This research was partially funded by the KK-stiftelsen-HOG AgileSec research project.</t>
  </si>
  <si>
    <t xml:space="preserve">10.1016/j.infsof.2020.106335</t>
  </si>
  <si>
    <t xml:space="preserve">NT9PE</t>
  </si>
  <si>
    <t xml:space="preserve">WOS:000573271800015</t>
  </si>
  <si>
    <t xml:space="preserve">CEREC: Causality Extraction from Requirements Artifacts</t>
  </si>
  <si>
    <t xml:space="preserve">2020 IEEE SEVENTH INTERNATIONAL WORKSHOP ON ARTIFICIAL INTELLIGENCE FOR REQUIREMENTS ENGINEERING (AIRE 2020)</t>
  </si>
  <si>
    <t xml:space="preserve">7th International Workshop on Artificial Intelligence and Requirements Engineering (AIRE)</t>
  </si>
  <si>
    <t xml:space="preserve">SEP 01, 2020</t>
  </si>
  <si>
    <t xml:space="preserve">The cause-effect recognition (CEREC) system provides an API for causality extraction tailored to the requirements engineering context. The library is written in Java and is released under the MIT open source license. In this paper, the underlying algorithm is described, and a demonstration of the active learning component for causality extraction is outlined. The results are promising and strengthen the confidence in exploring automation approaches for model-based testing.</t>
  </si>
  <si>
    <t xml:space="preserve">[Frattini, Julian] Blekinge Inst Technol, Dept Software Engn, S-37141 Karlskrona, Sweden</t>
  </si>
  <si>
    <t xml:space="preserve">Frattini, J (corresponding author), Blekinge Inst Technol, Dept Software Engn, S-37141 Karlskrona, Sweden.</t>
  </si>
  <si>
    <t xml:space="preserve">I would like to acknowledge that this work was supported by the KKS foundation through the S.E.R.T. Research Profile project at Blekinge Institute of Technology. I further thank my supervisors and colleagues Max Junker, Daniel Mendez, Michael Unterkalmsteiner, and Davide Fucci for their feedback and support.</t>
  </si>
  <si>
    <t xml:space="preserve">978-1-7281-8352-7</t>
  </si>
  <si>
    <t xml:space="preserve">10.1109/AIRE51212.2020.00018</t>
  </si>
  <si>
    <t xml:space="preserve">Computer Science, Artificial Intelligence; Engineering, Electrical &amp; Electronic</t>
  </si>
  <si>
    <t xml:space="preserve">BR0TF</t>
  </si>
  <si>
    <t xml:space="preserve">WOS:000630449700012</t>
  </si>
  <si>
    <t xml:space="preserve">Popescu, A</t>
  </si>
  <si>
    <t xml:space="preserve">Popescu, Adrian</t>
  </si>
  <si>
    <t xml:space="preserve">On the Performance of Virtualised Communication Systems</t>
  </si>
  <si>
    <t xml:space="preserve">2020 13TH INTERNATIONAL CONFERENCE ON COMMUNICATIONS (COMM)</t>
  </si>
  <si>
    <t xml:space="preserve">13th International Conference on Communications (COMM)</t>
  </si>
  <si>
    <t xml:space="preserve">JUN 18-20, 2020</t>
  </si>
  <si>
    <t xml:space="preserve">IEEE,Politehnica Univ Bucharest,Mil Tech Acad Ferdinand I,Academia Stiinte Tehnice</t>
  </si>
  <si>
    <t xml:space="preserve">Virtualised communication systems; Software Defined Networking; Network Function Virtualisation; standards; architectural framework</t>
  </si>
  <si>
    <t xml:space="preserve">The paper provides a framework for the definition and provision of performance in virtualised communication systems. For doing this, basic concepts and elements used in the performance provision in non-SDN/NFV networking environments are used. Based on that, adequate performance frameworks can be defined, including relevant metrics and models, to be used in the development, deployment and operation of future Software Defined Networking and Network Function Virtualisation (SDN/NFV) environments.</t>
  </si>
  <si>
    <t xml:space="preserve">[Popescu, Adrian] Blekinge Inst Technol, Sch Comp, S-37179 Karlskrona, Sweden</t>
  </si>
  <si>
    <t xml:space="preserve">Popescu, A (corresponding author), Blekinge Inst Technol, Sch Comp, S-37179 Karlskrona, Sweden.</t>
  </si>
  <si>
    <t xml:space="preserve">adrian.popescu@bth.se</t>
  </si>
  <si>
    <t xml:space="preserve">978-1-7281-5611-8</t>
  </si>
  <si>
    <t xml:space="preserve">10.1109/comm48946.2020.9141950</t>
  </si>
  <si>
    <t xml:space="preserve">BQ6NO</t>
  </si>
  <si>
    <t xml:space="preserve">WOS:000612723900001</t>
  </si>
  <si>
    <t xml:space="preserve">TT-RecS: The Taxonomic Trace Recommender System</t>
  </si>
  <si>
    <t xml:space="preserve">Traceability; Requirements; Domain-specific Taxonomy; Recommender System</t>
  </si>
  <si>
    <t xml:space="preserve">Traditional trace links are established directly between source and target artefacts. This requires that the target artefact exists when the trace is established. We introduce the concept of indirect trace links between a source artefact and a knowledge organization structure, e.g. a taxonomy. This allows the creation of links (we call them taxonomic traces) before target artefacts are created. To gauge the viability of this concept and approach, we developed a prototype, TT-RecS, that allows to create such trace links either manually or with the help of a recommender system.</t>
  </si>
  <si>
    <t xml:space="preserve">10.1109/AIRE51212.2020.00009</t>
  </si>
  <si>
    <t xml:space="preserve">WOS:000630449700003</t>
  </si>
  <si>
    <t xml:space="preserve">Öinert, J</t>
  </si>
  <si>
    <t xml:space="preserve">Oinert, Johan</t>
  </si>
  <si>
    <t xml:space="preserve">Units, zero-divisors and idempotents in rings graded by torsion-free groups</t>
  </si>
  <si>
    <t xml:space="preserve">JOURNAL OF GROUP THEORY</t>
  </si>
  <si>
    <t xml:space="preserve">UNIQUE PRODUCT; CONJECTURE</t>
  </si>
  <si>
    <t xml:space="preserve">The three famous problems concerning units, zero-divisors and idempotents in group rings of torsion-free groups, commonly attributed to Kaplansky, have been around for more than 60 years and still remain open in characteristic zero. In this article, we introduce the corresponding problems in the considerably more general context of arbitrary rings graded by torsion-free groups. For natural reasons, we will restrict our attention to rings without non-trivial homogeneous zero-divisors with respect to the given grading. We provide a partial solution to the extended problems by solving them for rings graded by unique product groups. We also show that the extended problems exhibit the same (potential) hierarchy as the classical problems for group rings. Furthermore, a ring which is graded by an arbitrary torsion-free group is shown to be indecomposable, and to have no non-trivial central zero-divisor and no non-homogeneous central unit. We also present generalizations of the classical group ring conjectures.</t>
  </si>
  <si>
    <t xml:space="preserve">[Oinert, Johan] Blekinge Inst Technol, Dept Math &amp; Nat Sci, S-37179 Karlskrona, Sweden</t>
  </si>
  <si>
    <t xml:space="preserve">johan.oinert@bth.se</t>
  </si>
  <si>
    <t xml:space="preserve">WALTER DE GRUYTER GMBH</t>
  </si>
  <si>
    <t xml:space="preserve">BERLIN</t>
  </si>
  <si>
    <t xml:space="preserve">GENTHINER STRASSE 13, D-10785 BERLIN, GERMANY</t>
  </si>
  <si>
    <t xml:space="preserve">1433-5883</t>
  </si>
  <si>
    <t xml:space="preserve">1435-4446</t>
  </si>
  <si>
    <t xml:space="preserve">J GROUP THEORY</t>
  </si>
  <si>
    <t xml:space="preserve">J. Group Theory</t>
  </si>
  <si>
    <t xml:space="preserve">10.1515/jgth-2023-0110</t>
  </si>
  <si>
    <t xml:space="preserve">JAN 2024</t>
  </si>
  <si>
    <t xml:space="preserve">XB9J2</t>
  </si>
  <si>
    <t xml:space="preserve">Green Published, hybrid, Green Submitted</t>
  </si>
  <si>
    <t xml:space="preserve">WOS:001151748200001</t>
  </si>
  <si>
    <t xml:space="preserve">Joshani, M; Palm, BG; Dahl, M; Pettersson, MI</t>
  </si>
  <si>
    <t xml:space="preserve">Joshani, Majid; Palm, Bruna G.; Dahl, Mattias; Pettersson, Mats I.</t>
  </si>
  <si>
    <t xml:space="preserve">Using a Two-dimensional Autoregressive Model for Interference Mitigation in FMCW Radar</t>
  </si>
  <si>
    <t xml:space="preserve">2024 INTERNATIONAL RADAR SYMPOSIUM, IRS 2024</t>
  </si>
  <si>
    <t xml:space="preserve">International Radar Symposium Proceedings</t>
  </si>
  <si>
    <t xml:space="preserve">International Radar Symposium (IRS)</t>
  </si>
  <si>
    <t xml:space="preserve">JUL 02-04, 2024</t>
  </si>
  <si>
    <t xml:space="preserve">Wroclaw, POLAND</t>
  </si>
  <si>
    <t xml:space="preserve">Autoregressive; Two-dimensional; FMCW radar; Interference mitigation</t>
  </si>
  <si>
    <t xml:space="preserve">This work confronts the complex issue of cross-interference in Frequency Modulated Continuous Wave (FMCW) radars, a critical concern that has become more pronounced with the proliferation of automotive radar systems. The study introduces a two-dimensional autoregressive (AR) modeling technique for signal reconstruction in the time domain, tailored specifically for the textured nature of FMCW radar frames composed of fast-time (Range bin) and slow-time (Doppler bin) signals. According to the simulations conducted in this study, the proposed 2-D AR model (of order 3) exhibits superior performance compared to its 1-D counterpart (of order 5). This is evidenced by a slightly lower Mean Absolute Percentage Error (MAPE) during model training and a higher Signal-to-Interference-plus-Noise Ratio (SINR) for the reconstructed signal, suggesting that the 2-D model requires less frequent temporal sampling. The study further investigates different sampling strategies and evaluates the influence of model order on signal reconstruction. Based on these assessments, a third-order 2-D AR is recommended as a suitable trade-off model for interference mitigation of FMCW radars for the evaluated scenarios. This paper is structured as follows: Section I defines the interference problem in FMCW radars and the latest solutions to this problem are discussed. Sections II and III include the working principles of FMCW radar and theoretical backgrounds about multi-dimension auto-regressive modeling, respectively. Eventually, the mitigation techniques and numerical evaluations of the proposed approach are presented in Sections IV and V.</t>
  </si>
  <si>
    <t xml:space="preserve">[Joshani, Majid; Palm, Bruna G.; Dahl, Mattias; Pettersson, Mats I.] Blekinge Inst Technol BTH, Dept Math &amp; Nat Sci, Karlskrona, Sweden</t>
  </si>
  <si>
    <t xml:space="preserve">Joshani, M (corresponding author), Blekinge Inst Technol BTH, Dept Math &amp; Nat Sci, Karlskrona, Sweden.</t>
  </si>
  <si>
    <t xml:space="preserve">mjd@bth.se; bruna.palm@bth.se; mattias.dahl@bth.se; mats.pettersson@bth.se</t>
  </si>
  <si>
    <t xml:space="preserve">Joshani, Majid/0009-0005-1529-4130</t>
  </si>
  <si>
    <t xml:space="preserve">municipality of Karlshamn in Sweden</t>
  </si>
  <si>
    <t xml:space="preserve">This research was funded by the municipality of Karlshamn in Sweden. The authors gratefully acknowledge this support.</t>
  </si>
  <si>
    <t xml:space="preserve">2155-5745</t>
  </si>
  <si>
    <t xml:space="preserve">979-8-3503-7110-9; 978-83-956020-9-2</t>
  </si>
  <si>
    <t xml:space="preserve">INT RADAR SYMP PROC</t>
  </si>
  <si>
    <t xml:space="preserve">BX6DW</t>
  </si>
  <si>
    <t xml:space="preserve">WOS:001307923500004</t>
  </si>
  <si>
    <t xml:space="preserve">Nasir, N</t>
  </si>
  <si>
    <t xml:space="preserve">Nasir, Nayla</t>
  </si>
  <si>
    <t xml:space="preserve">Towards Better Design and Delivery of SE Team Project Courses</t>
  </si>
  <si>
    <t xml:space="preserve">PROCEEDINGS OF THE 2024 CONFERENCE INNOVATION AND TECHNOLOGY IN COMPUTER SCIENCE EDUCATION, VOL 2, ITICSE 2024</t>
  </si>
  <si>
    <t xml:space="preserve">29th Annual Conference on Innovation and Technology in Computer Science Education (ITiCSE)</t>
  </si>
  <si>
    <t xml:space="preserve">JUL 08-10, 2024</t>
  </si>
  <si>
    <t xml:space="preserve">Univ Milano, Milan, ITALY</t>
  </si>
  <si>
    <t xml:space="preserve">Assoc Comp Machinery,Assoc Comp Machinery Special Interest Grp Comp Sci Educ,ACM Europe Council,Informat Europe,Github Educ,Univ Milano, Dipartimento Informatica</t>
  </si>
  <si>
    <t xml:space="preserve">Univ Milano</t>
  </si>
  <si>
    <t xml:space="preserve">Software Engineering Education; Project-Based Learning; Team Project Courses</t>
  </si>
  <si>
    <t xml:space="preserve">Software Engineering (SE) team project courses allow students to explore the multifaceted challenges of software engineering. This doctoral thesis aims to conduct evidence-based research analyzing different aspects of SE team project courses. It will investigate the perspectives of students, teachers, and industry collaborators. The overarching goal is to enhance the design and delivery of these courses while aligning with industry needs.</t>
  </si>
  <si>
    <t xml:space="preserve">[Nasir, Nayla] Blekinge Inst Technol, Karlskrona, Sweden</t>
  </si>
  <si>
    <t xml:space="preserve">Nasir, N (corresponding author), Blekinge Inst Technol, Karlskrona, Sweden.</t>
  </si>
  <si>
    <t xml:space="preserve">nayla.nasir@bth.se</t>
  </si>
  <si>
    <t xml:space="preserve">Nasir, Nayla/0009-0002-3023-6500</t>
  </si>
  <si>
    <t xml:space="preserve">979-8-4007-0603-5</t>
  </si>
  <si>
    <t xml:space="preserve">10.1145/3649405.3659471</t>
  </si>
  <si>
    <t xml:space="preserve">Computer Science, Interdisciplinary Applications; Education &amp; Educational Research; Education, Scientific Disciplines</t>
  </si>
  <si>
    <t xml:space="preserve">Computer Science; Education &amp; Educational Research</t>
  </si>
  <si>
    <t xml:space="preserve">BX2PI</t>
  </si>
  <si>
    <t xml:space="preserve">WOS:001265872800052</t>
  </si>
  <si>
    <t xml:space="preserve">Silonosov, A; Baranovskyi, O; Henesey, L</t>
  </si>
  <si>
    <t xml:space="preserve">Silonosov, Alexandr; Baranovskyi, Oleksii; Henesey, Lawrence</t>
  </si>
  <si>
    <t xml:space="preserve">Poster: Towards cryptographic agility in end-to-end encryption systems for computer generated telemetry data.</t>
  </si>
  <si>
    <t xml:space="preserve">PROCEEDINGS OF THE 2024 THE 25TH INTERNATIONAL WORKSHOP ON MOBILE COMPUTING SYSTEMS AND APPLICATIONS, HOTMOBILE 2024</t>
  </si>
  <si>
    <t xml:space="preserve">25th International Workshop on Mobile Computing Systems and Applications (HOTMOBILE)</t>
  </si>
  <si>
    <t xml:space="preserve">FEB 28-29, 2024</t>
  </si>
  <si>
    <t xml:space="preserve">San Diego, CA</t>
  </si>
  <si>
    <t xml:space="preserve">[Silonosov, Alexandr; Baranovskyi, Oleksii; Henesey, Lawrence] Blekinge Inst Technol, Karlskrona, Sweden</t>
  </si>
  <si>
    <t xml:space="preserve">aiv@bth.se; lhe@bth.se; oba@bth.se</t>
  </si>
  <si>
    <t xml:space="preserve">Silonosov, Alexandr/ACD-9019-2022; Baranovskyi, Oleksii/W-2166-2019; Henesey, Lawrence/AFP-0796-2022</t>
  </si>
  <si>
    <t xml:space="preserve">Henesey, Lawrence/0000-0002-0518-6532</t>
  </si>
  <si>
    <t xml:space="preserve">979-8-4007-0497-0</t>
  </si>
  <si>
    <t xml:space="preserve">10.1145/3638550.3643624</t>
  </si>
  <si>
    <t xml:space="preserve">Computer Science, Theory &amp; Methods; Telecommunications</t>
  </si>
  <si>
    <t xml:space="preserve">BX3FT</t>
  </si>
  <si>
    <t xml:space="preserve">WOS:001278360200032</t>
  </si>
  <si>
    <t xml:space="preserve">Ivanenko, Yevhen; Vu, Viet T.; Pettersson, Mats I.</t>
  </si>
  <si>
    <t xml:space="preserve">Autofocusing of THz SAR Images by Integrating Compressed Sensing into the Backprojection Process</t>
  </si>
  <si>
    <t xml:space="preserve">2023 IEEE RADAR CONFERENCE, RADARCONF23</t>
  </si>
  <si>
    <t xml:space="preserve">IEEE Radar Conference (RadarConf)</t>
  </si>
  <si>
    <t xml:space="preserve">MAY 01-05, 2023</t>
  </si>
  <si>
    <t xml:space="preserve">IEEE,Aerosp &amp; Elect Syst Soc,IEEE Lone Star Sect,Massachusetts Inst Technol, Lincoln Lab,Lockheed Martin,Continental Elect,Georgia Tech Res Inst,Rohde &amp; Schwarz,NL,Northrop Grumman,Samtec,Comtech,SW Res Inst,ARC Technol Solut,NSI MI,AMETEK,ISL,Univ Oklahoma, Adv Radar Res Ctr,Rantec Microwave Syst,Boeing,Anduril,Cent Intelligence Agcy,OPHIR,Berkeley Nucleon Corp,Leonardo DRS,CAES,Interface Concept,Empower RF Syst Inc,TechWay,TTM Technologies,Adv Test Equipment Corp,MathWorks,Metron</t>
  </si>
  <si>
    <t xml:space="preserve">FMCW SAR; THz; Autofocusing; Compressed Sensing</t>
  </si>
  <si>
    <t xml:space="preserve">RADAR</t>
  </si>
  <si>
    <t xml:space="preserve">The THz frequency spectrum provides an opportunity to explore high-resolution synthetic-aperture-radar (SAR) short-range imaging that can be used for various applications. However, the performance of THz SAR imaging is sensitive to phase errors that can be caused by an insufficient amount of data samples for image formation and by path deviations that can be practically caused by SAR platform vibrations, changes in speed, changes in direction, and acceleration. To solve the former problem, an improved interpolation procedure for backprojection algorithms has been proposed. However, to make these algorithms efficient in handling the latter problem, an additional autofocusing is necessary. In this paper, we introduce an autofocusing procedure based on compressed sensing that is incorporated into the backprojection algorithm. The reconstruction is based on the following calculated parameters: windowed interpolation sinc kernel, and range distances between SAR platform and image pixels in a defined image plane. The proposed approach is tested on real data, which was acquired by the 2 pi SENSE FMCW SAR system through outdoor SAR imaging.</t>
  </si>
  <si>
    <t xml:space="preserve">[Ivanenko, Yevhen; Vu, Viet T.; Pettersson, Mats I.] Blekinge Inst Technol, Dept Math &amp; Nat Sci, S-37179 Karlskrona, Sweden</t>
  </si>
  <si>
    <t xml:space="preserve">ELLIIT research environment under the project Multistatic High-resolution Sensing at THz [A17]</t>
  </si>
  <si>
    <t xml:space="preserve">This work was supported by the ELLIIT research environment under the project Multistatic High-resolution Sensing at THz, Project-ID A17.</t>
  </si>
  <si>
    <t xml:space="preserve">978-1-6654-3669-4</t>
  </si>
  <si>
    <t xml:space="preserve">10.1109/RADARCONF2351548.2023.10149760</t>
  </si>
  <si>
    <t xml:space="preserve">Remote Sensing; Telecommunications</t>
  </si>
  <si>
    <t xml:space="preserve">BV4HZ</t>
  </si>
  <si>
    <t xml:space="preserve">WOS:001031599600217</t>
  </si>
  <si>
    <t xml:space="preserve">Aleskog, C; Grahn, H; Borg, A</t>
  </si>
  <si>
    <t xml:space="preserve">Recent Developments in Low-Power AI Accelerators: A Survey</t>
  </si>
  <si>
    <t xml:space="preserve">survey; hardware accelerator; low-power; performance; machine learning; artificial intelligence; neural networks</t>
  </si>
  <si>
    <t xml:space="preserve">DEEP NEURAL-NETWORKS; EFFICIENT; ARCHITECTURE; DESIGN; ZERO</t>
  </si>
  <si>
    <t xml:space="preserve">As machine learning and AI continue to rapidly develop, and with the ever-closer end of Moore's law, new avenues and novel ideas in architecture design are being created and utilized. One avenue is accelerating AI as close to the user as possible, i.e., at the edge, to reduce latency and increase performance. Therefore, researchers have developed low-power AI accelerators, designed specifically to accelerate machine learning and AI at edge devices. In this paper, we present an overview of low-power AI accelerators between 2019-2022. Low-power AI accelerators are defined in this paper based on their acceleration target and power consumption. In this survey, 79 low-power AI accelerators are presented and discussed. The reviewed accelerators are discussed based on five criteria: (i) power, performance, and power efficiency, (ii) acceleration targets, (iii) arithmetic precision, (iv) neuromorphic accelerators, and (v) industry vs. academic accelerators. CNNs and DNNs are the most popular accelerator targets, while Transformers and SNNs are on the rise.</t>
  </si>
  <si>
    <t xml:space="preserve">[Aleskog, Christoffer; Grahn, Hakan; Borg, Anton] Blekinge Inst Technol, Dept Comp Sci, S-37179 Karlskrona, Sweden</t>
  </si>
  <si>
    <t xml:space="preserve">Åleskog, C (corresponding author), Blekinge Inst Technol, Dept Comp Sci, S-37179 Karlskrona, Sweden.</t>
  </si>
  <si>
    <t xml:space="preserve">christoffer.aleskog@bth.se</t>
  </si>
  <si>
    <t xml:space="preserve">Grahn, Håkan/G-9720-2011; Borg, Anton/AAS-4475-2021; Aleskog, Christoffer Carl/HII-7619-2022</t>
  </si>
  <si>
    <t xml:space="preserve">Borg, Anton/0000-0002-8929-7220; Grahn, Hakan/0000-0001-9947-1088; Aleskog, Christoffer Carl/0000-0002-0476-4177</t>
  </si>
  <si>
    <t xml:space="preserve">Excellence Center at Linkoeping-Lund in Information Technology (ELLIIT); Knowledge-foundation in Sweden [20170236]</t>
  </si>
  <si>
    <t xml:space="preserve">Excellence Center at Linkoeping-Lund in Information Technology (ELLIIT); Knowledge-foundation in Sweden</t>
  </si>
  <si>
    <t xml:space="preserve">This research was funded in part by the Excellence Center at Linkoeping-Lund in Information Technology (ELLIIT) project GPAI-General Purpose AI Computing and by the Knowledge-foundation in Sweden through the project Rekrytering17, Lektor i datavetenskap (grant 20170236).</t>
  </si>
  <si>
    <t xml:space="preserve">10.3390/a15110419</t>
  </si>
  <si>
    <t xml:space="preserve">8V5YD</t>
  </si>
  <si>
    <t xml:space="preserve">WOS:000930705100001</t>
  </si>
  <si>
    <t xml:space="preserve">A characterization of graded von Neumann regular rings with applications to Leavitt path algebras</t>
  </si>
  <si>
    <t xml:space="preserve">JOURNAL OF ALGEBRA</t>
  </si>
  <si>
    <t xml:space="preserve">Epsilon-strongly graded ring; Von Neumann regular ring; Leavitt path algebra; Corner skew Laurent polynomial ring; Partial crossed product</t>
  </si>
  <si>
    <t xml:space="preserve">TWISTED PARTIAL ACTIONS; CROSSED-PRODUCTS</t>
  </si>
  <si>
    <t xml:space="preserve">We prove a new characterization of graded von Neumann regular rings involving the recently introduced class of nearly epsilon-strongly graded rings. As our main application, we generalize Hazrat's result that Leavitt path algebras over fields are graded von Neumann regular. More precisely, we show that a Leavitt path algebra L-R(E) with coefficients in a unital ring R is graded von Neumann regular if and only if R is von Neumann regular. We also prove that both Leavitt path algebras and corner skew Laurent polynomial rings over von Neumann regular rings are semiprimitive and semiprime. Thereby, we generalize a result by Abrams and Aranda Pino on the semiprimitivity of Leavitt path algebras over fields. (C) 2020 The Author(s). Published by Elsevier Inc.</t>
  </si>
  <si>
    <t xml:space="preserve">This research was partially supported by The Crafoord Foundation (grant no. 20170843).</t>
  </si>
  <si>
    <t xml:space="preserve">ACADEMIC PRESS INC ELSEVIER SCIENCE</t>
  </si>
  <si>
    <t xml:space="preserve">SAN DIEGO</t>
  </si>
  <si>
    <t xml:space="preserve">525 B ST, STE 1900, SAN DIEGO, CA 92101-4495 USA</t>
  </si>
  <si>
    <t xml:space="preserve">0021-8693</t>
  </si>
  <si>
    <t xml:space="preserve">1090-266X</t>
  </si>
  <si>
    <t xml:space="preserve">J ALGEBRA</t>
  </si>
  <si>
    <t xml:space="preserve">J. Algebra</t>
  </si>
  <si>
    <t xml:space="preserve">FEB 1</t>
  </si>
  <si>
    <t xml:space="preserve">10.1016/j.jalgebra.2020.09.022</t>
  </si>
  <si>
    <t xml:space="preserve">OS5ZW</t>
  </si>
  <si>
    <t xml:space="preserve">WOS:000590242700005</t>
  </si>
  <si>
    <t xml:space="preserve">Watz, M</t>
  </si>
  <si>
    <t xml:space="preserve">Watz, Matilda</t>
  </si>
  <si>
    <t xml:space="preserve">Using Group Model Building to Foster Learning for Strategic Sustainable Development</t>
  </si>
  <si>
    <t xml:space="preserve">learning for sustainability; sustainability competencies; strategic sustainable development; group model building</t>
  </si>
  <si>
    <t xml:space="preserve">Capability for strategic planning and decision-making toward sustainability requires both individuals and organizations from different sectors and disciplines to develop necessary skills and competencies. Therefore, a growing discussion has emerged within academia and practice around how pedagogical methods and tools can be utilized for this purpose. This paper seeks to contribute to this discussion by asking 'in which way may group model building be used to foster learning that leads to competency for strategic sustainable development?'. The potential of the group model building (GMB) process' steps and associated modeling to foster learning for strategic sustainable development (SSD) was analyzed using four case examples. Theory on learning for sustainability and key sustainability competencies were linked to elements of a process for strategic planning toward sustainability within the framework for strategic sustainable development (FSSD) as a reference model. The results provide a discussion on how GMB can be utilized to foster sustainability competencies and learning for sustainability that can contribute to SSD, hence a basis for continued research and ideas for course and curriculum development.</t>
  </si>
  <si>
    <t xml:space="preserve">[Watz, Matilda] Blekinge Inst Technol, Dept Strateg Sustainable Dev, S-37179 Karlskrona, Sweden</t>
  </si>
  <si>
    <t xml:space="preserve">Watz, M (corresponding author), Blekinge Inst Technol, Dept Strateg Sustainable Dev, S-37179 Karlskrona, Sweden.</t>
  </si>
  <si>
    <t xml:space="preserve">10.3390/su12208350</t>
  </si>
  <si>
    <t xml:space="preserve">OI2HC</t>
  </si>
  <si>
    <t xml:space="preserve">WOS:000583105300001</t>
  </si>
  <si>
    <t xml:space="preserve">Ayers, J; Bryant, J; Missimer, M</t>
  </si>
  <si>
    <t xml:space="preserve">Ayers, James; Bryant, Jayne; Missimer, Merlina</t>
  </si>
  <si>
    <t xml:space="preserve">The Use of Reflective Pedagogies in Sustainability Leadership Education-A Case Study</t>
  </si>
  <si>
    <t xml:space="preserve">sustainability; pedagogy; reflective learning; higher education; leadership</t>
  </si>
  <si>
    <t xml:space="preserve">This study aims to examine the use of reflective pedagogies in sustainability leadership education by investigating two specific pedagogical tools-the Portfolio and Pod-employed by the Master's in Strategic Leadership towards Sustainability (MSLS) program at Blekinge Institute of Technology in Karlskrona, Sweden. The study analyzed data gathered from student surveys, teacher interviews, and staff reflections to determine the benefits and challenges faced by students and staff in implementing and engaging with these pedagogical tools. Benefits include the provision of distinct structures to guide student reflection towards individual skill development and the use of collective reflection to encourage generative dialogue between students and staff. This holds benefits for collaboration, self-awareness, understanding of multiple perspectives, and creating self-directed graduates. Staff and students also, however, suggest a number of challenges. These include the 'constrictive' nature of guided reflection and the emotional and mental load faced by staff in hosting and holding students through often challenging personal reflective processes. For the potential of reflective pedagogies to be truly realized for Education for Sustainable Development in higher education institutions need to develop an understanding of the impacts that reflective pedagogies have on students and teachers and create institutional structures to support them.</t>
  </si>
  <si>
    <t xml:space="preserve">[Ayers, James; Bryant, Jayne; Missimer, Merlina] Blekinge Inst Technol, Dept Strateg Sustainable Dev TISU, SE-37179 Karlskrona, Sweden</t>
  </si>
  <si>
    <t xml:space="preserve">Ayers, J (corresponding author), Blekinge Inst Technol, Dept Strateg Sustainable Dev TISU, SE-37179 Karlskrona, Sweden.</t>
  </si>
  <si>
    <t xml:space="preserve">james.ayers@bth.se; jayne.bryant@bth.se; merlina.missimer@bth.se</t>
  </si>
  <si>
    <t xml:space="preserve">Bryant, Jayne/0000-0002-7993-7116</t>
  </si>
  <si>
    <t xml:space="preserve">10.3390/su12176726</t>
  </si>
  <si>
    <t xml:space="preserve">NO8GH</t>
  </si>
  <si>
    <t xml:space="preserve">WOS:000569725600001</t>
  </si>
  <si>
    <t xml:space="preserve">Wall, J; Bertoni, M; Larsson, T</t>
  </si>
  <si>
    <t xml:space="preserve">Wall, Johan; Bertoni, Marco; Larsson, Tobias</t>
  </si>
  <si>
    <t xml:space="preserve">The Model-Driven Decision Arena: Augmented Decision-Making for Product-Service Systems Design</t>
  </si>
  <si>
    <t xml:space="preserve">SYSTEMS</t>
  </si>
  <si>
    <t xml:space="preserve">model-driven design; Product-Service Systems; conceptual design; design exploration; visualization; decision-making; digitalization</t>
  </si>
  <si>
    <t xml:space="preserve">BOUNDARY OBJECTS; SIMULATION; FRAMEWORK; CHALLENGES; REQUIREMENTS</t>
  </si>
  <si>
    <t xml:space="preserve">The shift towards Product-Service Systems (PSS) stresses the need to embed new and unique capabilities in Decision Support Systems, with the aim of helping the engineering team in handling the pool of information and knowledge available during decision events. Emerging from a multiple case study in the Swedish manufacturing industry, this paper describes the development of the Model-Driven Decision Arena (MDDA), an environment for collaborative decision-making that focuses on the early design phases of PSS. Based on the findings from multiple case studies, this paper illustrates the main goals of the MDDA, detailing its main functions, its physical environment, and its software architecture and models. This paper demonstrates the use of the MDDA in a case study related to the development of an asphalt compactor, presenting and discussing the results of verification activities conducted with industrial practitioners on the current MDDA prototype.</t>
  </si>
  <si>
    <t xml:space="preserve">[Wall, Johan; Bertoni, Marco; Larsson, Tobias] Blekinge Inst Technol, Dept Mech Engn, SE-37179 Karlskrona, Sweden</t>
  </si>
  <si>
    <t xml:space="preserve">Bertoni, M (corresponding author), Blekinge Inst Technol, Dept Mech Engn, SE-37179 Karlskrona, Sweden.</t>
  </si>
  <si>
    <t xml:space="preserve">johan.wall@bth.se; marco.bertoni@bth.se; tobias.larsson@bth.se</t>
  </si>
  <si>
    <t xml:space="preserve">Larsson, Tobias/A-6795-2008; Bertoni, Marco/P-6226-2014</t>
  </si>
  <si>
    <t xml:space="preserve">Bertoni, Marco/0000-0002-5076-3300; Wall, Johan/0000-0002-7804-7306; Larsson, Tobias/0000-0002-9662-4576</t>
  </si>
  <si>
    <t xml:space="preserve">Knowledge Foundation in Sweden through the Model-Driven Development and Decision Support + (MD3S+) research profile at Blekinge Institute of Technology</t>
  </si>
  <si>
    <t xml:space="preserve">This research was funded by The Knowledge Foundation in Sweden through the Model-Driven Development and Decision Support + (MD3S+) research profile at Blekinge Institute of Technology.</t>
  </si>
  <si>
    <t xml:space="preserve">2079-8954</t>
  </si>
  <si>
    <t xml:space="preserve">SYSTEMS-BASEL</t>
  </si>
  <si>
    <t xml:space="preserve">Systems-Basel</t>
  </si>
  <si>
    <t xml:space="preserve">10.3390/systems8020022</t>
  </si>
  <si>
    <t xml:space="preserve">MN9QS</t>
  </si>
  <si>
    <t xml:space="preserve">WOS:000551174800004</t>
  </si>
  <si>
    <t xml:space="preserve">Dahl, M; Javadi, S</t>
  </si>
  <si>
    <t xml:space="preserve">Dahl, Mattias; Javadi, Saleh</t>
  </si>
  <si>
    <t xml:space="preserve">Analytical Modeling for a Video-Based Vehicle Speed Measurement Framework</t>
  </si>
  <si>
    <t xml:space="preserve">SENSORS</t>
  </si>
  <si>
    <t xml:space="preserve">vehicle speed measurement; temporal sampling; analytical modeling; motion analysis; pattern recognition; image processing</t>
  </si>
  <si>
    <t xml:space="preserve">SYSTEM</t>
  </si>
  <si>
    <t xml:space="preserve">Traffic analyses, particularly speed measurements, are highly valuable in terms of road safety and traffic management. In this paper, an analytical model is presented to measure the speed of a moving vehicle using an off-the-shelf video camera. The method utilizes the temporal sampling rate of the camera and several intrusion lines in order to estimate the probability density function (PDF) of a vehicle's speed. The proposed model provides not only an accurate estimate of the speed, but also the possibility of being able to study the performance boundaries with respect to the camera frame rate as well as the placement and number of intrusion lines in advance. This analytical model is verified by comparing its PDF outputs with the results obtained via a simulation of the corresponding movements. In addition, as a proof-of-concept, the proposed model is implemented for a video-based vehicle speed measurement system. The experimental results demonstrate the model's capability in terms of taking accurate measurements of the speed via a consideration of the temporal sampling rate and lowering the deviation by utilizing more intrusion lines. The analytical model is highly versatile and can be used as the core of various video-based speed measurement systems in transportation and surveillance applications.</t>
  </si>
  <si>
    <t xml:space="preserve">[Dahl, Mattias] Blekinge Inst Technol BTH, Dept Math &amp; Nat Sci, S-37179 Karlskrona, Sweden; [Javadi, Saleh] Blekinge Inst Technol BTH, Dept Math &amp; Nat Sci, S-37435 Karlshamn, Sweden</t>
  </si>
  <si>
    <t xml:space="preserve">Dahl, M (corresponding author), Blekinge Inst Technol BTH, Dept Math &amp; Nat Sci, S-37179 Karlskrona, Sweden.</t>
  </si>
  <si>
    <t xml:space="preserve">mattias.dahl@bth.se; saleh.javadi@bth.se</t>
  </si>
  <si>
    <t xml:space="preserve">Javadi, Saleh/JDW-1296-2023; Dahl, Mattias/AAE-8091-2022</t>
  </si>
  <si>
    <t xml:space="preserve">Javadi, Saleh/0000-0002-6834-5676; Dahl, Mattias/0000-0003-3707-2780</t>
  </si>
  <si>
    <t xml:space="preserve">Swedish Road Administration; Swedish Transport Agency; Netport Science Park; Municipality of Karlshamn, Sweden</t>
  </si>
  <si>
    <t xml:space="preserve">The authors would like to thank the Swedish Road Administration, the Swedish Transport Agency, Netport Science Park, and the Municipality of Karlshamn, Sweden for their support in this work.</t>
  </si>
  <si>
    <t xml:space="preserve">1424-8220</t>
  </si>
  <si>
    <t xml:space="preserve">SENSORS-BASEL</t>
  </si>
  <si>
    <t xml:space="preserve">Sensors</t>
  </si>
  <si>
    <t xml:space="preserve">10.3390/s20010160</t>
  </si>
  <si>
    <t xml:space="preserve">Chemistry, Analytical; Engineering, Electrical &amp; Electronic; Instruments &amp; Instrumentation</t>
  </si>
  <si>
    <t xml:space="preserve">Chemistry; Engineering; Instruments &amp; Instrumentation</t>
  </si>
  <si>
    <t xml:space="preserve">KH2QT</t>
  </si>
  <si>
    <t xml:space="preserve">Green Submitted, Green Published, gold</t>
  </si>
  <si>
    <t xml:space="preserve">WOS:000510493100160</t>
  </si>
  <si>
    <t xml:space="preserve">Andreasson, S; Östergaard, L; Goswami, P</t>
  </si>
  <si>
    <t xml:space="preserve">Andreasson, Simon; Ostergaard, Linus; Goswami, Prashant</t>
  </si>
  <si>
    <t xml:space="preserve">Parallel spatiotemporally adaptive DEM-based snow simulation</t>
  </si>
  <si>
    <t xml:space="preserve">PROCEEDINGS OF THE ACM ON COMPUTER GRAPHICS AND INTERACTIVE TECHNIQUES</t>
  </si>
  <si>
    <t xml:space="preserve">Snow simulation; adaptive simulation; spatial adaptivity; temporal adap- tivity; GPU; high performance</t>
  </si>
  <si>
    <t xml:space="preserve">This paper applies spatial and temporal adaptivity to an existing discrete element method (DEM) based snow simulation on the GPU. For spatial adaptivity, visually significant spatial regions are identified and simulated at varying resolutions. To this end, we propose efficient splitting and merging to generate adaptive resolution while maintaining the simulation stability. We obtain further optimization by skipping computation on temporally inactive regions. In agreement with the base solver, our method also operates almost entirely on the GPU, which includes operations like activity determination, merging, and splitting of the particles. We demonstrate that a speedup of three times or more of the original non-adaptive simulation can be achieved on scenes containing about 3 million particles. We also discuss the advantages and drawbacks of our spatiotemporal optimization in different simulation scenarios.</t>
  </si>
  <si>
    <t xml:space="preserve">[Andreasson, Simon; Ostergaard, Linus; Goswami, Prashant] Blekinge Inst Technol, Karlskrona, Sweden</t>
  </si>
  <si>
    <t xml:space="preserve">Andreasson, S (corresponding author), Blekinge Inst Technol, Karlskrona, Sweden.</t>
  </si>
  <si>
    <t xml:space="preserve">sian17@student.bth.se; lios17@student.bth.se; prashant.goswami@bth.se</t>
  </si>
  <si>
    <t xml:space="preserve">2577-6193</t>
  </si>
  <si>
    <t xml:space="preserve">P ACM COMPUT GRAPH</t>
  </si>
  <si>
    <t xml:space="preserve">P. ACM Comput. Graph. Interact. Tech.</t>
  </si>
  <si>
    <t xml:space="preserve">10.1145/3675374</t>
  </si>
  <si>
    <t xml:space="preserve">E5S6N</t>
  </si>
  <si>
    <t xml:space="preserve">WOS:001303603000003</t>
  </si>
  <si>
    <t xml:space="preserve">Zhou, Y; Khatibi, S</t>
  </si>
  <si>
    <t xml:space="preserve">Zhou, Yuan; Khatibi, Siamak</t>
  </si>
  <si>
    <t xml:space="preserve">A New AI Approach by Acquisition of Characteristics in Human Decision-Making Process</t>
  </si>
  <si>
    <t xml:space="preserve">decision-making process; decision strategy; knowledge representation; artificial intelligence; data clustering</t>
  </si>
  <si>
    <t xml:space="preserve">COMMON-SENSE; UNCERTAINTY</t>
  </si>
  <si>
    <t xml:space="preserve">Planning and decision making are closely interconnected processes that often occur in tandem, influence and informing each other. Planning usually precedes decision making in the chronological sequence, and it can be viewed as a strategy to make decisions. A comprehensive planning or decision strategy can facilitate effective decisions. Thus, understanding and learning human decision-making strategies has drawn intensive attention from the AI community. For example, applying planning algorithms into reinforcement leaning (RL) can simulate the consequence of different actions and select optimal decisions based on learned models, while inverse reinforcement learning (IRL) learns a reward function and policy from expert demonstration and applies them into new scenarios. Most of these methods work based on learning human decision strategies by using modeling of a Markovian decision-making process (MDP). In this paper, we argue that the property of MDP is not fit for human decision-making processes in the real-world and it is insufficient to capture human decision strategies. To tackle this challenge, we propose a new approach to identify the characteristics of human decision-making processes as a decision map, where the decision strategy is defined by the probability distribution of human decisions that are adaptive to the dynamic changes in the environment. The proposed approach was inspired by imitation learning (IL) but with fundamental differences: (a) Instead of aiming to learn an optimal policy based on expert's demonstrations, we aimed to estimate the distribution of decisions of any group of people. (b) Instead of modeling the environment by an MDP, we used an ambiguity probability model to consider the uncertainty of each decision. (c) The participant trajectory was obtained by categorizing each decision of a participant to a certain cluster based on the commonness in the distribution of decisions. The result shows a feasible way to capture human long-term decision dependency, which provides a complement to the existing machine learning methods for understanding and learning human decision strategies.</t>
  </si>
  <si>
    <t xml:space="preserve">[Zhou, Yuan; Khatibi, Siamak] Blekinge Inst Technol, Dept Technol &amp; Aesthet, Karlskrona SE-371 79, Sweden</t>
  </si>
  <si>
    <t xml:space="preserve">Zhou, Y (corresponding author), Blekinge Inst Technol, Dept Technol &amp; Aesthet, Karlskrona SE-371 79, Sweden.</t>
  </si>
  <si>
    <t xml:space="preserve">yuan.zhou@bth.se</t>
  </si>
  <si>
    <t xml:space="preserve">Zhou, Yuan/IAR-0056-2023; Khatibi, Siamak/AAC-8824-2021</t>
  </si>
  <si>
    <t xml:space="preserve">Khatibi, Siamak/0000-0003-4327-117X; Zhou, Yuan/0000-0001-9364-5171</t>
  </si>
  <si>
    <t xml:space="preserve">Gross-peteranlage 5, CH-4052 BASEL, SWITZERLAND</t>
  </si>
  <si>
    <t xml:space="preserve">10.3390/app14135469</t>
  </si>
  <si>
    <t xml:space="preserve">YP8G6</t>
  </si>
  <si>
    <t xml:space="preserve">WOS:001269774000001</t>
  </si>
  <si>
    <t xml:space="preserve">Nyholm, J; Ghazi, AN; Ghazi, SN; Berglund, JS</t>
  </si>
  <si>
    <t xml:space="preserve">Nyholm, Joel; Ghazi, Ahmad Nauman; Ghazi, Sarah Nauman; Berglund, Johan Sanmartin</t>
  </si>
  <si>
    <t xml:space="preserve">Prediction of dementia based on older adults' sleep disturbances using machine learning</t>
  </si>
  <si>
    <t xml:space="preserve">COMPUTERS IN BIOLOGY AND MEDICINE</t>
  </si>
  <si>
    <t xml:space="preserve">Dementia; Sleep; Risk factors; Machine learning</t>
  </si>
  <si>
    <t xml:space="preserve">CLOCK DRAWING TEST; ALZHEIMERS-DISEASE; DIAGNOSIS; CLASSIFICATION; MMSE</t>
  </si>
  <si>
    <t xml:space="preserve">Background: The most common degenerative condition in older adults is dementia, which can be predicted using a number of indicators and whose progression can be slowed down. One of the indicators of an increased risk of dementia is sleep disturbances. This study aims to examine if machine learning can predict dementia and which sleep disturbance factors impact dementia. Methods: This study uses five machine learning algorithms (gradient boosting, logistic regression, gaussian naive Bayes, random forest and support vector machine) and data on the older population (60+) in Sweden from the Swedish National Study on Ageing and Care - Blekinge (n = 4175). Each algorithm uses 10-fold stratified cross -validation to obtain the results, which consist of the Brier score for checking accuracy and the feature importance for examining the factors which impact dementia. The algorithms use 16 features which are on personal and sleep disturbance factors. Results: Logistic regression found an association between dementia and sleep disturbances. However, it is slight for the features in the study. Gradient boosting was the most accurate algorithm with 92.9% accuracy, 0.926 f1 -score, 0.974 ROC AUC and 0.056 Brier score. The significant factors were different in each machine learning algorithm. If the person sleeps more than two hours during the day, their sex, education level, age, waking up during the night and if the person snores are the variables that most consistently have the highest feature importance in all algorithms. Conclusion: There is an association between sleep disturbances and dementia, which machine learning algorithms can predict. Furthermore, the risk factors for dementia are different across the algorithms, but sleep disturbances can predict dementia.</t>
  </si>
  <si>
    <t xml:space="preserve">[Nyholm, Joel] Blekinge Inst Technol, Dept Comp Sci &amp; Engn, S-37179 Karlskrona, Sweden; [Ghazi, Ahmad Nauman] Blekinge Inst Technol, Dept Software Engn, S-37179 Karlskrona, Sweden; [Ghazi, Sarah Nauman; Berglund, Johan Sanmartin] Blekinge Inst Technol, Dept Hlth, S-37179 Blekinge, Sweden</t>
  </si>
  <si>
    <t xml:space="preserve">Blekinge Institute Technology; Blekinge Institute Technology; Blekinge Institute Technology</t>
  </si>
  <si>
    <t xml:space="preserve">Ghazi, AN (corresponding author), Blekinge Inst Technol, Dept Software Engn, S-37179 Karlskrona, Sweden.</t>
  </si>
  <si>
    <t xml:space="preserve">nauman.ghazi@bth.se</t>
  </si>
  <si>
    <t xml:space="preserve">Sanmartin Berglund, Johan/HGB-0471-2022; Ghazi, Ahmad Nauman/R-1982-2016</t>
  </si>
  <si>
    <t xml:space="preserve">Berglund, Johan/0000-0003-4312-2246; Ghazi, Ahmad Nauman/0000-0001-9336-4361; Ghazi, Sarah Nauman/0000-0001-8114-8813</t>
  </si>
  <si>
    <t xml:space="preserve">0010-4825</t>
  </si>
  <si>
    <t xml:space="preserve">1879-0534</t>
  </si>
  <si>
    <t xml:space="preserve">COMPUT BIOL MED</t>
  </si>
  <si>
    <t xml:space="preserve">Comput. Biol. Med.</t>
  </si>
  <si>
    <t xml:space="preserve">10.1016/j.compbiomed.2024.108126</t>
  </si>
  <si>
    <t xml:space="preserve">FEB 2024</t>
  </si>
  <si>
    <t xml:space="preserve">Biology; Computer Science, Interdisciplinary Applications; Engineering, Biomedical; Mathematical &amp; Computational Biology</t>
  </si>
  <si>
    <t xml:space="preserve">Life Sciences &amp; Biomedicine - Other Topics; Computer Science; Engineering; Mathematical &amp; Computational Biology</t>
  </si>
  <si>
    <t xml:space="preserve">LI8Q4</t>
  </si>
  <si>
    <t xml:space="preserve">WOS:001186260500001</t>
  </si>
  <si>
    <t xml:space="preserve">Hallösta, S; Pettersson, MI; Dahl, M</t>
  </si>
  <si>
    <t xml:space="preserve">Rivera, AR; Lutchyn, T; Ricaud, B</t>
  </si>
  <si>
    <t xml:space="preserve">Hallosta, Simon; Pettersson, Mats I.; Dahl, Mattias</t>
  </si>
  <si>
    <t xml:space="preserve">Effects of Foreground Augmentations in Synthetic Training Data on the Use of UAVs for Weed Detection</t>
  </si>
  <si>
    <t xml:space="preserve">NORTHERN LIGHTS DEEP LEARNING CONFERENCE, VOL 233</t>
  </si>
  <si>
    <t xml:space="preserve">Proceedings of Machine Learning Research</t>
  </si>
  <si>
    <t xml:space="preserve">5th Northern Lights Deep Learning Conference (NLDL)</t>
  </si>
  <si>
    <t xml:space="preserve">JAN 09-11, 2024</t>
  </si>
  <si>
    <t xml:space="preserve">Univ Tromso, Tromso, NORWAY</t>
  </si>
  <si>
    <t xml:space="preserve">Univ Tromso</t>
  </si>
  <si>
    <t xml:space="preserve">This study addresses the issue of black-grass, a herbicide-resistant weed that threatens wheat yields in Western Europe, through the use of high- resolution Unmanned Aerial Vehicles (UAVs) and synthetic data augmentation in precision agriculture. We mitigate challenges such as the need for large labeled datasets and environmental variability by employing synthetic data augmentations in training a Mask R-CNN model. Using a minimal dataset of 43 black-grass and 12 wheat field images, we achieved a 37% increase in Area Under the Curve (AUC) over the non-augmented baseline, with scaling as the most effective augmentation. The best model attained a recall of 53% at a precision of 64%, offering a promising approach for future precision agriculture applications.</t>
  </si>
  <si>
    <t xml:space="preserve">[Hallosta, Simon; Pettersson, Mats I.; Dahl, Mattias] Blekinge Inst Technol, Karlskrona, Sweden</t>
  </si>
  <si>
    <t xml:space="preserve">Hallösta, S (corresponding author), Blekinge Inst Technol, Karlskrona, Sweden.</t>
  </si>
  <si>
    <t xml:space="preserve">simon.hallosta@bth.se; mats.pettersson@bth.se; mattias.dahl@bth.se</t>
  </si>
  <si>
    <t xml:space="preserve">Pettersson, Mats/N-1063-2016</t>
  </si>
  <si>
    <t xml:space="preserve">JMLR-JOURNAL MACHINE LEARNING RESEARCH</t>
  </si>
  <si>
    <t xml:space="preserve">1269 LAW ST, SAN DIEGO, CA, UNITED STATES</t>
  </si>
  <si>
    <t xml:space="preserve">2640-3498</t>
  </si>
  <si>
    <t xml:space="preserve">PR MACH LEARN RES</t>
  </si>
  <si>
    <t xml:space="preserve">BW9SU</t>
  </si>
  <si>
    <t xml:space="preserve">WOS:001221156400012</t>
  </si>
  <si>
    <t xml:space="preserve">Queueing Theoretical Performance Assessment of Mobile Virtual Reality Video Streaming</t>
  </si>
  <si>
    <t xml:space="preserve">In this paper, a mobile virtual reality (VR) video streaming system is considered and assessed. The system comprises of a VR server, a VR center offering mobile edge computing along with a buffer, and a mobile head-mounted display (HMD). Markov-modulated processes are used to model the arrival and departure traffic at the VR center and the time-varying link quality of the wireless channel to the mobile HMD. As the Markovian arrival process at the VR center is independent of the link quality variations of the wireless channel, the VR center controls the delivery of VR video packets to the mobile HMD subject to the link quality of the wireless channel. The Markov models are used to derive expressions of queueing theoretical performance measures, i.e., throughput, queueing delay, and packet loss probability. Numerical results are provided to investigate performance trade-offs for real data traces.</t>
  </si>
  <si>
    <t xml:space="preserve">Knowledge Foundation, Sweden; HINTS projects [D-nr 20170056, 20220068]</t>
  </si>
  <si>
    <t xml:space="preserve">Knowledge Foundation, Sweden; HINTS projects</t>
  </si>
  <si>
    <t xml:space="preserve">This work was co-funded by the Knowledge Foundation, Sweden, through the ViaTeell and HINTS projects (D-nr 20170056 and 20220068).</t>
  </si>
  <si>
    <t xml:space="preserve">10.1109/WoWMoM60985.2024.00064</t>
  </si>
  <si>
    <t xml:space="preserve">WOS:001289070500053</t>
  </si>
  <si>
    <t xml:space="preserve">Sällberg, H; Numminen, E</t>
  </si>
  <si>
    <t xml:space="preserve">Sallberg, Henrik; Numminen, Emil</t>
  </si>
  <si>
    <t xml:space="preserve">Critical risk factors of electric road uptake on motorways: a Swedish Delphi study</t>
  </si>
  <si>
    <t xml:space="preserve">TRANSPORTATION PLANNING AND TECHNOLOGY</t>
  </si>
  <si>
    <t xml:space="preserve">Electric road system; Risk; Delphi study; Transport; Freight; Electrification</t>
  </si>
  <si>
    <t xml:space="preserve">PUBLIC TRANSPORT; PERFORMANCE; DESIGN; TIME</t>
  </si>
  <si>
    <t xml:space="preserve">This paper presents the results of a ranking-type Delphi study on the critical risk factors for the adoption of an electric road system (e-road) for trucks on the main motorways in Sweden. The investment cost of such a system is high, necessitating an upfront evaluation of the adoption risk factors to reduce the likelihood of budget overruns and project delays. Participating Swedish e-road experts (N = 52) from the public sector, private sector, and academia identified 32 unique risk factors, which were divided into five categories. The three most critical risk factors, as ranked by the experts, were 'low expansion rate,' 'low utilization rate,' and 'lengthy public-sector evaluation.' Overall, market and financial risks were ranked as more important than institutional, technological, and sustainability risks. This study has important implications for policymakers in countries considering e-road adoption.</t>
  </si>
  <si>
    <t xml:space="preserve">[Sallberg, Henrik; Numminen, Emil] Blekinge Inst Technol, Dept Ind Econ, Karlskrona, Sweden</t>
  </si>
  <si>
    <t xml:space="preserve">Sällberg, H (corresponding author), Blekinge Inst Technol, Dept Ind Econ, Karlskrona, Sweden.</t>
  </si>
  <si>
    <t xml:space="preserve">Numminen, Emil/0000-0003-0493-7450; Sallberg, Henrik/0000-0002-9787-7620</t>
  </si>
  <si>
    <t xml:space="preserve">European Regional Development Fund; European Regional Development Fund</t>
  </si>
  <si>
    <t xml:space="preserve">European Regional Development Fund(European Union (EU)); European Regional Development Fund(European Union (EU))</t>
  </si>
  <si>
    <t xml:space="preserve">0308-1060</t>
  </si>
  <si>
    <t xml:space="preserve">1029-0354</t>
  </si>
  <si>
    <t xml:space="preserve">TRANSPORT PLAN TECHN</t>
  </si>
  <si>
    <t xml:space="preserve">Transp. Plan. Technol.</t>
  </si>
  <si>
    <t xml:space="preserve">APR 2</t>
  </si>
  <si>
    <t xml:space="preserve">10.1080/03081060.2023.2294339</t>
  </si>
  <si>
    <t xml:space="preserve">Transportation Science &amp; Technology</t>
  </si>
  <si>
    <t xml:space="preserve">Transportation</t>
  </si>
  <si>
    <t xml:space="preserve">MM7F4</t>
  </si>
  <si>
    <t xml:space="preserve">WOS:001125846300001</t>
  </si>
  <si>
    <t xml:space="preserve">Romare, C; Skär, L</t>
  </si>
  <si>
    <t xml:space="preserve">Romare, Charlotte; Skar, Lisa</t>
  </si>
  <si>
    <t xml:space="preserve">The use of smart glasses in nursing education: A scoping review</t>
  </si>
  <si>
    <t xml:space="preserve">NURSE EDUCATION IN PRACTICE</t>
  </si>
  <si>
    <t xml:space="preserve">Education; Learning; Scoping review; Smart Glasses; Students; Nursing</t>
  </si>
  <si>
    <t xml:space="preserve">GOOGLE GLASS; TECHNOLOGY</t>
  </si>
  <si>
    <t xml:space="preserve">Aim: The aim of this scoping review was to give an overview of the usability and feasibility of smart glasses in nursing education. In addition, this study will highlight nursing students' experiences of using smart glasses in learning situations.Background: Healthcare is becoming increasingly complex and technological and so is nursing education. Technology enhanced learning aims to enhance the teaching-learning process through use of technology, for example through smart glasses.Design and methods: A literature review using a scoping review methodology was conducted. Qualitative content analysis was performed to analyse data. 14 references were included in the analysis. References were found using the databases PubMed, SCOPUS and ERIC.Results: The analysis resulted in three categories; (1) Situations in which smart glasses have been used in nursing education, (2) Learning experiences from using smart glasses in nursing education, and (3) User experiences from using smart glasses in nursing education. Smart glasses were used in different learning situations and were in general positively evaluated by nursing students. Although, drawbacks of using smart glasses were noted which could negatively effect student learning.Conclusions: Smart glasses have been used in a variety of learning situations in nursing education and enabled new learning situations. Students found smart glasses beneficial for their learning and smart glasses motivated and engaged students in the learning situation. Although, this was both user- and situation dependent. Technical issues could cause students to lose focus and there is need for technical support to facilitate the learning curve. By learning from others' experiences unnecessary drawbacks can be avoided.</t>
  </si>
  <si>
    <t xml:space="preserve">[Romare, Charlotte; Skar, Lisa] Blekinge Inst Technol, Dept Hlth, S-37150 Karlskrona, Sweden</t>
  </si>
  <si>
    <t xml:space="preserve">Romare, C (corresponding author), Blekinge Inst Technol, Dept Hlth, S-37150 Karlskrona, Sweden.</t>
  </si>
  <si>
    <t xml:space="preserve">charlotte.romare@bth.se</t>
  </si>
  <si>
    <t xml:space="preserve">Romare, Charlotte/G-1756-2018</t>
  </si>
  <si>
    <t xml:space="preserve">London</t>
  </si>
  <si>
    <t xml:space="preserve">125 London Wall, London, ENGLAND</t>
  </si>
  <si>
    <t xml:space="preserve">1471-5953</t>
  </si>
  <si>
    <t xml:space="preserve">1873-5223</t>
  </si>
  <si>
    <t xml:space="preserve">NURSE EDUC PRACT</t>
  </si>
  <si>
    <t xml:space="preserve">Nurse Educ. Pract.</t>
  </si>
  <si>
    <t xml:space="preserve">10.1016/j.nepr.2023.103824</t>
  </si>
  <si>
    <t xml:space="preserve">NOV 2023</t>
  </si>
  <si>
    <t xml:space="preserve">Z0LO7</t>
  </si>
  <si>
    <t xml:space="preserve">WOS:001109087200001</t>
  </si>
  <si>
    <t xml:space="preserve">Andersson, J; Hu, Y</t>
  </si>
  <si>
    <t xml:space="preserve">Gittens, C; Hogue, A; Cannavo, A</t>
  </si>
  <si>
    <t xml:space="preserve">Andersson, Jonathan; Hu, Yan</t>
  </si>
  <si>
    <t xml:space="preserve">Exploring the Impact of Menu Systems, Interaction Methods, and Sitting or Standing Posture on User Experience in Virtual Reality</t>
  </si>
  <si>
    <t xml:space="preserve">2023 IEEE GAMING, ENTERTAINMENT, AND MEDIA CONFERENCE, GEM</t>
  </si>
  <si>
    <t xml:space="preserve">IEEE International Conference on Gaming, Entertainment, and Media (IEEE GEM)</t>
  </si>
  <si>
    <t xml:space="preserve">NOV 19-22, 2023</t>
  </si>
  <si>
    <t xml:space="preserve">Bridgetown, BARBADOS</t>
  </si>
  <si>
    <t xml:space="preserve">IEEE,IEEE Consumer Technol Soc</t>
  </si>
  <si>
    <t xml:space="preserve">Virtual Reality; User Interface; User Experience; Controls; Simulator Sickness</t>
  </si>
  <si>
    <t xml:space="preserve">Virtual Reality (VR) has become an increasingly crucial aspect in both commercial and industrial settings. However, the user experience of the user interfaces and interaction methods in the VR environment is often overlooked. This paper aims to explore different menu systems, interaction methods, and the user's sitting or standing posture on user experience and cybersickness in VR applications. An experiment with two menu systems and two interaction methods in an implemented VR application was conducted with 20 participants. The results found that traditional, top-down, panel menus with motion controls are the best combination regarding the user experience. Sitting posture provides less severe simulator sickness symptoms than standing.</t>
  </si>
  <si>
    <t xml:space="preserve">[Andersson, Jonathan; Hu, Yan] Blekinge Inst Technol, Dept Comp Sci, Karlskrona, Sweden</t>
  </si>
  <si>
    <t xml:space="preserve">Andersson, J (corresponding author), Blekinge Inst Technol, Dept Comp Sci, Karlskrona, Sweden.</t>
  </si>
  <si>
    <t xml:space="preserve">jobv18@student.bth.se; yan.hu@bth.se</t>
  </si>
  <si>
    <t xml:space="preserve">979-8-3503-1540-0</t>
  </si>
  <si>
    <t xml:space="preserve">10.1109/GEM59776.2023.10390210</t>
  </si>
  <si>
    <t xml:space="preserve">Computer Science, Information Systems; Computer Science, Interdisciplinary Applications</t>
  </si>
  <si>
    <t xml:space="preserve">BW5RE</t>
  </si>
  <si>
    <t xml:space="preserve">WOS:001166570300014</t>
  </si>
  <si>
    <t xml:space="preserve">Nasir, U</t>
  </si>
  <si>
    <t xml:space="preserve">Nasir, Usman</t>
  </si>
  <si>
    <t xml:space="preserve">Using Architectural Kata in Software Architecture Course: An Experience Report</t>
  </si>
  <si>
    <t xml:space="preserve">PROCEEDINGS OF THE 5TH EUROPEAN CONFERENCE ON SOFTWARE ENGINEERING EDUCATION, ECSEE 2023</t>
  </si>
  <si>
    <t xml:space="preserve">5th European Conference on Software Engineering Education (ECSEE)</t>
  </si>
  <si>
    <t xml:space="preserve">JUN 19-21, 2023</t>
  </si>
  <si>
    <t xml:space="preserve">Seeon Monastery, GERMANY</t>
  </si>
  <si>
    <t xml:space="preserve">Architectural Kata; Active Learning; Experience Report; Designing Software Architectures</t>
  </si>
  <si>
    <t xml:space="preserve">Software Architecture Courses in Software Engineering curricula often involve project-based group assignments where students have to design and document software architectures and evaluate other architectures. This paper presents the design and implementation of the Architectural Kata workshop conducted in the Software Architecture course as a group exercise to teach designing, documenting, and evaluating software architecture. Feedback on the workshop was collected from students using a survey questionnaire after the conclusion of the course. The results showed that besides acquiring skills to design and evaluate architectural designs, the workshop also supported skills to identify non-functional requirements, elaborate assumptions, and collaborate with their peers. Observations and lessons learned from the workshop about students' feedback, planning, and workshop moderation are shared. Possible future improvements are also suggested.</t>
  </si>
  <si>
    <t xml:space="preserve">[Nasir, Usman] Blekinge Inst Technol, Karlskrona, Sweden</t>
  </si>
  <si>
    <t xml:space="preserve">Nasir, U (corresponding author), Blekinge Inst Technol, Karlskrona, Sweden.</t>
  </si>
  <si>
    <t xml:space="preserve">usman.nasir@bth.se</t>
  </si>
  <si>
    <t xml:space="preserve">Nasir, Usman/0009-0005-4340-8641</t>
  </si>
  <si>
    <t xml:space="preserve">Education Development Unit at Blekinge Institute of Technology, Sweden</t>
  </si>
  <si>
    <t xml:space="preserve">I would thank Muhammad Usman for reviewing an earlier version of the manuscript. This work has been partially funded by Education Development Unit at Blekinge Institute of Technology, Sweden.</t>
  </si>
  <si>
    <t xml:space="preserve">978-1-4503-9956-2</t>
  </si>
  <si>
    <t xml:space="preserve">10.1145/3593663.3593694</t>
  </si>
  <si>
    <t xml:space="preserve">Computer Science, Software Engineering; Computer Science, Theory &amp; Methods; Education, Scientific Disciplines</t>
  </si>
  <si>
    <t xml:space="preserve">BW2RW</t>
  </si>
  <si>
    <t xml:space="preserve">Bronze, Green Published</t>
  </si>
  <si>
    <t xml:space="preserve">WOS:001124146500028</t>
  </si>
  <si>
    <t xml:space="preserve">Numminen, E; Sällberg, H; Wang, SJ</t>
  </si>
  <si>
    <t xml:space="preserve">Numminen, Emil; Sallberg, Henrik; Wang, Shujun</t>
  </si>
  <si>
    <t xml:space="preserve">The impact of app revenue model choices for app revenues: A study of apps since their initial App Store launch</t>
  </si>
  <si>
    <t xml:space="preserve">ECONOMIC ANALYSIS AND POLICY</t>
  </si>
  <si>
    <t xml:space="preserve">Mobile app; Revenue model; App revenue; Apple's App Store; New release app</t>
  </si>
  <si>
    <t xml:space="preserve">MOBILE; MARKET; PERFORMANCE; MONETIZATION; CUSTOMERS; CONSUMERS; DECISION; BEHAVIOR; FEE</t>
  </si>
  <si>
    <t xml:space="preserve">When launching a new app in one of the major app stores, the developer must decide how to generate revenues from that app. The decision includes whether to charge an upfront payment from the customer or make it free to download and whether to include in-app payments. In this study, we analysed the effect of these decisions on the amount of revenue an app generates and if it differs for gaming (hedonic value-orientation) and productivity (utilitarian value-orientation) apps. To analyse this effect, we used approximately two years of mobile app panel data from 330 newly launched US Apple App Store gaming and productivity apps. Based on random effects regression analysis, we report that free downloads combined with in-app payments are superior in revenue generation for gaming apps. By contrast, for productivity apps, relying only on either upfront payment for the app or on in-app payments generates the highest revenues. For gaming app developers, offering free to download apps is thus recommended. For productivity app developers, charging for either downloading or in-app features is more successful. This study complements existing literature by investigating revenue generation of new apps and the performance effect of specific revenue model options that developers must make in app store settings. (c) 2022 Economic Society of Australia, Queensland. Published by Elsevier B.V. This is an open access article under the CC BY license (http://creativecommons.org/licenses/by/4.0/).</t>
  </si>
  <si>
    <t xml:space="preserve">[Numminen, Emil; Sallberg, Henrik; Wang, Shujun] Blekinge Inst Technol, Dept Ind Econ, Karlskrona, Sweden</t>
  </si>
  <si>
    <t xml:space="preserve">Wang, SJ (corresponding author), Blekinge Inst Technol, S-37179 Karlskrona, Sweden.</t>
  </si>
  <si>
    <t xml:space="preserve">Wang, Shujun/0000-0002-7928-2607; Sallberg, Henrik/0000-0002-9787-7620</t>
  </si>
  <si>
    <t xml:space="preserve">0313-5926</t>
  </si>
  <si>
    <t xml:space="preserve">ECON ANAL POLICY</t>
  </si>
  <si>
    <t xml:space="preserve">Econ. Anal. Policy</t>
  </si>
  <si>
    <t xml:space="preserve">10.1016/j.eap.2022.08.010</t>
  </si>
  <si>
    <t xml:space="preserve">SEP 2022</t>
  </si>
  <si>
    <t xml:space="preserve">Economics</t>
  </si>
  <si>
    <t xml:space="preserve">5B1GU</t>
  </si>
  <si>
    <t xml:space="preserve">WOS:000863324500005</t>
  </si>
  <si>
    <t xml:space="preserve">Tran, HKV; Börstler, J; bin Ali, N; Unterkalmsteiner, M</t>
  </si>
  <si>
    <t xml:space="preserve">Tran, Huynh Khanh Vi; Borstler, Jurgen; bin Ali, Nauman; Unterkalmsteiner, Michael</t>
  </si>
  <si>
    <t xml:space="preserve">How good are my search strings? Reflections on using an existing review as a quasi-gold standard</t>
  </si>
  <si>
    <t xml:space="preserve">search string construction; automated search validation; quasi-gold standard; systematic literature review; systematic mapping study</t>
  </si>
  <si>
    <t xml:space="preserve">SYSTEMATIC LITERATURE-REVIEWS; RELIABILITY</t>
  </si>
  <si>
    <t xml:space="preserve">Background: Systematic literature studies (SLS) have become a core research methodology in Evidence-based Software Engineering (EBSE). Search completeness, i.e., finding all relevant papers on the topic of interest, has been recognized as one of the most commonly discussed validity issues of SLSs. Aim: This study aims at raising awareness on the issues related to search string construction and on search validation using a quasi-gold standard (QGS). Furthermore, we aim at providing guidelines for search string validation. Method: We use a recently completed tertiary study as a case and complement our findings with the observations from other researchers studying and advancing EBSE. Results: We found that the issue of assessing QGS quality has not seen much attention in the literature, and the validation of automated searches in SLSs could be improved. Hence, we propose to extend the current search validation approach by the additional analysis step of the automated search validation results and provide recommendations for the QGS construction. Conclusion: In this paper, we report on new issues which could affect search completeness in SLSs. Furthermore, the proposed guideline and recommendations could help researchers implement a more reliable search strategy in their SLSs.</t>
  </si>
  <si>
    <t xml:space="preserve">[Tran, Huynh Khanh Vi; Borstler, Jurgen; bin Ali, Nauman; Unterkalmsteiner, Michael] Blekinge Inst Technol, Dept Software Engn, SE-37179 Karlskrona, Sweden</t>
  </si>
  <si>
    <t xml:space="preserve">Tran, HKV (corresponding author), Blekinge Inst Technol, Dept Software Engn, SE-37179 Karlskrona, Sweden.</t>
  </si>
  <si>
    <t xml:space="preserve">huynh.khanh.vi.tran@bth.se; jurgen.borstler@bth.se; nauman.ali@bth.se; michael.unterkalmsteiner@bth.se</t>
  </si>
  <si>
    <t xml:space="preserve">Ali, Nauman bin/0000-0001-7266-5632; Borstler, Jurgen/0000-0003-0639-4234</t>
  </si>
  <si>
    <t xml:space="preserve">ELLIIT - Swedish Government; VITS project from the Knowledge Foundation in Sweden [20180127]</t>
  </si>
  <si>
    <t xml:space="preserve">ELLIIT - Swedish Government; VITS project from the Knowledge Foundation in Sweden</t>
  </si>
  <si>
    <t xml:space="preserve">This work has been supported by ELLIIT, a Strategic Area within IT and Mobile Communications, funded by the Swedish Government. The work has also been supported by research grant for the VITS project (reference number 20180127) from the Knowledge Foundation in Sweden.</t>
  </si>
  <si>
    <t xml:space="preserve">10.37190/e-Inf220103</t>
  </si>
  <si>
    <t xml:space="preserve">XT7ES</t>
  </si>
  <si>
    <t xml:space="preserve">WOS:000733746700001</t>
  </si>
  <si>
    <t xml:space="preserve">Understanding the perceived relevance of capability measures: A survey of Agile Software Development practitioners</t>
  </si>
  <si>
    <t xml:space="preserve">JOURNAL OF SYSTEMS AND SOFTWARE</t>
  </si>
  <si>
    <t xml:space="preserve">Individual capability; Team capability; Capability measurement; Agile team formation; Survey; Agile Software Development</t>
  </si>
  <si>
    <t xml:space="preserve">TESTING PRACTICES; TEAM; QUALITY; PERFORMANCE; EXPERIENCE; PERCEPTIONS; COMPETENCE; PREDICTORS; IMMIGRANTS; SUCCESS</t>
  </si>
  <si>
    <t xml:space="preserve">Context: In the light of the swift and iterative nature of Agile Software Development (ASD) practices, establishing deeper insights into capability measurement within the context of team formation is crucial, as the capability of individuals and teams can affect team performance and productivity Although a former Systematic Literature Review (SLR) synthesized the state of the art in relation to capability measurement in ASD - with a focus on selecting individuals to agile teams, and capabilities related to team performance, productivity and success determining to what degree the SLR's results apply to practice can provide progressive insights to both research and practice. Objective: Our study investigates how agile practitioners perceive the relevance of individual and team level measures for characterizing the capability of an agile team and its members. Here, the emphasis was also on selecting individuals to agile teams, and capabilities associated with effective teams in terms of their performance, productivity and success. Furthermore, to scrutinize variations in practitioners' perceptions, our study further analyzes perceptions across stratified demographic groups. Method: We undertook a Web-based survey using a questionnaire built based on the capability measures identified from a previously conducted SLR. Results: Our survey responses (60) indicate that 127 individual and 28 team capability measures were considered as relevant by the majority of practitioners. We also identified seven individual and one team capability measure that have not been previously characterized by our SLR. The surveyed practitioners suggested that an agile team member's responsibility and questioning skills significantly represent the member's capability. Conclusion: Results from our survey align with our SLR's findings. Measures associated with social aspects were observed to be dominant compared to technical and innovative aspects. Our results can support agile practitioners in their team composition decisions. (C) 2021 Elsevier Inc. All rights reserved.</t>
  </si>
  <si>
    <t xml:space="preserve">[Vishnubhotla, Sai Datta; Mendes, Emilia; Lundberg, Lars] BTH Blekinge Tekniska Hgsk, Dept Comp Sci, Karlskrona, Sweden</t>
  </si>
  <si>
    <t xml:space="preserve">Vishnubhotla, SD (corresponding author), BTH Blekinge Tekniska Hgsk, Dept Comp Sci, Karlskrona, Sweden.</t>
  </si>
  <si>
    <t xml:space="preserve">sai-datta.vishnubhotla@bth.se; emilia.mendes@bth.se; lars.lundberg@bth.se</t>
  </si>
  <si>
    <t xml:space="preserve">Mendes, Maria/B-4207-2015; Vishnubhotla, Sai/AAF-8950-2021</t>
  </si>
  <si>
    <t xml:space="preserve">Mendes, Emilia/0000-0003-0449-5322</t>
  </si>
  <si>
    <t xml:space="preserve">KK-stiftelsen-HoG AgileSec research project, Sweden</t>
  </si>
  <si>
    <t xml:space="preserve">We would like to thank all those who participated in our survey. This research was partially funded by the KK-stiftelsen-HoG AgileSec research project, Sweden.</t>
  </si>
  <si>
    <t xml:space="preserve">ELSEVIER SCIENCE INC</t>
  </si>
  <si>
    <t xml:space="preserve">STE 800, 230 PARK AVE, NEW YORK, NY 10169 USA</t>
  </si>
  <si>
    <t xml:space="preserve">0164-1212</t>
  </si>
  <si>
    <t xml:space="preserve">1873-1228</t>
  </si>
  <si>
    <t xml:space="preserve">J SYST SOFTWARE</t>
  </si>
  <si>
    <t xml:space="preserve">J. Syst. Softw.</t>
  </si>
  <si>
    <t xml:space="preserve">10.1016/j.jss.2021.111013</t>
  </si>
  <si>
    <t xml:space="preserve">TT0TS</t>
  </si>
  <si>
    <t xml:space="preserve">WOS:000680064900015</t>
  </si>
  <si>
    <t xml:space="preserve">Silvander, J; Wnuk, K; Svahnberg, M</t>
  </si>
  <si>
    <t xml:space="preserve">Silvander, Johan; Wnuk, Krzysztof; Svahnberg, Mikael</t>
  </si>
  <si>
    <t xml:space="preserve">Systematic literature review on intent-driven systems</t>
  </si>
  <si>
    <t xml:space="preserve">IET SOFTWARE</t>
  </si>
  <si>
    <t xml:space="preserve">user interfaces; groupware; software architecture; software agents; intent-driven system; human actors; machine actors; computer processing; actor interaction</t>
  </si>
  <si>
    <t xml:space="preserve">DECISION-MAKING; SUPPORT; NEGOTIATION; FRAMEWORK; AGENTS; MODEL</t>
  </si>
  <si>
    <t xml:space="preserve">An intent-driven system is a compositional system of human actors and machine actors. The aim of intent-driven systems is to capture stakeholders' intents and transform these into a form that enables computer processing of the intents. Only then are different machine actors able to negotiate with each other on behalf of their respective stakeholders and their intents, and suggest a mutually beneficial collaboration. The aim is to find existing methods/techniques which could be used as building blocks to construct intent-driven systems. This is used to provide insight into what is needed to enable intent-driven systems with the help of these methods/techniques. As a part of a design science study, a Systematic Literature Review is conducted. The existences of methods/techniques which can be used as building blocks to construct intent-driven systems exist in the literature. How these methods/techniques can interact in order to enable realisations of intent-driven systems is not evident in the existing literature. The synthesis shows a need for further research regarding the semantic interchange of information, actor interaction in intent-driven systems, and the governance of intent-driven systems.</t>
  </si>
  <si>
    <t xml:space="preserve">[Silvander, Johan; Wnuk, Krzysztof; Svahnberg, Mikael] Blekinge Inst Technol, Software Engn Res Lab Sweden, Karlskrona, Sweden</t>
  </si>
  <si>
    <t xml:space="preserve">1751-8806</t>
  </si>
  <si>
    <t xml:space="preserve">1751-8814</t>
  </si>
  <si>
    <t xml:space="preserve">IET SOFTW</t>
  </si>
  <si>
    <t xml:space="preserve">IET Softw.</t>
  </si>
  <si>
    <t xml:space="preserve">10.1049/iet-sen.2018.5338</t>
  </si>
  <si>
    <t xml:space="preserve">OP9QA</t>
  </si>
  <si>
    <t xml:space="preserve">WOS:000588424400003</t>
  </si>
  <si>
    <t xml:space="preserve">Boeva, V; Nordahl, C</t>
  </si>
  <si>
    <t xml:space="preserve">Cellier, P; Driessens, K</t>
  </si>
  <si>
    <t xml:space="preserve">Boeva, Veselka; Nordahl, Christian</t>
  </si>
  <si>
    <t xml:space="preserve">Modeling Evolving User Behavior via Sequential Clustering</t>
  </si>
  <si>
    <t xml:space="preserve">MACHINE LEARNING AND KNOWLEDGE DISCOVERY IN DATABASES, ECML PKDD 2019, PT II</t>
  </si>
  <si>
    <t xml:space="preserve">European Conference on Machine Learning and Principles and Practice of Knowledge Discovery in Databases (ECML PKDD)</t>
  </si>
  <si>
    <t xml:space="preserve">SEP 16-20, 2019</t>
  </si>
  <si>
    <t xml:space="preserve">Wurzburg, GERMANY</t>
  </si>
  <si>
    <t xml:space="preserve">Bosch,Fraunhofer IAIS,Huawei,ASML,IBM Res,NEC,Kreditech,McKinsey &amp; Co,KNIME,European Res Ctr Informat Syst,Odgers Berndtson,Springer,Vogel Stiftung,German Res Fdn</t>
  </si>
  <si>
    <t xml:space="preserve">Behavior modeling; Clustering evolution; Data mining; Sequential clustering; Household electricity consumption data</t>
  </si>
  <si>
    <t xml:space="preserve">VALIDATION</t>
  </si>
  <si>
    <t xml:space="preserve">In this paper we address the problem of modeling the evolution of clusters over time by applying sequential clustering. We propose a sequential partitioning algorithm that can be applied for grouping distinct snapshots of streaming data so that a clustering model is built on each data snapshot. The algorithm is initialized by a clustering solution built on available historical data. Then a new clustering solution is generated on each data snapshot by applying a partitioning algorithm seeded with the centroids of the clustering model obtained at the previous time interval. At each step the algorithm also conducts model adapting operations in order to reflect the evolution in the clustering structure. In that way, it enables to deal with both incremental and dynamic aspects of modeling evolving behavior problems. In addition, the proposed approach is able to trace back evolution through the detection of clusters' transitions, such as splits and merges. We have illustrated and initially evaluated our ideas on household electricity consumption data. The results have shown that the proposed sequential clustering algorithm is robust to modeling evolving behavior by being enable to mine changes and update the model, respectively.</t>
  </si>
  <si>
    <t xml:space="preserve">[Boeva, Veselka; Nordahl, Christian] Blekinge Inst Technol, S-37179 Karlskrona, Sweden</t>
  </si>
  <si>
    <t xml:space="preserve">Boeva, V (corresponding author), Blekinge Inst Technol, S-37179 Karlskrona, Sweden.</t>
  </si>
  <si>
    <t xml:space="preserve">veselka.boeva@bth.se; christian.nordahl@bth.se</t>
  </si>
  <si>
    <t xml:space="preserve">Nordahl, Christian/E-3483-2017; Boeva, Veselka/IAP-9371-2023</t>
  </si>
  <si>
    <t xml:space="preserve">This work is part of the research project Scalable resource efficient systems for big data analytics funded by the Knowledge Foundation (grant: 20140032) in Sweden.</t>
  </si>
  <si>
    <t xml:space="preserve">978-3-030-43887-6; 978-3-030-43886-9</t>
  </si>
  <si>
    <t xml:space="preserve">10.1007/978-3-030-43887-6_2</t>
  </si>
  <si>
    <t xml:space="preserve">Computer Science, Artificial Intelligence; Computer Science, Information Systems; Computer Science, Interdisciplinary Applications</t>
  </si>
  <si>
    <t xml:space="preserve">BS4EU</t>
  </si>
  <si>
    <t xml:space="preserve">WOS:000718590300002</t>
  </si>
  <si>
    <t xml:space="preserve">Lundberg, L; Boldt, M; Borg, A; Grahn, H</t>
  </si>
  <si>
    <t xml:space="preserve">Lundberg, Lars; Boldt, Martin; Borg, Anton; Grahn, Hakan</t>
  </si>
  <si>
    <t xml:space="preserve">Bibliometric Mining of Research Trends in Machine Learning</t>
  </si>
  <si>
    <t xml:space="preserve">AI</t>
  </si>
  <si>
    <t xml:space="preserve">bibliometrics; geographic regions; machine learning; research directions; research trends; Scopus database</t>
  </si>
  <si>
    <t xml:space="preserve">REVIEWS; SYSTEM</t>
  </si>
  <si>
    <t xml:space="preserve">We present a method, including tool support, for bibliometric mining of trends in large and dynamic research areas. The method is applied to the machine learning research area for the years 2013 to 2022. A total number of 398,782 documents from Scopus were analyzed. A taxonomy containing 26 research directions within machine learning was defined by four experts with the help of a Python program and existing taxonomies. The trends in terms of productivity, growth rate, and citations were analyzed for the research directions in the taxonomy. Our results show that the two directions, Applications and Algorithms, are the largest, and that the direction Convolutional Neural Networks is the one that grows the fastest and has the highest average number of citations per document. It also turns out that there is a clear correlation between the growth rate and the average number of citations per document, i.e., documents in fast-growing research directions have more citations. The trends for machine learning research in four geographic regions (North America, Europe, the BRICS countries, and The Rest of the World) were also analyzed. The number of documents during the time period considered is approximately the same for all regions. BRICS has the highest growth rate, and, on average, North America has the highest number of citations per document. Using our tool and method, we expect that one could perform a similar study in some other large and dynamic research area in a relatively short time.</t>
  </si>
  <si>
    <t xml:space="preserve">[Lundberg, Lars; Boldt, Martin; Borg, Anton; Grahn, Hakan] Blekinge Inst Technol, Dept Comp Sci, S-37179 Karlskrona, Sweden</t>
  </si>
  <si>
    <t xml:space="preserve">lars.lundberg@bth.se; martin.boldt@bth.se; anton.borg@bth.se; hakan.grahn@bth.se</t>
  </si>
  <si>
    <t xml:space="preserve">Borg, Anton/AAS-4475-2021; Boldt, Martin/J-4958-2019; Grahn, Håkan/G-9720-2011</t>
  </si>
  <si>
    <t xml:space="preserve">Boldt, Martin/0000-0002-9316-4842; Borg, Anton/0000-0002-8929-7220</t>
  </si>
  <si>
    <t xml:space="preserve">Knowledge Foundation in Sweden through the project Green Clouds-Load prediction and optimization in private cloud systems</t>
  </si>
  <si>
    <t xml:space="preserve">2673-2688</t>
  </si>
  <si>
    <t xml:space="preserve">AI-BASEL</t>
  </si>
  <si>
    <t xml:space="preserve">10.3390/ai5010012</t>
  </si>
  <si>
    <t xml:space="preserve">Computer Science, Artificial Intelligence; Computer Science, Interdisciplinary Applications</t>
  </si>
  <si>
    <t xml:space="preserve">MC8C2</t>
  </si>
  <si>
    <t xml:space="preserve">WOS:001191509100001</t>
  </si>
  <si>
    <t xml:space="preserve">Bibliometric Mining of Research Trends for Smart Cities</t>
  </si>
  <si>
    <t xml:space="preserve">2024 IEEE INTERNATIONAL CONFERENCE ON SMART COMPUTING, SMARTCOMP 2024</t>
  </si>
  <si>
    <t xml:space="preserve">International Conference on Smart Computing</t>
  </si>
  <si>
    <t xml:space="preserve">International Conference on Smart Computing (SMARTCOMP)</t>
  </si>
  <si>
    <t xml:space="preserve">JUN 29-JUL 02, 2024</t>
  </si>
  <si>
    <t xml:space="preserve">Osaka, JAPAN</t>
  </si>
  <si>
    <t xml:space="preserve">smart cities; bibliometric study; Scopus; trends; research directions; geographic distribution</t>
  </si>
  <si>
    <t xml:space="preserve">Using a novel method and tool in the form of a Python program, we present a bibliometric study based oil 46,937 documents related to smart cities from the Scopus database. The study identifies important research directions and trends during the time period 2014 to 2023. We also present the growth of smart city research for five geographic regions. Citation analysis for research directions and regions is also performed. The results show that smart city research in general stopped growing around 2019. However, some research directions are still growing, e.g., smart city research related to machine learning and AI. India is the only geographic region where smart city research still is growing. We also see that the number of citations of a smart city document from North America is on average a factor 3.74 larger than the number of citations to a document from India.</t>
  </si>
  <si>
    <t xml:space="preserve">[Lundberg, Lars] Blekinge Inst Technol, Dept Comp Sci, S-37179 Karlskrona, Sweden</t>
  </si>
  <si>
    <t xml:space="preserve">2693-8332</t>
  </si>
  <si>
    <t xml:space="preserve">979-8-3503-4995-5; 979-8-3503-4994-8</t>
  </si>
  <si>
    <t xml:space="preserve">Inter Confer on Smar</t>
  </si>
  <si>
    <t xml:space="preserve">10.1109/SMARTCOMP61445.2024.00068</t>
  </si>
  <si>
    <t xml:space="preserve">BX3TJ</t>
  </si>
  <si>
    <t xml:space="preserve">WOS:001284744200060</t>
  </si>
  <si>
    <t xml:space="preserve">Melén, CT; Watz, M</t>
  </si>
  <si>
    <t xml:space="preserve">Melen, Carl Toller; Watz, Matilda</t>
  </si>
  <si>
    <t xml:space="preserve">Collaborative Value Exploration for Early Product-Service Systems Design: A Group Model Building Approach</t>
  </si>
  <si>
    <t xml:space="preserve">Product-Service Systems; Group Model Building; Value Exploration; Action Research</t>
  </si>
  <si>
    <t xml:space="preserve">As manufacturing firms move from pure product-based business models toward Product-Service Systems offerings, value creation becomes more complex and requires more active cross-disciplinary collaboration. Especially nonfunctional values, those connected to the overall PSS behavior, depend on the successful alignment and coordination between perspectives. However, understanding the value creation itself, particularly among different departments or stakeholders, can be challenging. This paper conceptualizes a value model and a method based on Group Model Building to support value exploration of non-functional design objectives in early-stage Product-Service System design. The value model is constructed based on three layers of granularity to visualize how value is created holistically. Further, the proposed method allows participants to jointly explore and identify design objectives and put these in the context of value. The method and model were tested at two companies, showing that the proposed method and model successfully supported a collaborative value exploration in the non-functional domain.</t>
  </si>
  <si>
    <t xml:space="preserve">[Melen, Carl Toller; Watz, Matilda] Blekinge Inst Technol, Karlskrona, Sweden</t>
  </si>
  <si>
    <t xml:space="preserve">Melén, CT (corresponding author), Blekinge Inst Technol, Karlskrona, Sweden.</t>
  </si>
  <si>
    <t xml:space="preserve">carl.toller.melen@bth.se</t>
  </si>
  <si>
    <t xml:space="preserve">Toller Melen, Carl Nils Konrad/0000-0002-2579-2310; Sandgren Watz, Matilda/0000-0003-0813-3193</t>
  </si>
  <si>
    <t xml:space="preserve">Swedish Knowledge and Competence Development Foundation (Stiftelsen for kunskaps-och kompetensutveckling) through the Model Driven Development and Decision Support research profile at Blekinge Institute of Technology</t>
  </si>
  <si>
    <t xml:space="preserve">The research leading to these results has received financial support from the Swedish Knowledge and Competence Development Foundation (Stiftelsen for kunskaps-och kompetensutveckling) through the Model Driven Development and Decision Support research profile at Blekinge Institute of Technology.</t>
  </si>
  <si>
    <t xml:space="preserve">10.1007/978-3-031-42622-3_17</t>
  </si>
  <si>
    <t xml:space="preserve">WOS:001359444600017</t>
  </si>
  <si>
    <t xml:space="preserve">Fossung, GA; Vovas, VC; Quoreshi, AMMS</t>
  </si>
  <si>
    <t xml:space="preserve">Fossung, Gerard Atabong; Vovas, Vasileios Chatzis; Quoreshi, A. M. M. Shahiduzzaman</t>
  </si>
  <si>
    <t xml:space="preserve">Impact of Geopolitical Risk on the Information Technology, Communication Services and Consumer Staples Sectors of the S&amp;P 500 Index</t>
  </si>
  <si>
    <t xml:space="preserve">JOURNAL OF RISK AND FINANCIAL MANAGEMENT</t>
  </si>
  <si>
    <t xml:space="preserve">geopolitical risk; event study; S&amp;P 500 index; information technology; communication services; consumer staples</t>
  </si>
  <si>
    <t xml:space="preserve">US TRADE WAR; STOCK RETURNS; CRUDE-OIL; MARKET; EVENT; CRISIS; ACQUISITIONS; MERGERS; JAPAN; FOOD</t>
  </si>
  <si>
    <t xml:space="preserve">We investigate the effect of geopolitical risk on the returns of firms in the Information Technology, Communication Services, and Consumer Staples sectors within the S &amp; P 500 index. We use the event study methodology and perform more than 17,000 regressions to provide empirical evidence at sector level that geopolitical risk leads to different responses across these three sectors. The response of the Information Technology sector is negative for all event windows under study, except the one spanning 10 days prior to the geopolitical event and 10 days after. The Communication Services sector has positive returns as a result of geopolitical events for all event windows, except the one from the geopolitical event date and 5 days after. The Consumer Staples sector shows a negative impact on geopolitical risk for all event windows except the one from the geopolitical event date and 5 days after, demonstrating a negative correlation to the Communication Services sector.</t>
  </si>
  <si>
    <t xml:space="preserve">[Fossung, Gerard Atabong; Vovas, Vasileios Chatzis; Quoreshi, A. M. M. Shahiduzzaman] Blekinge Inst Technol, Dept Ind Econ, S-37141 Karlskrona, Sweden</t>
  </si>
  <si>
    <t xml:space="preserve">Quoreshi, AMMS (corresponding author), Blekinge Inst Technol, Dept Ind Econ, S-37141 Karlskrona, Sweden.</t>
  </si>
  <si>
    <t xml:space="preserve">gerard.fossung@gmail.com; vasileios.chatzis.vovas@outlook.com; shahiduzzaman.quoreshi@bth.se</t>
  </si>
  <si>
    <t xml:space="preserve">Quoreshi, Shahiduzzaman/AAE-1768-2019</t>
  </si>
  <si>
    <t xml:space="preserve">Quoreshi, Shahiduzzaman/0000-0002-7277-9151</t>
  </si>
  <si>
    <t xml:space="preserve">1911-8066</t>
  </si>
  <si>
    <t xml:space="preserve">1911-8074</t>
  </si>
  <si>
    <t xml:space="preserve">J RISK FINANC MANAG</t>
  </si>
  <si>
    <t xml:space="preserve">J. Risk Financ. Manag.</t>
  </si>
  <si>
    <t xml:space="preserve">10.3390/jrfm14110552</t>
  </si>
  <si>
    <t xml:space="preserve">Business, Finance</t>
  </si>
  <si>
    <t xml:space="preserve">XJ8ZY</t>
  </si>
  <si>
    <t xml:space="preserve">WOS:000727069900001</t>
  </si>
  <si>
    <t xml:space="preserve">Martinkauppi, LB; He, QP; Ilie, D</t>
  </si>
  <si>
    <t xml:space="preserve">Martinkauppi, Louise Bergman; He, Qiuping; Ilie, Dragos</t>
  </si>
  <si>
    <t xml:space="preserve">On the Design and Performance of Chinese OSCCA-approved Cryptographic Algorithms</t>
  </si>
  <si>
    <t xml:space="preserve">SM2, SM3, and SM4 are cryptographic standards authorized to be used in China. To comply with Chinese cryptography laws, standard cryptographic algorithms in products targeting the Chinese market may need to be replaced with the algorithms mentioned above. It is important to know beforehand if the replaced algorithms impact performance. Bad performance may degrade user experience and increase future system costs. We present a performance study of the standard cryptographic algorithms (RSA, ECDSA, SHA-256, and AES-128) and corresponding Chinese cryptographic algorithms. Our results indicate that the digital signature algorithms SM2 and ECDSA have similar design and also similar performance. SM2 and RSA have fundamentally different designs. SM2 performs better than RSA when generating keys and signatures. Hash algorithms SM3 and SHA-256 have many design similarities, but SHA-256 performs slightly better than SM3. AES-128 and SM4 share some similarities in the design. In the controlled experiment, AES-128 outperforms SM4 with a significant margin.</t>
  </si>
  <si>
    <t xml:space="preserve">[Martinkauppi, Louise Bergman; He, Qiuping; Ilie, Dragos] Blekinge Inst Technol BTH, Dept Comp Sci, Karlskrona, Sweden</t>
  </si>
  <si>
    <t xml:space="preserve">Martinkauppi, LB (corresponding author), Blekinge Inst Technol BTH, Dept Comp Sci, Karlskrona, Sweden.</t>
  </si>
  <si>
    <t xml:space="preserve">louisemartinkauppi@hotmail.com; ping95_@hotmail.com; dragos.ilie@bth.se</t>
  </si>
  <si>
    <t xml:space="preserve">Ilie, Dragos/AHE-6100-2022</t>
  </si>
  <si>
    <t xml:space="preserve">10.1109/comm48946.2020.9142035</t>
  </si>
  <si>
    <t xml:space="preserve">WOS:000612723900021</t>
  </si>
  <si>
    <t xml:space="preserve">Institutional Traits in an African Residence for Older Adults: An Obstacle to Community Care?</t>
  </si>
  <si>
    <t xml:space="preserve">African older adults; institution; residential care; community service; independent living</t>
  </si>
  <si>
    <t xml:space="preserve">HOME</t>
  </si>
  <si>
    <t xml:space="preserve">This ethnographic study explores an old age home in a former township in Walvis Bay, Namibia as an institution to investigate its potential to be interwoven in community care services for older adults. Interviews with older adults from the community revealed highly negative opinions about the residence that equated it to an institution. These opinions are compared with conditions in the OAH and the residents' views. The old age home was much more heterogenous as regards the composition of residents than what was perceived by older adults who lived in the community, who considered the home an option only for people who were childless or had been abandoned. Older adults who voluntarily lived alone in the home represented a new lifestyle that challenged the traditional family care practice that is the norm in later life. There was however some truth to the interviewees' perceptions of coercive elements, both in terms of practices and architectural design. The paper argues that it is necessary to reduce the stigma that prevents residential care from being an accepted part of community care and a housing option in the future. The study result shows a number of potentialities that can contribute to this.</t>
  </si>
  <si>
    <t xml:space="preserve">[Nord, Catharina] Blekinge Inst Technol, BTH, Dept Spatial Planning, Architect SAR MSA, Karlskrona, Sweden; [Nord, Catharina] Blekinge Inst Technol, BTH, Dept Spatial Planning, Architect SAR MSA, S-37179 Karlskrona, Sweden</t>
  </si>
  <si>
    <t xml:space="preserve">Nord, C (corresponding author), Blekinge Inst Technol, BTH, Dept Spatial Planning, Architect SAR MSA, S-37179 Karlskrona, Sweden.</t>
  </si>
  <si>
    <t xml:space="preserve">Riksbankens Jubileumsfond; [P 15-0140:1]</t>
  </si>
  <si>
    <t xml:space="preserve">Riksbankens Jubileumsfond;</t>
  </si>
  <si>
    <t xml:space="preserve">This paper has been funded by Riksbankens Jubileumsfond under the grant number: P 15-0140:1.</t>
  </si>
  <si>
    <t xml:space="preserve">OCT 2</t>
  </si>
  <si>
    <t xml:space="preserve">10.1080/26892618.2021.1987372</t>
  </si>
  <si>
    <t xml:space="preserve">6N3ZB</t>
  </si>
  <si>
    <t xml:space="preserve">WOS:000889497000005</t>
  </si>
  <si>
    <t xml:space="preserve">Walitalo, L; Missimer, M</t>
  </si>
  <si>
    <t xml:space="preserve">Walitalo, Lisa; Missimer, Merlina</t>
  </si>
  <si>
    <t xml:space="preserve">The Organization of Social Sustainability Work in Swedish Eco-Municipalities</t>
  </si>
  <si>
    <t xml:space="preserve">local administration; social sustainability; strategic sustainable development; municipal planning</t>
  </si>
  <si>
    <t xml:space="preserve">STRATEGIC APPROACH; DECISION-MAKING; PART 2; FRAMEWORK; BARRIERS; POLICY; PRINCIPLES; DIALOGUE; CITIES</t>
  </si>
  <si>
    <t xml:space="preserve">Even though large parts of a municipal administration's work are aligned with social sustainability, this dimension has been somewhat more challenging and there seems to be a vast diversity in how it is approached. Academic literature on the systematic organization of this work is sparse. The aim of this study was to understand how Swedish municipalities organize their work with social sustainability and to find best practices. A survey among 21 municipalities and follow-up interviews with three of them were conducted. The study revealed that the organization of social sustainability work varies considerably among municipalities and that no simple patterns relating to size or existing organizational structures can be detected. Each municipality seems to be finding its own way and is more or less successful in strategically working with this area. Best practice focused on creating additional structures for collaboration across departments, with external actors, and across sectors to at least partly overcome the silo approach engrained in a municipal structure. It was also connected to the active involvement of leaders, clear mandates, and that a common vision for social sustainability was communicated. These lessons can be transferred to other municipalities and help them move towards social sustainability in a strategic way.</t>
  </si>
  <si>
    <t xml:space="preserve">[Walitalo, Lisa; Missimer, Merlina] Blekinge Inst Technol, Dept Strateg Sustainable Dev, SE-37179 Karlskrona, Sweden</t>
  </si>
  <si>
    <t xml:space="preserve">Walitalo, L (corresponding author), Blekinge Inst Technol, Dept Strateg Sustainable Dev, SE-37179 Karlskrona, Sweden.</t>
  </si>
  <si>
    <t xml:space="preserve">lwo@bth.se; mis@bth.se</t>
  </si>
  <si>
    <t xml:space="preserve">Walitalo, Lisa/0000-0001-9602-4135; Missimer, Merlina/0000-0002-5822-5152</t>
  </si>
  <si>
    <t xml:space="preserve">10.3390/su14052770</t>
  </si>
  <si>
    <t xml:space="preserve">ZT2ER</t>
  </si>
  <si>
    <t xml:space="preserve">WOS:000768967100001</t>
  </si>
  <si>
    <t xml:space="preserve">Tran, Dang Ninh; Zepernick, Hans-Jurgen; Chu, Thi My Chinh</t>
  </si>
  <si>
    <t xml:space="preserve">Viewing Direction Based LSB Data Hiding in 360° Videos</t>
  </si>
  <si>
    <t xml:space="preserve">LSB data hiding; 360 degrees videos; viewing direction; Gaussian mixture model; capacity; PSNR; weighted-to-spherically uniform PSNR; non-content-based perceptual PSNR; SSIM; non-content-based; perceptual SSIM</t>
  </si>
  <si>
    <t xml:space="preserve">QUALITY; STEGANOGRAPHY; PSNR</t>
  </si>
  <si>
    <t xml:space="preserve">In this paper, we propose a viewing direction based least significant bit (LSB) data hiding method for 360 degrees videos. The distributions of viewing direction frequency for latitude and longitude are used to control the amount of secret data to be hidden at the latitude, longitude, or both latitude and longitude of 360 degrees videos. Normalized Gaussian mixture models mimicking the viewing behavior of humans are formulated to define data hiding weight functions for latitude, longitude, and both latitude and longitude. On this basis, analytical expressions for the capacity offered by the proposed method to hide secret data in 360 degrees cover videos are derived. Numerical results for the capacity using different numbers of bit planes and popular 360 degrees video resolutions for data hiding are provided. The fidelity of the proposed method is assessed in terms of the peak signal-to-noise ratio (PSNR), weighted-to-spherically uniform PSNR (WS-PSNR), and non-content-based perceptual PSNR (NCP-PSNR). The experimental results illustrate that NCP-PSNR returns the highest fidelity because it gives lower weights to the impact of LSB data hiding on fidelity outside the front regions near the equator. The visual quality of the proposed method as perceived by humans is assessed using the structural similarity (SSIM) index and the non-content-based perceptual SSIM (NCP-SSIM) index. The experimental results show that both SSIM-based metrics are able to account for the spatial perceptual information of different scenes while the PSNR-based fidelity metrics cannot exploit this information. Furthermore, NCP-SSIM reflects much better the impact of the proposed method on visual quality with respect to viewing directions compared to SSIM.</t>
  </si>
  <si>
    <t xml:space="preserve">[Tran, Dang Ninh; Zepernick, Hans-Jurgen; Chu, Thi My Chinh] Blekinge Inst Technol, SE-37179 Karlskrona, Sweden</t>
  </si>
  <si>
    <t xml:space="preserve">dnt@bth.se; hans-jurgen.zepernick@bth.se; cch@bth.se</t>
  </si>
  <si>
    <t xml:space="preserve">Zepernick, Hans-Jurgen/0000-0003-3604-2766</t>
  </si>
  <si>
    <t xml:space="preserve">Knowledge Foundation, Sweden [20170056]; VIED scholarship - Vietnamese Government</t>
  </si>
  <si>
    <t xml:space="preserve">Knowledge Foundation, Sweden; VIED scholarship - Vietnamese Government</t>
  </si>
  <si>
    <t xml:space="preserve">N This work was supported in part by The Knowledge Foundation, Sweden, through the ViaTecH project (Contract 20170056). Dang Ninh Tran was supported by a VIED scholarship awarded by the Vietnamese Government.</t>
  </si>
  <si>
    <t xml:space="preserve">10.3390/electronics10131527</t>
  </si>
  <si>
    <t xml:space="preserve">TG1RK</t>
  </si>
  <si>
    <t xml:space="preserve">WOS:000671188200001</t>
  </si>
  <si>
    <t xml:space="preserve">Ayers, J</t>
  </si>
  <si>
    <t xml:space="preserve">Ayers, James</t>
  </si>
  <si>
    <t xml:space="preserve">Competence Literate but Context Lacking? Investigating the Potential of Study Abroad Programs to Promote Sustainability Competence Acquisition in Students</t>
  </si>
  <si>
    <t xml:space="preserve">sustainability; education; competencies; study abroad; pedagogy</t>
  </si>
  <si>
    <t xml:space="preserve">The examination of pedagogies that promote effective sustainability learning has led to vigorous academic discussion, as has research regarding the role of competence-based learning for sustainability. This paper investigates the role of a study abroad program, the Engineers without Borders Design Summit, in promoting the acquisition of sustainability competencies in its students. This study analysed both content of the program pedagogy and the written learning reflections of 137 student participants to examine if the program resulted in sustainability competence acquisition. The study's findings suggested that students did acquire sustainability competencies during the program, but also that students may become competence-literate but context-lacking as they acquire competency skillsets without understanding their purpose for use as sustainability tools or to promote sustainability outcomes. Therefore, this study recommends that competence-based education for sustainability requires situation of competence acquisition within sustainability contextualisation to ensure full competence potential is fulfilled. This study suggests that contextualisation can occur in a number of ways, including the use of defined sustainability principles as boundary conditions to frame learning environments, the use of sustainability epistemic teachers as guides to connect learning to sustainability and the facilitation of student experiences with unsustainability to promote personally motivated action towards sustainability.</t>
  </si>
  <si>
    <t xml:space="preserve">[Ayers, James] Blekinge Inst Technol, Dept Strateg Sustainable Dev, S-37179 Karlskrona, Sweden</t>
  </si>
  <si>
    <t xml:space="preserve">Ayers, J (corresponding author), Blekinge Inst Technol, Dept Strateg Sustainable Dev, S-37179 Karlskrona, Sweden.</t>
  </si>
  <si>
    <t xml:space="preserve">jya@bth.se</t>
  </si>
  <si>
    <t xml:space="preserve">Ayers, James/0000-0003-4187-9050</t>
  </si>
  <si>
    <t xml:space="preserve">10.3390/su12135389</t>
  </si>
  <si>
    <t xml:space="preserve">MT5SS</t>
  </si>
  <si>
    <t xml:space="preserve">WOS:000555035500001</t>
  </si>
  <si>
    <t xml:space="preserve">Gonzalez-Salazar, M; Kormazos, G; Jienwatcharamongkhol, V</t>
  </si>
  <si>
    <t xml:space="preserve">Gonzalez-Salazar, Miguel; Kormazos, Georgios; Jienwatcharamongkhol, Viroj</t>
  </si>
  <si>
    <t xml:space="preserve">Assessing the economic and environmental impacts of battery leasing and selling models for electric vehicle fleets: A study on customer and company implications</t>
  </si>
  <si>
    <t xml:space="preserve">Circularity; Circular business models; LCA; Leasing; Batteries; Electric vehicles</t>
  </si>
  <si>
    <t xml:space="preserve">LIFE-CYCLE ASSESSMENT; PLUG-IN HYBRID; BUSINESS MODELS; 2ND USE; COST; WASTE; SUSTAINABILITY; TECHNOLOGIES; CONSUMER; OPTIONS</t>
  </si>
  <si>
    <t xml:space="preserve">Battery electric vehicles (BEVs) powered by renewable energy hold promise for significantly decarbonizing landbased transport. However, the environmental impacts of BEVs remain a critical concern. This paper investigates the circular business model (CBM) of leasing batteries for BEVs and compares its economic and environmental impacts with the linear model of selling and buying batteries. A comprehensive approach combining a battery fleet model, net present value (NPV) analysis, and cradle-to-grave life cycle assessment (LCA) is employed. By considering diverse driving profiles instead of the single average profile used in previous studies, the battery fleet model provides a more accurate representation of reality. The findings reveal that while leasing batteries can be as profitable as selling them, companies that lease may require higher revenues and tax contributions to obtain a comparable NPV. To generate additional income, companies may need to charge fees that do not always benefit customers. Notably, battery purchasing remains the most cost-effective option for users driving over 10,000 km/year. The LCA results indicate that the environmental benefits of leasing batteries over selling them are marginal. Leasing offers advantages such as user flexibility, and it encourages battery repair, repurposing, and recycling; however, there is insufficient evidence to support the cost-effectiveness of leasing or significant environmental improvements over traditional buying and selling models. The findings may be relevant for other business models targeting a substantial user base in the BEV domain, such as battery-as-a-service (BaaS) programs and battery swapping.</t>
  </si>
  <si>
    <t xml:space="preserve">[Gonzalez-Salazar, Miguel; Kormazos, Georgios; Jienwatcharamongkhol, Viroj] Blekinge Inst Technol, Karlskrona, Sweden; [Gonzalez-Salazar, Miguel] Tech Univ Appl Sci Wurzburg Schweinfurt, Inst Zero Carbon IZEC, Wurzburg, Germany</t>
  </si>
  <si>
    <t xml:space="preserve">Jienwatcharamongkhol, V (corresponding author), Blekinge Inst Technol, Karlskrona, Sweden.</t>
  </si>
  <si>
    <t xml:space="preserve">viroj.jienwatcharamongkhol@bth.se</t>
  </si>
  <si>
    <t xml:space="preserve">Gonzalez-Salazar, Miguel Angel/K-2361-2016</t>
  </si>
  <si>
    <t xml:space="preserve">Gonzalez-Salazar, Miguel Angel/0000-0002-8319-4044; Jienwatcharamongkhol, Viroj/0000-0001-5612-5062</t>
  </si>
  <si>
    <t xml:space="preserve">OCT 10</t>
  </si>
  <si>
    <t xml:space="preserve">10.1016/j.jclepro.2023.138356</t>
  </si>
  <si>
    <t xml:space="preserve">AUG 2023</t>
  </si>
  <si>
    <t xml:space="preserve">T1WC6</t>
  </si>
  <si>
    <t xml:space="preserve">WOS:001075946800001</t>
  </si>
  <si>
    <t xml:space="preserve">Minhas, NM; Böerstler, J; Petersen, K</t>
  </si>
  <si>
    <t xml:space="preserve">Minhas, Nasir Mehmood; Boerstler, Juergen; Petersen, Kai</t>
  </si>
  <si>
    <t xml:space="preserve">Checklists to support decision-making in regression testing</t>
  </si>
  <si>
    <t xml:space="preserve">Regression testing; Checklists; Test manager; Team readiness; Process improvement</t>
  </si>
  <si>
    <t xml:space="preserve">Context: Practitioners working in large-scale software development face many challenges in regression testing activities. One of the reasons is the lack of a structured regression testing process. In this regard, checklists can help practitioners keep track of essential regression testing activities and add structure to the regression testing process to a certain extent.Objective: This study aims to introduce regression testing checklists so test managers/teams can use them: (1) to assess whether test teams/members are ready to begin regression testing, and (2) to keep track of essential regression testing activities while planning and executing regression tests.Method: We used interviews, workshops, and questionnaires to design, evolve, and evaluate regression testing checklists. In total, 25 practitioners from 12 companies participated in creating the checklist. Twenty-three of them participated in checklists evolution and evaluation.Results: We identified activities practitioners consider significant while planning, performing, and analyzing regression testing. We designed regression testing checklists based on these activities to help practitioners make informed decisions during regression testing. With the help of practitioners, we evolved these checklists into two iterations. Finally, the practitioners provided feedback on the proposed checklists. All respondents think the proposed checklists are useful and customizable for their environments, and 80% think checklists cover aspects essential for regression testing. Conclusion: The proposed regression testing checklists can be useful for test managers to assess their team/team members' readiness and decide when to start and stop regression testing. The checklists can be used to record the steps required while planning and executing regression testing. Further, these checklists can provide a basis for structuring the regression testing process in varying contexts.(c) 2023 The Author(s). Published by Elsevier Inc. This is an open access article under the CC BY license (http://creativecommons.org/licenses/by/4.0/).</t>
  </si>
  <si>
    <t xml:space="preserve">[Minhas, Nasir Mehmood; Petersen, Kai] Blekinge Inst Technol, Dept Software Engn, Karlskrona, Sweden; [Petersen, Kai] Univ Appl Sci Flensburg, Flensburg, Germany</t>
  </si>
  <si>
    <t xml:space="preserve">nasir.mehmood.minhas@bth.se; jurgen.borstler@bth.se; kai.petersen@bth.se</t>
  </si>
  <si>
    <t xml:space="preserve">Börstler, Jürgen/IWE-4001-2023</t>
  </si>
  <si>
    <t xml:space="preserve">10.1016/j.jss.2023.111697</t>
  </si>
  <si>
    <t xml:space="preserve">G5AV6</t>
  </si>
  <si>
    <t xml:space="preserve">WOS:000989289800001</t>
  </si>
  <si>
    <t xml:space="preserve">Ludwig-Barbosa, V; Rasch, J; Sievert, T; Carlström, A; Pettersson, MI; Vu, VT; Christensen, J</t>
  </si>
  <si>
    <t xml:space="preserve">Ludwig-Barbosa, Vinicius; Rasch, Joel; Sievert, Thomas; Carlstrom, Anders; Pettersson, Mats I.; Thuy Vu, Viet; Christensen, Jacob</t>
  </si>
  <si>
    <t xml:space="preserve">Detection and localization of F-layer ionospheric irregularities with the back-propagation method along the radio occultation ray path</t>
  </si>
  <si>
    <t xml:space="preserve">ATMOSPHERIC MEASUREMENT TECHNIQUES</t>
  </si>
  <si>
    <t xml:space="preserve">SPREAD-F; SCINTILLATIONS; CLIMATOLOGY; ATMOSPHERE; DRIFT</t>
  </si>
  <si>
    <t xml:space="preserve">The back-propagation (BP) method consists of diffractive integrals computed over a trajectory path, projecting a signal to different planes. It unwinds the diffraction and multipath, resulting in minimum disturbance to the BP amplitude when the auxiliary plane coincides with the region causing the diffraction. The method has been previously applied in global navigation satellite system (GNSS) radio occultation (RO) measurements to estimate the location of ionospheric irregularities but without complementary data to validate the estimation. In this study, the BP method is applied to a Communications/Navigation Outage Forecasting System (C/NOFS) occultation event containing scintillation signatures caused by an equatorial plasma bubble (EPB), which was parameterized with the aid of collocated data and reproduced in a wave optics propagator (WOP) simulation. In addition, a few more test cases were designed to assess the BP method with regard to the size, intensity, and placement of single- and multiple-irregularity regions. The results show a location estimate accuracy following the resolution at which the method is implemented (single bubble, reference case),whereas a bias is observed in multiple-bubble scenarios. The minimum detectable disturbance level and the estimation accuracy depend on the receiver noise level and, in the case of several bubbles, on the distance between them. These remarks provide insight into the BP results for two Constellation Observing System for Meteorology Ionosphere and Climate (COSMIC) occultation events.</t>
  </si>
  <si>
    <t xml:space="preserve">[Ludwig-Barbosa, Vinicius; Sievert, Thomas; Pettersson, Mats I.; Thuy Vu, Viet] Blekinge Inst Technol, Dept Math &amp; Nat Sci, Karlskrona, Sweden; [Rasch, Joel; Carlstrom, Anders; Christensen, Jacob] Grav Sweden AB, Gothenburg, Sweden</t>
  </si>
  <si>
    <t xml:space="preserve">Ludwig-Barbosa, V (corresponding author), Blekinge Inst Technol, Dept Math &amp; Nat Sci, Karlskrona, Sweden.</t>
  </si>
  <si>
    <t xml:space="preserve">vinicius.ludwig.barbosa@bth.se</t>
  </si>
  <si>
    <t xml:space="preserve">Vu, Viet/JDW-0738-2023; Ludwig Barbosa, Vinícius/JDW-1237-2023; Pettersson, Mats/N-1063-2016</t>
  </si>
  <si>
    <t xml:space="preserve">Ludwig Barbosa, Vinicius/0000-0002-7769-8641; Pettersson, Mats/0000-0002-6643-312X</t>
  </si>
  <si>
    <t xml:space="preserve">COPERNICUS GESELLSCHAFT MBH</t>
  </si>
  <si>
    <t xml:space="preserve">GOTTINGEN</t>
  </si>
  <si>
    <t xml:space="preserve">BAHNHOFSALLEE 1E, GOTTINGEN, 37081, GERMANY</t>
  </si>
  <si>
    <t xml:space="preserve">1867-1381</t>
  </si>
  <si>
    <t xml:space="preserve">1867-8548</t>
  </si>
  <si>
    <t xml:space="preserve">ATMOS MEAS TECH</t>
  </si>
  <si>
    <t xml:space="preserve">Atmos. Meas. Tech.</t>
  </si>
  <si>
    <t xml:space="preserve">APR 5</t>
  </si>
  <si>
    <t xml:space="preserve">10.5194/amt-16-1849-2023</t>
  </si>
  <si>
    <t xml:space="preserve">Meteorology &amp; Atmospheric Sciences</t>
  </si>
  <si>
    <t xml:space="preserve">C5ZX6</t>
  </si>
  <si>
    <t xml:space="preserve">WOS:000962705900001</t>
  </si>
  <si>
    <t xml:space="preserve">Börstler, J; bin Ali, N; Svensson, M; Petersen, K</t>
  </si>
  <si>
    <t xml:space="preserve">Borstler, Jurgen; bin Ali, Nauman; Svensson, Martin; Petersen, Kai</t>
  </si>
  <si>
    <t xml:space="preserve">Investigating acceptance behavior in software engineering-Theoretical perspectives</t>
  </si>
  <si>
    <t xml:space="preserve">Acceptance behavior; Dual process theory; Technology acceptance; Theory; TAM; UTAUT; TPB</t>
  </si>
  <si>
    <t xml:space="preserve">TASK-TECHNOLOGY FIT; INFORMATION-SYSTEMS SUCCESS; USER ACCEPTANCE; PLANNED BEHAVIOR; WORK MOTIVATION; GOOGLE SCHOLAR; GENERAL-THEORY; UNIFIED THEORY; COGNITIVE FIT; MODEL</t>
  </si>
  <si>
    <t xml:space="preserve">Background: Software engineering research aims to establish software development practice on a scientific basis. However, the evidence of the efficacy of technology is insufficient to ensure its uptake in industry. In the absence of a theoretical frame of reference, we mainly rely on best practices and expert judgment from industry-academia collaboration and software process improvement research to improve the acceptance of the proposed technology.Objective: To identify acceptance models and theories and discuss their applicability in the research of acceptance behavior related to software development.Method: We analyzed literature reviews within an interdisciplinary team to identify models and theories relevant to software engineering research. We further discuss acceptance behavior from the human information processing perspective of automatic and affect-driven processes (fastsystem 1 thinking) and rational and rule-governed processes (slowsystem 2 thinking).Results: We identified 30 potentially relevant models and theories. Several of them have been used in researching acceptance behavior in contexts related to software development, but few have been validated in such contexts.They use constructs that capture aspects of (automatic) system 1 and (rational) system 2 oriented processes. However, their operationalizations focus on system 2 oriented processes indicating a rational view of behavior, thus overlooking important psychological processes underpinning behavior. Conclusions: Software engineering research may use acceptance behavior models and theories more extensively to understand and predict practice adoption in the industry. Such theoretical foundations will help improve the impact of software engineering research. However, more consideration should be given to their validation, overlap, construct operationalization, and employed data collection mechanisms when using these models and theories.(c) 2022 The Author(s). Published by Elsevier Inc. This is an open access article under the CC BY license (http://creativecommons.org/licenses/by/4.0/).</t>
  </si>
  <si>
    <t xml:space="preserve">[Borstler, Jurgen; bin Ali, Nauman; Petersen, Kai] Blekinge Inst Technol, Dept Software Engn, Karlskrona, Sweden; [Svensson, Martin] Blekinge Inst Technol, Dept Ind Econ, Karlskrona, Sweden; [Petersen, Kai] Univ Appl Sci Flensburg, Flensburg, Germany</t>
  </si>
  <si>
    <t xml:space="preserve">Börstler, J (corresponding author), Blekinge Inst Technol, Dept Software Engn, Karlskrona, Sweden.</t>
  </si>
  <si>
    <t xml:space="preserve">jurgen.borstler@bth.se; nauman.bin.ali@bth.se; martin.svensson@bth.se; kai.petersen@hs-flensburg.de</t>
  </si>
  <si>
    <t xml:space="preserve">Svensson, Martin/ISR-9012-2023; Börstler, Jürgen/IWE-4001-2023; Ali, Nauman bin/J-4293-2015</t>
  </si>
  <si>
    <t xml:space="preserve">10.1016/j.jss.2022.111592</t>
  </si>
  <si>
    <t xml:space="preserve">JAN 2023</t>
  </si>
  <si>
    <t xml:space="preserve">7Z5XT</t>
  </si>
  <si>
    <t xml:space="preserve">WOS:000915632900001</t>
  </si>
  <si>
    <t xml:space="preserve">Petersen, K</t>
  </si>
  <si>
    <t xml:space="preserve">Petersen, Kai</t>
  </si>
  <si>
    <t xml:space="preserve">Case study identification with GPT-4 and implications for mapping studies</t>
  </si>
  <si>
    <t xml:space="preserve">Systematic mapping studies; Data extraction; Case study; GPT-4</t>
  </si>
  <si>
    <t xml:space="preserve">Context: Rainer and Wohlin showed that case studies are not well understood by reviewers and authors and thus they say that a given research is a case study when it is not. Objective: Rainer and Wohlin proposed a smell indicator (inspired by code smells) to identify case studies based on the frequency of occurrences of words, which performed better than human classifiers. With the emergence of ChatGPT, we evaluate ChatGPT to assess its performance in accurately identifying case studies. We also reflect on the results' implications for mapping studies, specifically data extraction. Method: We used ChatGPT with the model GPT-4 to identify case studies and compared the result with the smell indicator for precision, recall, and accuracy. Results: GPT-4 and the smell indicator perform similarly, with GPT-4 performing slightly better in some instances and the smell indicator (SI) in others. The advantage of GPT-4 is that it is based on the definition of case studies and provides traceability on how it reaches its conclusions. Conclusion: As GPT-4 performed well on the task and provides traceability, we should use and, with that, evaluate it on data extraction tasks, supporting us as authors.</t>
  </si>
  <si>
    <t xml:space="preserve">[Petersen, Kai] Blekinge Inst Technol, Valhallavagen 1, S-37141 Karlskrona, Sweden; [Petersen, Kai] Flensburg Univ Appl Sci FUAS, Kanzleistr 91-93, D-24943 Flensburg, Germany</t>
  </si>
  <si>
    <t xml:space="preserve">Petersen, K (corresponding author), Blekinge Inst Technol, Valhallavagen 1, S-37141 Karlskrona, Sweden.</t>
  </si>
  <si>
    <t xml:space="preserve">kai.petersen@hs-flensburg.de</t>
  </si>
  <si>
    <t xml:space="preserve">10.1016/j.infsof.2024.107452</t>
  </si>
  <si>
    <t xml:space="preserve">OD7R1</t>
  </si>
  <si>
    <t xml:space="preserve">WOS:001205391500001</t>
  </si>
  <si>
    <t xml:space="preserve">Arvidsson, V; Alawadi, S; Boldt, M; Angelsmark, O; Soderlund, F</t>
  </si>
  <si>
    <t xml:space="preserve">Alawadi, S; Quwaider, M; Jararweh, Y</t>
  </si>
  <si>
    <t xml:space="preserve">Arvidsson, Victor; Alawadi, Sadi; Boldt, Martin; Angelsmark, Ola; Soderlund, Fanny</t>
  </si>
  <si>
    <t xml:space="preserve">A Novel Approach for Intrusion Detection using Online Federated Learning on Streaming Data</t>
  </si>
  <si>
    <t xml:space="preserve">2024 9TH INTERNATIONAL CONFERENCE ON FOG AND MOBILE EDGE COMPUTING, FMEC 2024</t>
  </si>
  <si>
    <t xml:space="preserve">9th IEEE International Conference on Fog and Mobile Edge Computing (FMEC)</t>
  </si>
  <si>
    <t xml:space="preserve">SEP 02-05, 2024</t>
  </si>
  <si>
    <t xml:space="preserve">Malmo, SWEDEN</t>
  </si>
  <si>
    <t xml:space="preserve">IEEE Sweden Sect,Blekinge Tekniska Hogskola,IEEE</t>
  </si>
  <si>
    <t xml:space="preserve">Naive Bayes; SFLEDS; Semi-Supervised Learning; Cybersecurity; Centralized Federated Learning; NSL-KDD</t>
  </si>
  <si>
    <t xml:space="preserve">This paper studies the application of online federated learning for intrusion detection systems. An experiment is conducted with two different models, Gaussian Naive Bayes and Semi-supervised Federated Learning on Evolving Data Streams (SFLEDS), which are evaluated in four different settings, centralized offline, centralized online, federated offline, and federated online. The models are evaluated on the NSL-KDD dataset, and the federated models are run with 20, 30, and 40 clients. The results show that for Naive Bayes, the centralized offline models have the best performance, while for SFLEDS, the federated online models perform the best with accuracy scores around 90%. Suggestions for improvements of the models are provided in the discussion, with the conclusion being that, while the results show promising results for federated online learning when employed for intrusion detection systems, the models used need to be carefully selected to achieve good results. Further research is also required for different models, such as deep learning models, which might achieve even better results.</t>
  </si>
  <si>
    <t xml:space="preserve">[Arvidsson, Victor; Alawadi, Sadi; Boldt, Martin] Blekinge Inst Technol, Dept Comp Sci, Karlskrona, Sweden; [Arvidsson, Victor; Angelsmark, Ola; Soderlund, Fanny] Advenica, Malmo, Sweden</t>
  </si>
  <si>
    <t xml:space="preserve">Arvidsson, V (corresponding author), Blekinge Inst Technol, Dept Comp Sci, Karlskrona, Sweden.;Arvidsson, V (corresponding author), Advenica, Malmo, Sweden.</t>
  </si>
  <si>
    <t xml:space="preserve">Boldt, Martin/J-4958-2019</t>
  </si>
  <si>
    <t xml:space="preserve">979-8-3503-6649-5; 979-8-3503-6648-8</t>
  </si>
  <si>
    <t xml:space="preserve">10.1109/FMEC62297.2024.10710218</t>
  </si>
  <si>
    <t xml:space="preserve">BX9AQ</t>
  </si>
  <si>
    <t xml:space="preserve">WOS:001343069600015</t>
  </si>
  <si>
    <t xml:space="preserve">Jasarevic, M; Boeva, V; Sjölin, F; Gramstad, PO</t>
  </si>
  <si>
    <t xml:space="preserve">Wani, MA; Sethi, I; Shi, W; Qu, G; Raicu, DS; Jin, R</t>
  </si>
  <si>
    <t xml:space="preserve">Jasarevic, Mirza; Boeva, Veselka; Sjolin, Fredrik; Gramstad, Per-Olav</t>
  </si>
  <si>
    <t xml:space="preserve">Understanding Traffic Cruising Causation Via Parking Data Enhancement</t>
  </si>
  <si>
    <t xml:space="preserve">20TH IEEE INTERNATIONAL CONFERENCE ON MACHINE LEARNING AND APPLICATIONS (ICMLA 2021)</t>
  </si>
  <si>
    <t xml:space="preserve">20th IEEE International Conference on Machine Learning and Applications (ICMLA)</t>
  </si>
  <si>
    <t xml:space="preserve">DEC 13-16, 2021</t>
  </si>
  <si>
    <t xml:space="preserve">Machine learning; Unsupervised learning; Time series; Parking data; Dynamic time warping</t>
  </si>
  <si>
    <t xml:space="preserve">This study is devoted to understanding traffic cruising causation through exploring and enhancing parking data. Five recent (2017-2020) studies modeling parking congestion relied on occupancy as their only parking lot feature, then compared modeling techniques using this feature, to find the best performance. However, recently some computer scientists pointed out that it is more effective for the computer science community to focus more on data preparation for performance improvements, rather than exclusively comparing modeling techniques. This inspired us to add more parking lot features and evaluate them, to investigate how they should be composed into a congestion score, acting as a more accurate picture of reality. The score is then compared to the performance of a version where occupancy is the only parking lot feature. An experimental case study is designed in three parts. The first measures how the features should be summed into a score according to drivers' expectations. The second analyzes how much data can be reused from the real data, and whether spatial or temporal comparisons are better for data synthesis of parking data. The third part compares the performance of the score against the occupancy-only version using k-means clustering algorithm and dynamic time warping distance. The experimental results show performance improvements in all spatial and temporal categories, and increasing improvement as the sample sizes grow.</t>
  </si>
  <si>
    <t xml:space="preserve">[Jasarevic, Mirza; Boeva, Veselka] Blekinge Inst Technol, Dept Comp Sci, Karlskrona, Sweden; [Sjolin, Fredrik; Gramstad, Per-Olav] Municipal Karlskrona, Dept Digitalizat, Karlskrona, Sweden</t>
  </si>
  <si>
    <t xml:space="preserve">Jasarevic, M (corresponding author), Blekinge Inst Technol, Dept Comp Sci, Karlskrona, Sweden.</t>
  </si>
  <si>
    <t xml:space="preserve">mrzjsrvc@hotmail.com; vbx@bth.se; fredrik.sjolin@karlskrona.se; per-olav.gramstad@karlskrona.se</t>
  </si>
  <si>
    <t xml:space="preserve">Boeva, Veselka/IAP-9371-2023</t>
  </si>
  <si>
    <t xml:space="preserve">978-1-6654-4337-1</t>
  </si>
  <si>
    <t xml:space="preserve">10.1109/ICMLA52953.2021.00245</t>
  </si>
  <si>
    <t xml:space="preserve">BS9CM</t>
  </si>
  <si>
    <t xml:space="preserve">WOS:000779208200237</t>
  </si>
  <si>
    <t xml:space="preserve">Zhao, MQ; Hochuli, AG; Cheddad, A</t>
  </si>
  <si>
    <t xml:space="preserve">Llados, J; Lopresti, D; Uchida, S</t>
  </si>
  <si>
    <t xml:space="preserve">Zhao, Mengqiao; Hochuli, Andre Gustavo; Cheddad, Abbas</t>
  </si>
  <si>
    <t xml:space="preserve">End-to-End Approach for Recognition of Historical Digit Strings</t>
  </si>
  <si>
    <t xml:space="preserve">DOCUMENT ANALYSIS AND RECOGNITION, ICDAR 2021, PT III</t>
  </si>
  <si>
    <t xml:space="preserve">16th IAPR International Conference on Document Analysis and Recognition (ICDAR)</t>
  </si>
  <si>
    <t xml:space="preserve">SEP 05-10, 2021</t>
  </si>
  <si>
    <t xml:space="preserve">Lausanne, SWITZERLAND</t>
  </si>
  <si>
    <t xml:space="preserve">IAPR</t>
  </si>
  <si>
    <t xml:space="preserve">Handwriting digit string recognition; Segmentation-free; Historical document processing</t>
  </si>
  <si>
    <t xml:space="preserve">SEGMENTATION</t>
  </si>
  <si>
    <t xml:space="preserve">The plethora of digitalised historical document datasets released in recent years has rekindled interest in advancing the field of handwriting pattern recognition. In the same vein, a recently published data set, known as ARDIS, presents handwritten digits manually cropped from 15.000 scanned documents of Swedish churches' books that exhibit various handwriting styles. To this end, we propose an end-to-end segmentation- free deep learning approach to handle this challenging ancient handwriting style of dates present in the ARDIS dataset (4-digits long strings). We show that with slight modifications in the VGG-16 deep model, the framework can achieve a recognition rate of 93.2%, resulting in a feasible solution free of heuristic methods, segmentation, and fusion methods. Moreover, the proposed approach outperforms the well-known CRNN method (a model widely applied in handwriting recognition tasks).</t>
  </si>
  <si>
    <t xml:space="preserve">[Zhao, Mengqiao; Cheddad, Abbas] Blekinge Inst Technol, Fac Comp, S-37179 Karlskrona, Sweden; [Hochuli, Andre Gustavo] Pontifical Catholic Univ Parana PPGIa PUCPR, R Imaculada Conceicao 1155, BR-80215901 Curitiba, Parana, Brazil</t>
  </si>
  <si>
    <t xml:space="preserve">Cheddad, A (corresponding author), Blekinge Inst Technol, Fac Comp, S-37179 Karlskrona, Sweden.</t>
  </si>
  <si>
    <t xml:space="preserve">mezh18@student.bth.se; aghochuli@ppgia.pucpr.pr; abbas.cheddad@bth.se</t>
  </si>
  <si>
    <t xml:space="preserve">Hochuli, Andre/AEE-0832-2022; Cheddad, Abbas/R-7061-2018</t>
  </si>
  <si>
    <t xml:space="preserve">Hochuli, Andre/0000-0003-0190-547X; Cheddad, Abbas/0000-0002-4390-411X</t>
  </si>
  <si>
    <t xml:space="preserve">research project DocPRESERV; Swedish Foundation for International Cooperation in Research and Higher Education [AF2020-8892]</t>
  </si>
  <si>
    <t xml:space="preserve">research project DocPRESERV; Swedish Foundation for International Cooperation in Research and Higher Education</t>
  </si>
  <si>
    <t xml:space="preserve">This project is supported by the research project DocPRESERV: Preserving and Processing Historical Document Images with Artificial Intelligence, STINT, the Swedish Foundation for International Cooperation in Research and Higher Education (Grant: AF2020-8892).</t>
  </si>
  <si>
    <t xml:space="preserve">978-3-030-86334-0; 978-3-030-86333-3</t>
  </si>
  <si>
    <t xml:space="preserve">10.1007/978-3-030-86334-0_39</t>
  </si>
  <si>
    <t xml:space="preserve">BS3HJ</t>
  </si>
  <si>
    <t xml:space="preserve">WOS:000711646700039</t>
  </si>
  <si>
    <t xml:space="preserve">Abghari, S; Boeva, V; Brage, J; Grahn, H</t>
  </si>
  <si>
    <t xml:space="preserve">Abghari, Shahrooz; Boeva, Veselka; Brage, Jens; Grahn, Hakan</t>
  </si>
  <si>
    <t xml:space="preserve">A Higher Order Mining Approach for the Analysis of Real-World Datasets</t>
  </si>
  <si>
    <t xml:space="preserve">ENERGIES</t>
  </si>
  <si>
    <t xml:space="preserve">outlier detection; fault detection; higher order mining; clustering analysis; minimum spanning tree; data mining; district heating substations</t>
  </si>
  <si>
    <t xml:space="preserve">FAULT-DETECTION; OUTLIER DETECTION; BUILDING SYSTEMS; REPRESENTATION; PROGNOSTICS; DIAGNOSTICS</t>
  </si>
  <si>
    <t xml:space="preserve">In this study, we propose a higher order mining approach that can be used for the analysis of real-world datasets. The approach can be used to monitor and identify the deviating operational behaviour of the studied phenomenon in the absence of prior knowledge about the data. The proposed approach consists of several different data analysis techniques, such as sequential pattern mining, clustering analysis, consensus clustering and the minimum spanning tree (MST). Initially, a clustering analysis is performed on the extracted patterns to model the behavioural modes of the studied phenomenon for a given time interval. The generated clustering models, which correspond to every two consecutive time intervals, can further be assessed to determine changes in the monitored behaviour. In cases in which significant differences are observed, further analysis is performed by integrating the generated models into a consensus clustering and applying an MST to identify deviating behaviours. The validity and potential of the proposed approach is demonstrated on a real-world dataset originating from a network of district heating (DH) substations. The obtained results show that our approach is capable of detecting deviating and sub-optimal behaviours of DH substations.</t>
  </si>
  <si>
    <t xml:space="preserve">[Abghari, Shahrooz; Boeva, Veselka; Grahn, Hakan] Blekinge Inst Technol, Dept Comp Sci, SE-37179 Karlskrona, Sweden; [Brage, Jens] NODA Intelligent Syst AB, SE-37435 Karlshamn, Sweden</t>
  </si>
  <si>
    <t xml:space="preserve">Abghari, S (corresponding author), Blekinge Inst Technol, Dept Comp Sci, SE-37179 Karlskrona, Sweden.</t>
  </si>
  <si>
    <t xml:space="preserve">shahrooz.abghari@bth.se; veselka.boeva@bth.se; jens.brage@noda.se; hakan.grahn@bth.se</t>
  </si>
  <si>
    <t xml:space="preserve">Abghari, Shahrooz/ADU-1546-2022; Grahn, Håkan/G-9720-2011; Boeva, Veselka/IAP-9371-2023</t>
  </si>
  <si>
    <t xml:space="preserve">Abghari, Shahrooz/0000-0002-3010-8798; Grahn, Hakan/0000-0001-9947-1088</t>
  </si>
  <si>
    <t xml:space="preserve">This work is part of the research project Scalable resource-efficient systems for big data analytics funded by the Knowledge Foundation (grant: 20140032) in Sweden.</t>
  </si>
  <si>
    <t xml:space="preserve">1996-1073</t>
  </si>
  <si>
    <t xml:space="preserve">Energies</t>
  </si>
  <si>
    <t xml:space="preserve">10.3390/en13215781</t>
  </si>
  <si>
    <t xml:space="preserve">Energy &amp; Fuels</t>
  </si>
  <si>
    <t xml:space="preserve">OQ6AN</t>
  </si>
  <si>
    <t xml:space="preserve">WOS:000588863900001</t>
  </si>
  <si>
    <t xml:space="preserve">Petersen, K; Gerken, JM</t>
  </si>
  <si>
    <t xml:space="preserve">Petersen, Kai; Gerken, Jan M.</t>
  </si>
  <si>
    <t xml:space="preserve">On the road to interactive LLM-based systematic mapping studies</t>
  </si>
  <si>
    <t xml:space="preserve">Systematic mapping studies; Large language models; GPT</t>
  </si>
  <si>
    <t xml:space="preserve">Context: The research volume is continuously increasing. Manual analysis of large topic scopes and continuously updating literature studies with the newest research results is effort intensive and, therefore, difficult to achieve. Objective: To discuss possibilities and next steps for using LLMs (e.g., GPT-4) in the mapping study process. Method: The research can be classified as a solution proposal. The solution was iteratively designed and discussed among the authors based on their experience with LLMs and literature reviews. Results: We propose strategies for the mapping process, outlining the use of agents and prompting strategies for each step. Conclusion: Given the potential of LLMs in literature studies, we should work on a holistic solutions for LLM-supported mapping studies.</t>
  </si>
  <si>
    <t xml:space="preserve">[Petersen, Kai] Blekinge Inst Technol, Valhallavagen 1, S-37141 Karlskrona, Sweden</t>
  </si>
  <si>
    <t xml:space="preserve">Petersen, K (corresponding author), Flensburg Univ Appl Sci FUAS, Kanzleistr 91-93, D-24943 Flensburg, Germany.</t>
  </si>
  <si>
    <t xml:space="preserve">kai.petersen@hs-flensburg.de; jan.gerken@hs-flensburg.de</t>
  </si>
  <si>
    <t xml:space="preserve">10.1016/j.infsof.2024.107611</t>
  </si>
  <si>
    <t xml:space="preserve">NOV 2024</t>
  </si>
  <si>
    <t xml:space="preserve">L5T0V</t>
  </si>
  <si>
    <t xml:space="preserve">WOS:001351330500001</t>
  </si>
  <si>
    <t xml:space="preserve">Araujo, GF; Machado, R; Pettersson, MI</t>
  </si>
  <si>
    <t xml:space="preserve">Araujo, Gustavo F.; Machado, Renato; Pettersson, Mats I.</t>
  </si>
  <si>
    <t xml:space="preserve">Synthetic SAR Data Generator Using Pix2pix cGAN Architecture for Automatic Target Recognition</t>
  </si>
  <si>
    <t xml:space="preserve">Automatic target recognition; classification; conditional generative adversarial networks; data augmentation; Pix2Pix; synthetic aperture radar; synthetic data</t>
  </si>
  <si>
    <t xml:space="preserve">ADVERSARIAL NETWORK; ATR</t>
  </si>
  <si>
    <t xml:space="preserve">Synthetic Aperture Radar (SAR) technology has unique advantages but faces challenges in obtaining enough data for noncooperative target classes. We propose a method to generate synthetic SAR data using a modified pix2pix Conditional Generative Adversarial Networks (cGAN) architecture. The cGAN is trained to create synthetic SAR images with specific azimuth and elevation angles, demonstrating its capability to closely mimic authentic SAR imagery through convergence and collapsing analyses. The study uses a model-based algorithm to assess the practicality of the generated synthetic data for Automatic Target Recognition (ATR). The results reveal that the classification accuracy achieved with synthetic data is comparable to that attained with original data, highlighting the effectiveness of the proposed method in mitigating the limitations imposed by noncooperative SAR data scarcity for ATR. This innovative approach offers a promising solution to craft customized synthetic SAR data, ultimately enhancing ATR performance in remote sensing.</t>
  </si>
  <si>
    <t xml:space="preserve">[Araujo, Gustavo F.; Machado, Renato] Aeronaut Inst Technol ITA, BR-12228900 Sao Jose Dos Campos, Brazil; [Pettersson, Mats I.] Blekinge Inst Technol BTH, S-37179 Karlskrona, Sweden</t>
  </si>
  <si>
    <t xml:space="preserve">Araujo, GF (corresponding author), Aeronaut Inst Technol ITA, BR-12228900 Sao Jose Dos Campos, Brazil.</t>
  </si>
  <si>
    <t xml:space="preserve">gustavo.farhat@gmail.com</t>
  </si>
  <si>
    <t xml:space="preserve">Pettersson, Mats/0000-0002-6643-312X; Araujo, Gustavo/0000-0002-1115-5097</t>
  </si>
  <si>
    <t xml:space="preserve">Brazilian Air Force</t>
  </si>
  <si>
    <t xml:space="preserve">10.1109/ACCESS.2023.3343910</t>
  </si>
  <si>
    <t xml:space="preserve">CR9S3</t>
  </si>
  <si>
    <t xml:space="preserve">WOS:001127093100001</t>
  </si>
  <si>
    <t xml:space="preserve">Schwieger, K; Wagner, S</t>
  </si>
  <si>
    <t xml:space="preserve">Schwieger, Kay; Wagner, Stefan</t>
  </si>
  <si>
    <t xml:space="preserve">An Atiyah Sequence for Noncommutative Principal Bundles</t>
  </si>
  <si>
    <t xml:space="preserve">SYMMETRY INTEGRABILITY AND GEOMETRY-METHODS AND APPLICATIONS</t>
  </si>
  <si>
    <t xml:space="preserve">Atiyah sequence; noncommutative principal bundle; freeness; factor system</t>
  </si>
  <si>
    <t xml:space="preserve">We present a derivation-based Atiyah sequence for noncommutative principal bundles. Along the way we treat the problem of deciding when a given *-automorphism on the quantum base space lifts to a *-automorphism on the quantum total space that commutes with the underlying structure group.</t>
  </si>
  <si>
    <t xml:space="preserve">[Schwieger, Kay] Iteratec GmbH, Zettachring 6, D-70567 Stuttgart, Germany; [Wagner, Stefan] Blekinge Tekniska Hgsk, SE-37179 Karlskrona, Sweden</t>
  </si>
  <si>
    <t xml:space="preserve">Schwieger, K (corresponding author), Iteratec GmbH, Zettachring 6, D-70567 Stuttgart, Germany.</t>
  </si>
  <si>
    <t xml:space="preserve">kay.schwieger@gmail.com; stefan.wagner@bth.se</t>
  </si>
  <si>
    <t xml:space="preserve">Wagner, Stefan/0000-0002-2839-2590</t>
  </si>
  <si>
    <t xml:space="preserve">Centre International de Rencontres Mathematiques [REB 2177]; Blekinge Tekniska Hogskola</t>
  </si>
  <si>
    <t xml:space="preserve">Centre International de Rencontres Mathematiques; Blekinge Tekniska Hogskola</t>
  </si>
  <si>
    <t xml:space="preserve">We gratefully acknowledge the Centre International de Rencontres Mathematiques, REB 2177, as well as Blekinge Tekniska Hogskola for supporting this research. The first name author expresses his gratitude to iteratec GmbH. Last but not least, we wish to thank the anonymous referees for providing fruitful criticism that helped to improve the manuscript.</t>
  </si>
  <si>
    <t xml:space="preserve">NATL ACAD SCI UKRAINE, INST MATH</t>
  </si>
  <si>
    <t xml:space="preserve">KYIV 4</t>
  </si>
  <si>
    <t xml:space="preserve">3 TERESCHCHENKIV SKA ST, KYIV 4, 01601, UKRAINE</t>
  </si>
  <si>
    <t xml:space="preserve">1815-0659</t>
  </si>
  <si>
    <t xml:space="preserve">SYMMETRY INTEGR GEOM</t>
  </si>
  <si>
    <t xml:space="preserve">Symmetry Integr. Geom.</t>
  </si>
  <si>
    <t xml:space="preserve">10.3842/SIGMA.2022.015</t>
  </si>
  <si>
    <t xml:space="preserve">Mathematics; Physics, Mathematical</t>
  </si>
  <si>
    <t xml:space="preserve">Mathematics; Physics</t>
  </si>
  <si>
    <t xml:space="preserve">ZP7VZ</t>
  </si>
  <si>
    <t xml:space="preserve">WOS:000766629200001</t>
  </si>
  <si>
    <t xml:space="preserve">Smite, D; Moe, NB; Klotins, E; Gonzalez-Huerta, J</t>
  </si>
  <si>
    <t xml:space="preserve">Smite, Darja; Moe, Nils Brede; Klotins, Eriks; Gonzalez-Huerta, Javier</t>
  </si>
  <si>
    <t xml:space="preserve">From forced Working-From-Home to voluntary working-from-anywhere: Two revolutions in telework?</t>
  </si>
  <si>
    <t xml:space="preserve">Working from home; WFH; Telework; COVID-19; Software engineering; Case study; Empirical study</t>
  </si>
  <si>
    <t xml:space="preserve">CONNECTIVITY</t>
  </si>
  <si>
    <t xml:space="preserve">The COVID-19 outbreak has admittedly caused interruptions to production, transportation, and mobility, therefore, having a significant impact on the global supply and demand chain's well-functioning. But what happened to companies developing digital services, such as software? How has the enforced Working-From-Home (WFH) mode impacted their ability to deliver software, if at all? This article shares our findings from monitoring the WFH during 2020 in an international software company with engineers located in Sweden, the USA, and the UK. We analyzed different aspects of productivity, such as developer job satisfaction and well-being, activity, communication and collaboration, efficiency and flow based on the archives of commit data, calendar invites, Slack communication, the internal reports of WFH experiences, and 30 interviews carried out in April/May and September 2020. We add more objective evidence to the existing COVID-19 studies the vast majority of which are based on self-reported productivity from the early months of the pandemic. We find that engineers continue committing code and carrying out their daily duties, as their routines adjust to the new norm. Our key message is that software engineers can work from home and quickly adjust their tactical approaches to the changes of unprecedented scale. Further, WFH has its benefits, including better work-life balance, improved flow, and improved quality of distributed meetings and events. Yet, WFH is not challenge free: not everybody feels equally productive working from home, work hours for many increased, while physical activity, socialization, pairing and opportunities to connect to unfamiliar colleagues decreased. Information sharing and meeting patterns also changed. Finally, experiences gained during the pandemic will have a lasting impact on the future of the workplace. The results of an internal company-wide survey suggest that only 9% of engineers will return to work in the office full time. Our article concludes with the InterSoft's strategy for work from anywhere (WFX), and a list of useful adjustments for a better WFH.(c) 2022 The Author(s). Published by Elsevier Inc. This is an open access article under the CC BY license (http://creativecommons.org/licenses/by/4.0/).</t>
  </si>
  <si>
    <t xml:space="preserve">[Smite, Darja; Moe, Nils Brede; Klotins, Eriks; Gonzalez-Huerta, Javier] Blekinge Inst Technol, Karlskrona, Sweden; [Smite, Darja; Moe, Nils Brede] SINTEF, Trondheim, Norway</t>
  </si>
  <si>
    <t xml:space="preserve">Blekinge Institute Technology; SINTEF</t>
  </si>
  <si>
    <t xml:space="preserve">Smite, D (corresponding author), Blekinge Inst Technol, Karlskrona, Sweden.;Smite, D (corresponding author), SINTEF, Trondheim, Norway.</t>
  </si>
  <si>
    <t xml:space="preserve">darja.smite@bth.se; nils.b.moe@sintef.no; eriks.klotins@bth.se; javier.gonzalez.huerta@bth.se</t>
  </si>
  <si>
    <t xml:space="preserve">Moe, Nils/AAD-8183-2021; Gonzalez-Huerta, Javier/V-4258-2019</t>
  </si>
  <si>
    <t xml:space="preserve">Moe, Nils Brede/0000-0003-2669-0778</t>
  </si>
  <si>
    <t xml:space="preserve">Swedish Knowledge Foundation [2019/0087, 2017/0176, 2018/010]; Research Council of Norway [309344, 267704]</t>
  </si>
  <si>
    <t xml:space="preserve">Swedish Knowledge Foundation; Research Council of Norway(Research Council of Norway)</t>
  </si>
  <si>
    <t xml:space="preserve">We would like to thank InterSoft for opening their virtual doors and all participants of our study for spending their time with us during the difficult times. We would also like to thank the reviewers of the initial versions of this paper, which was submitted to Communications of ACM, the submission that did not reach the final decision due to too lengthy review rounds. This research is funded by the Swedish Knowledge Foundation within the ScaleWise project (KK-Hog grant 2019/0087) and the SHADE project (KK-Hog grant 2017/0176), and the S.E.R.T. research profile project (grant 2018/010), and the Research Council of Norway through the 10xTeams project (grant 309344) and the A-team project (grant 267704).</t>
  </si>
  <si>
    <t xml:space="preserve">10.1016/j.jss.2022.111509</t>
  </si>
  <si>
    <t xml:space="preserve">5T1XP</t>
  </si>
  <si>
    <t xml:space="preserve">WOS:000875668800002</t>
  </si>
  <si>
    <t xml:space="preserve">Pernstal, T; Degerman, J; Broström, H; Vu, VT; Pettersson, MI</t>
  </si>
  <si>
    <t xml:space="preserve">Pernstal, Thomas; Degerman, Johan; Brostrom, Henric; Viet Thuy Vu; Pettersson, Mats, I</t>
  </si>
  <si>
    <t xml:space="preserve">GIP test for Automotive FMCW interference Detection and Suppression</t>
  </si>
  <si>
    <t xml:space="preserve">2020 IEEE RADAR CONFERENCE (RADARCONF20)</t>
  </si>
  <si>
    <t xml:space="preserve">IEEE Radar Conference</t>
  </si>
  <si>
    <t xml:space="preserve">SEP 21-25, 2020</t>
  </si>
  <si>
    <t xml:space="preserve">Florence, ITALY</t>
  </si>
  <si>
    <t xml:space="preserve">mm-wave FMCW radar; interference mitigation; GIP outlier detection</t>
  </si>
  <si>
    <t xml:space="preserve">This paper addresses the problem of mutual interference between automotive radars. The rapid growth of automotive and commercial radar systems on the market does not only facilitate new applications, e.g., advanced driver assistant systems, but also put demands on the possibilities for co-existence, i.e. cohabitant systems. For military radar systems, various jammer and interference mitigation methods have been extensively analyzed and evaluated for decades. However, until now, the co-existence and influence of jamming/interference have almost been ignored for the commercial radar business. A Generalized Inner Product, GIP, test based outlier detector and interference estimation is presented here, which suppress the interferences only in those Directions of Arrival, DOA, and time domain portions where the nuisance signals appear. We will denote this GIP test based Interference Detector and Suppression as the GIDS method. Using GIDS, the target detection performance for the specific interference DOA will merely have a small loss instead of being completely suppressed, e.g., sample matrix inversion implementation of spatial nulling. The proposed technique is robust and does not rely on any calibration for the interference cancellation. Based on simulation and experimental data, we have shown that without losing target detection performance, we achieved up to about 30 dB enhancement for the Signal to Interference and Noise Ratio.</t>
  </si>
  <si>
    <t xml:space="preserve">[Pernstal, Thomas; Degerman, Johan; Brostrom, Henric] SafeRadar Res Sweden AB, S-43135 Molndal, Sweden; [Viet Thuy Vu; Pettersson, Mats, I] Blekinge Inst Technol, S-37179 Karlskrona, Sweden</t>
  </si>
  <si>
    <t xml:space="preserve">Pernstal, T (corresponding author), SafeRadar Res Sweden AB, S-43135 Molndal, Sweden.</t>
  </si>
  <si>
    <t xml:space="preserve">thomas.pernstal@saferadar.se; johan.degerman@saferadar.se; Henric.Brostrom@saferadar.se; viet.thuy.vu@bth.se; mats.pettersson@bth.se</t>
  </si>
  <si>
    <t xml:space="preserve">1097-5764</t>
  </si>
  <si>
    <t xml:space="preserve">978-1-7281-8942-0</t>
  </si>
  <si>
    <t xml:space="preserve">IEEE RAD CONF</t>
  </si>
  <si>
    <t xml:space="preserve">10.1109/radarconf2043947.2020.9266360</t>
  </si>
  <si>
    <t xml:space="preserve">Engineering, Electrical &amp; Electronic; Physics, Applied; Telecommunications</t>
  </si>
  <si>
    <t xml:space="preserve">Engineering; Physics; Telecommunications</t>
  </si>
  <si>
    <t xml:space="preserve">BQ6JJ</t>
  </si>
  <si>
    <t xml:space="preserve">WOS:000612224900053</t>
  </si>
  <si>
    <t xml:space="preserve">Ahmed, S; Bhatti, MT; Khan, MG; Lövström, B; Shahid, M</t>
  </si>
  <si>
    <t xml:space="preserve">Ahmed, Soban; Bhatti, Muhammad Tahir; Khan, Muhammad Gufran; Lovstrom, Benny; Shahid, Muhammad</t>
  </si>
  <si>
    <t xml:space="preserve">Development and Optimization of Deep Learning Models for Weapon Detection in Surveillance Videos</t>
  </si>
  <si>
    <t xml:space="preserve">weapon detection; object detection; deep learning; optimization; computer vision</t>
  </si>
  <si>
    <t xml:space="preserve">Featured Application This work has applied computer vision and deep learning technology to develop a real-time weapon detector system and tested it on different computing devices for large-scale deployment. Weapon detection in CCTV camera surveillance videos is a challenging task and its importance is increasing because of the availability and easy access of weapons in the market. This becomes a big problem when weapons go into the wrong hands and are often misused. Advances in computer vision and object detection are enabling us to detect weapons in live videos without human intervention and, in turn, intelligent decisions can be made to protect people from dangerous situations. In this article, we have developed and presented an improved real-time weapon detection system that shows a higher mean average precision (mAP) score and better inference time performance compared to the previously proposed approaches in the literature. Using a custom weapons dataset, we implemented a state-of-the-art Scaled-YOLOv4 model that resulted in a 92.1 mAP score and frames per second (FPS) of 85.7 on a high-performance GPU (RTX 2080TI). Furthermore, to achieve the benefits of lower latency, higher throughput, and improved privacy, we optimized our model for implementation on a popular edge-computing device (Jetson Nano GPU) with the TensorRT network optimizer. We have also performed a comparative analysis of the previous weapon detector with our presented model using different CPU and GPU machines that fulfill the purpose of this work, making the selection of model and computing device easier for the users for deployment in a real-time scenario. The analysis shows that our presented models result in improved mAP scores on high-performance GPUs (such as RTX 2080TI), as well as on low-cost edge computing GPUs (such as Jetson Nano) for weapon detection in live CCTV camera surveillance videos.</t>
  </si>
  <si>
    <t xml:space="preserve">[Ahmed, Soban; Bhatti, Muhammad Tahir; Khan, Muhammad Gufran; Shahid, Muhammad] Natl Univ Comp &amp; Emerging Sci, Dept Elect Engn, Islamabad 44000, Pakistan; [Lovstrom, Benny] Blekinge Inst Technol, Dept Math &amp; Nat Sci, S-37141 Karlskrona, Sweden</t>
  </si>
  <si>
    <t xml:space="preserve">Khan, MG (corresponding author), Natl Univ Comp &amp; Emerging Sci, Dept Elect Engn, Islamabad 44000, Pakistan.</t>
  </si>
  <si>
    <t xml:space="preserve">f190851@nu.edu.pk; f179113@nu.edu.pk; m.gufran@nu.edu.pk; benny.lovstrom@bth.se; muhammad.shahid@ieee.org</t>
  </si>
  <si>
    <t xml:space="preserve">; Lovstrom, Benny/C-6732-2015</t>
  </si>
  <si>
    <t xml:space="preserve">Bhatti, Muhammad Tahir/0000-0002-9699-6716; Lovstrom, Benny/0000-0003-3824-0942; Khan, Muhammad Gufran/0000-0002-2199-1013</t>
  </si>
  <si>
    <t xml:space="preserve">10.3390/app12125772</t>
  </si>
  <si>
    <t xml:space="preserve">2M0MB</t>
  </si>
  <si>
    <t xml:space="preserve">WOS:000817404000001</t>
  </si>
  <si>
    <t xml:space="preserve">Petersen, K; Bin Ali, N</t>
  </si>
  <si>
    <t xml:space="preserve">Petersen, Kai; Bin Ali, Nauman</t>
  </si>
  <si>
    <t xml:space="preserve">An analysis of top author citations in software engineering and a comparison with other fields</t>
  </si>
  <si>
    <t xml:space="preserve">SCIENTOMETRICS</t>
  </si>
  <si>
    <t xml:space="preserve">Software engineering; Author citations; Self-citations; Comparison</t>
  </si>
  <si>
    <t xml:space="preserve">SCHOLARS; INSTITUTIONS; SYSTEMS; IMPACT</t>
  </si>
  <si>
    <t xml:space="preserve">Ioannidis et al. provided a science-wide database of author citations. The data offers an opportunity to researchers in a field to compare the citation behavior of their field with others. In this paper, we conduct a systematic analysis of citations describing the situation in software engineering and compare it with the fields included in the data provided by Ioannidis et al. For comparison, we take the measures used by Ioannidis into consideration. We also report the top-scientists and investigate software engineering researchers' activities in other fields. The data was obtained and provided by Ioannidis et al. based on the Scopus database. Our method for analysis focuses on descriptive statistics. We compared software engineering with other fields and reported demographic information for the top authors. The analysis was done without any modifications to the ranking. In the later analysis, we observed that 37% of researchers listed as software engineers were not in the software engineering field. On the other hand, the database included a large portion of top authors (ca. 60% to 80%) identified in other software engineering rankings. Other fields using the database are advised to review the author lists for their fields. Our research's main risk was that researchers are listed that do not belong to our studied field.</t>
  </si>
  <si>
    <t xml:space="preserve">[Petersen, Kai] Univ Appl Sci, Flensburg, Germany; [Petersen, Kai; Bin Ali, Nauman] Blekinge Inst Technol, Karlskrona, Sweden</t>
  </si>
  <si>
    <t xml:space="preserve">Petersen, K (corresponding author), Univ Appl Sci, Flensburg, Germany.;Petersen, K (corresponding author), Blekinge Inst Technol, Karlskrona, Sweden.</t>
  </si>
  <si>
    <t xml:space="preserve">kai.petersen@bth.se</t>
  </si>
  <si>
    <t xml:space="preserve">0138-9130</t>
  </si>
  <si>
    <t xml:space="preserve">1588-2861</t>
  </si>
  <si>
    <t xml:space="preserve">Scientometrics</t>
  </si>
  <si>
    <t xml:space="preserve">10.1007/s11192-021-04144-1</t>
  </si>
  <si>
    <t xml:space="preserve">OCT 2021</t>
  </si>
  <si>
    <t xml:space="preserve">Computer Science, Interdisciplinary Applications; Information Science &amp; Library Science</t>
  </si>
  <si>
    <t xml:space="preserve">Computer Science; Information Science &amp; Library Science</t>
  </si>
  <si>
    <t xml:space="preserve">WN0JT</t>
  </si>
  <si>
    <t xml:space="preserve">WOS:000705740400005</t>
  </si>
  <si>
    <t xml:space="preserve">Borg, A; Ahlstrand, J</t>
  </si>
  <si>
    <t xml:space="preserve">Filipe, J; Smialek, M; Brodsky, A; Hammoudi, S</t>
  </si>
  <si>
    <t xml:space="preserve">Borg, Anton; Ahlstrand, Jim</t>
  </si>
  <si>
    <t xml:space="preserve">Detecting Non-routine Customer Support E-Mails</t>
  </si>
  <si>
    <t xml:space="preserve">PROCEEDINGS OF THE 23RD INTERNATIONAL CONFERENCE ON ENTERPRISE INFORMATION SYSTEMS (ICEIS 2021), VOL 1</t>
  </si>
  <si>
    <t xml:space="preserve">23rd International Conference on Enterprise Information Systems (ICEIS)</t>
  </si>
  <si>
    <t xml:space="preserve">APR 26-28, 2021</t>
  </si>
  <si>
    <t xml:space="preserve">INSTICC</t>
  </si>
  <si>
    <t xml:space="preserve">E-Mail Outliers; Customer Support System; Outlier Detection; Machine Learning; Decision Support</t>
  </si>
  <si>
    <t xml:space="preserve">Customer support can affect customer churn both positively and negatively. By identify non-routine e-mails to be handled by senior customer support agents, the customer support experience can potentially be improved. Complex e-mails, i.e. non-routine, might require longer time to handle, being more suitable for senior staff. Non-routine e-mails can be considered anomalous. This paper investigates an approach for context-based unsupervised anomaly detection that can assign each e-mail an anomaly score. This is investigated in customer support setting with 43523 e-mails. Context-based anomalies are investigated over different time resolutions, by multiple algorithms. The likelihood of anomalous e-mails can be considered increased when identified by several algorithms or over multiple time resolutions. The approach is suitable to implement as a decision support system for customer support agents in detecting e-mails that should be handled by senior staff.</t>
  </si>
  <si>
    <t xml:space="preserve">[Borg, Anton] Blekinge Inst Technol, S-37179 Karlskrona, Sweden; [Ahlstrand, Jim] Telenor AB, Karlskrona, Sweden</t>
  </si>
  <si>
    <t xml:space="preserve">Borg, Anton/AAS-4475-2021; Ahlstrand, Jim/HIZ-8715-2022</t>
  </si>
  <si>
    <t xml:space="preserve">Ahlstrand, Jim/0000-0002-0179-5090</t>
  </si>
  <si>
    <t xml:space="preserve">978-989-758-509-8</t>
  </si>
  <si>
    <t xml:space="preserve">10.5220/0010396203870394</t>
  </si>
  <si>
    <t xml:space="preserve">BS9PM</t>
  </si>
  <si>
    <t xml:space="preserve">WOS:000783390600042</t>
  </si>
  <si>
    <t xml:space="preserve">Sablis, A; Smite, D; Moe, N</t>
  </si>
  <si>
    <t xml:space="preserve">Sablis, Aivars; Smite, Darja; Moe, Nils</t>
  </si>
  <si>
    <t xml:space="preserve">Team-external coordination in large-scale software development projects</t>
  </si>
  <si>
    <t xml:space="preserve">JOURNAL OF SOFTWARE-EVOLUTION AND PROCESS</t>
  </si>
  <si>
    <t xml:space="preserve">case study; empirical; expertise coordination; large-scale software development; work coordination</t>
  </si>
  <si>
    <t xml:space="preserve">KNOWLEDGE MANAGEMENT; PERFORMANCE; INFORMATION; SPEED; COMMUNICATION; PRODUCTIVITY; FAMILIARITY; EXPERTISE; NETWORKS; PROGRAMS</t>
  </si>
  <si>
    <t xml:space="preserve">High-quality work is said to depend on team abilities. However, teams working in large-scale projects often do not have all expertise to complete their tasks, which are also highly interdependent. Therefore, teams need to rely on coordination with other teams, experts, and supporting roles. In this paper, we explore teams' coordination needs and evaluate the impact of the satisfaction of these needs on team performance. We conducted an embedded multicase study with nine teams in two projects in two companies. We collected qualitative data through nine focus groups and 19 interviews and quantitative data using a questionnaire with 49 members from the studied teams. Our results suggest that project-, team-, and task-related characteristics impact teams' coordination needs. Even in the same project, teams may have different expertise and work coordination needs. We found that the satisfaction of these needs seems to influence teams' performance, although our results are inconclusive and yield a closer look in future research. On the basis of our findings, we recommend the companies to cultivate a networking culture and support teams external coordination with other teams and experts, paying attention to their needs, for example, driven by a lack of experience or increased work complexity.</t>
  </si>
  <si>
    <t xml:space="preserve">[Sablis, Aivars; Smite, Darja; Moe, Nils] Blekinge Inst Technol, Dept Software Engn, Blekinge Tekniska Hgsk, S-37179 Karlskrona, Sweden; [Moe, Nils] SINTEF, Digital, Strindvegen 4, N-7034 Trondheim, Norway</t>
  </si>
  <si>
    <t xml:space="preserve">Sablis, A (corresponding author), Blekinge Inst Technol, Dept Software Engn, Blekinge Tekniska Hgsk, S-37179 Karlskrona, Sweden.</t>
  </si>
  <si>
    <t xml:space="preserve">aivars.sablis@bth.se</t>
  </si>
  <si>
    <t xml:space="preserve">Moe, Nils/AAD-8183-2021</t>
  </si>
  <si>
    <t xml:space="preserve">Sablis, Aivars/0000-0003-2972-139X</t>
  </si>
  <si>
    <t xml:space="preserve">Research council of Norway [267704]; Swedish Knowledge Foundation [2009/0249, 2016/0191]</t>
  </si>
  <si>
    <t xml:space="preserve">Research council of Norway(Research Council of Norway); Swedish Knowledge Foundation</t>
  </si>
  <si>
    <t xml:space="preserve">Research council of Norway, Grant/Award Number: 267704; Swedish Knowledge Foundation, Grant/Award Numbers: KK-Hog grant 2009/0249, KK-Hog grant 2016/0191</t>
  </si>
  <si>
    <t xml:space="preserve">2047-7473</t>
  </si>
  <si>
    <t xml:space="preserve">2047-7481</t>
  </si>
  <si>
    <t xml:space="preserve">J SOFTW-EVOL PROC</t>
  </si>
  <si>
    <t xml:space="preserve">J. Softw.-Evol. Proc.</t>
  </si>
  <si>
    <t xml:space="preserve">e2297</t>
  </si>
  <si>
    <t xml:space="preserve">10.1002/smr.2297</t>
  </si>
  <si>
    <t xml:space="preserve">QT0GD</t>
  </si>
  <si>
    <t xml:space="preserve">WOS:000543671000001</t>
  </si>
  <si>
    <t xml:space="preserve">Nawaz, O; Khatibi, S; Sheikh, MN; Fiedler, M</t>
  </si>
  <si>
    <t xml:space="preserve">Nawaz, Omer; Khatibi, Siamak; Sheikh, Muhammad Nauman; Fiedler, Markus</t>
  </si>
  <si>
    <t xml:space="preserve">Eye Tracking and Human Influence Factors' Impact on Quality of Experience of Mobile Gaming</t>
  </si>
  <si>
    <t xml:space="preserve">FUTURE INTERNET</t>
  </si>
  <si>
    <t xml:space="preserve">gaze tracking; QoE; mobile gaming; eye tracking in mobile gaming; human IFs and multimedia</t>
  </si>
  <si>
    <t xml:space="preserve">MEAN OPINION SCORE</t>
  </si>
  <si>
    <t xml:space="preserve">Mobile gaming accounts for more than 50% of global online gaming revenue, surpassing console and browser-based gaming. The success of mobile gaming titles depends on optimizing applications for the specific hardware constraints of mobile devices, such as smaller displays and lower computational power, to maximize battery life. Additionally, these applications must dynamically adapt to the variations in network speed inherent in mobile environments. Ultimately, user engagement and satisfaction are critical, necessitating a favorable comparison to browser and console-based gaming experiences. While Quality of Experience (QoE) subjective evaluations through user surveys are the most reliable method for assessing user perception, various factors, termed influence factors (IFs), can affect user ratings of stimulus quality. This study examines human influence factors in mobile gaming, specifically analyzing the impact of user delight towards displayed content and the effect of gaze tracking. Using Pupil Core eye-tracking hardware, we captured user interactions with mobile devices and measured visual attention. Video stimuli from eight popular games were selected, with resolutions of 720p and 1080p and frame rates of 30 and 60 fps. Our results indicate a statistically significant impact of user delight on the MOS for most video stimuli across all games. Additionally, a trend favoring higher frame rates over screen resolution emerged in user ratings. These findings underscore the significance of optimizing mobile gaming experiences by incorporating models that estimate human influence factors to enhance user satisfaction and engagement.</t>
  </si>
  <si>
    <t xml:space="preserve">[Nawaz, Omer; Khatibi, Siamak; Fiedler, Markus] Blekinge Inst Technol, Dept Technol &amp; Aesthet, Karlskrona S-371 79, Sweden; [Sheikh, Muhammad Nauman] Dubizzlelabs, Lahore, Pakistan</t>
  </si>
  <si>
    <t xml:space="preserve">Nawaz, O; Khatibi, S (corresponding author), Blekinge Inst Technol, Dept Technol &amp; Aesthet, Karlskrona S-371 79, Sweden.</t>
  </si>
  <si>
    <t xml:space="preserve">omer.nawaz@bth.se; siamak.khatibi@bth.se; nauman.sheikh@dubizzlelabs.com; markus.fiedler@bth.se</t>
  </si>
  <si>
    <t xml:space="preserve">Sheikh, Muhammad Nauman/0009-0003-6949-1522; Fiedler, Markus/0000-0001-8929-4911; Nawaz, Omer/0009-0004-2874-0403; Khatibi, Siamak/0000-0003-4327-117X</t>
  </si>
  <si>
    <t xml:space="preserve">1999-5903</t>
  </si>
  <si>
    <t xml:space="preserve">Future Internet</t>
  </si>
  <si>
    <t xml:space="preserve">10.3390/fi16110420</t>
  </si>
  <si>
    <t xml:space="preserve">Computer Science, Information Systems</t>
  </si>
  <si>
    <t xml:space="preserve">N5Y5B</t>
  </si>
  <si>
    <t xml:space="preserve">WOS:001365091400001</t>
  </si>
  <si>
    <t xml:space="preserve">Minhas, NM; Koppula, TR; Petersen, K; Börstler, J</t>
  </si>
  <si>
    <t xml:space="preserve">Minhas, Nasir Mehmood; Koppula, Thejendar Reddy; Petersen, Kai; Borstler, Jurgen</t>
  </si>
  <si>
    <t xml:space="preserve">Using goal-question-metric to compare research and practice perspectives on regression testing</t>
  </si>
  <si>
    <t xml:space="preserve">goals; GQM; measures; metrics; objectives; regression testing</t>
  </si>
  <si>
    <t xml:space="preserve">TEST-CASE PRIORITIZATION; SELECTION; FAULTS; TIME</t>
  </si>
  <si>
    <t xml:space="preserve">Regression testing is challenging because of its complexity and the amount of effort and time it requires, especially in large-scale environments with continuous integration and delivery. Regression test selection and prioritization techniques have been proposed in the literature to address the regression testing challenges, but adoption rates of these techniques in industry are not encouraging. One of the possible reasons could be the disparity in the regression testing goals in industry and literature. This work compares the research perspective to industry practice on regression testing goals, corresponding information needs, and metrics required to evaluate these goals. We have conducted a literature review of 44 research papers and a survey with 56 testing practitioners. The survey comprises 11 interviews and 45 responses to an online questionnaire. We identified that industry and research accentuate different regression testing goals. For instance, the literature emphasizes increasing the fault detection rates of test suites and early identification of critical faults. In contrast, the practitioners' focus is on test suite maintenance, controlled fault slippage, and awareness of changes. Similarly, the literature suggests maintaining information needs from test case execution histories to evaluate regression testing techniques based on various metrics, whereas, at large, the practitioners do not use the metrics suggested in the literature. To bridge the research and practice gap, based on the literature and survey findings, we have created a goal-question-metric (GQM) model that maps the regression testing goals, associated information needs, and metrics from both perspectives. The GQM model can guide researchers in proposing new techniques closer to industry contexts. Practitioners can benefit from information needs and metrics presented in the literature and can use GQM as a tool to follow their regression testing goals.</t>
  </si>
  <si>
    <t xml:space="preserve">[Minhas, Nasir Mehmood; Koppula, Thejendar Reddy; Petersen, Kai; Borstler, Jurgen] Blekinge Inst Technol, Dept Software Engn, S-37179 Karlskrona, Blekinge, Sweden; [Petersen, Kai] Univ Appl Sci Flensburg, Flensburg, Germany</t>
  </si>
  <si>
    <t xml:space="preserve">Minhas, NM (corresponding author), Blekinge Inst Technol, Dept Software Engn, S-37179 Karlskrona, Blekinge, Sweden.</t>
  </si>
  <si>
    <t xml:space="preserve">nasir.mehmood.minhas@bth.se</t>
  </si>
  <si>
    <t xml:space="preserve">Minhas, Nasir Mehmood/0000-0001-8177-4355; Borstler, Jurgen/0000-0003-0639-4234</t>
  </si>
  <si>
    <t xml:space="preserve">ELLIIT: the Swedish Strategic Research Area in IT and Mobile Communications</t>
  </si>
  <si>
    <t xml:space="preserve">This work has in parts been supported by ELLIIT: the Swedish Strategic Research Area in IT and Mobile Communications.</t>
  </si>
  <si>
    <t xml:space="preserve">e2506</t>
  </si>
  <si>
    <t xml:space="preserve">10.1002/smr.2506</t>
  </si>
  <si>
    <t xml:space="preserve">8F6FF</t>
  </si>
  <si>
    <t xml:space="preserve">WOS:000852963100001</t>
  </si>
  <si>
    <t xml:space="preserve">da Silva, FG; Ramos, LP; Palm, BG; Alves, DI; Pettersson, MI; Machado, R</t>
  </si>
  <si>
    <t xml:space="preserve">Dijk, J</t>
  </si>
  <si>
    <t xml:space="preserve">da Silva, Fabiano G.; Ramos, Lucas P.; Palm, Bruna G.; Alves, Dimas I.; Pettersson, Mats I.; Machado, Renato</t>
  </si>
  <si>
    <t xml:space="preserve">Hybrid Feature Extraction Based on PCA and CNN for Oil Rig Classification in C-Band SAR Imagery</t>
  </si>
  <si>
    <t xml:space="preserve">ARTIFICIAL INTELLIGENCE AND MACHINE LEARNING IN DEFENSE APPLICATIONS IV</t>
  </si>
  <si>
    <t xml:space="preserve">Proceedings of SPIE</t>
  </si>
  <si>
    <t xml:space="preserve">Conference on Artificial Intelligence and Machine Learning in Defense Applications IV</t>
  </si>
  <si>
    <t xml:space="preserve">SEP 06-07, 2022</t>
  </si>
  <si>
    <t xml:space="preserve">SPIE</t>
  </si>
  <si>
    <t xml:space="preserve">C-Band; SAR; Feature Extraction; PCA; CNN; Target Classification; Machine Learning; Sentinel-1</t>
  </si>
  <si>
    <t xml:space="preserve">Feature extraction techniques play an essential role in classifying and recognizing targets in synthetic aperture radar (SAR) images. This article proposes a hybrid feature extraction technique based on convolutional neural networks and principal component analysis. The proposed method is used to extract features of oil rigs and ships in C-band synthetic aperture radar polarimetric images obtained with the Sentinel-1 satellite system. The extracted features are used as input in the logistic regression (LR), support vector machine (SVM), random forest (RF), naive Bayes (NB), decision tree (DT), and k-nearest-neighbors (kNN) classification algorithms. Furthermore, the statistical tests of Kruskal-Wallis and Dunn were considered to show that the proposed extraction algorithm has a significant impact on the performance of the classifiers.</t>
  </si>
  <si>
    <t xml:space="preserve">[da Silva, Fabiano G.; Ramos, Lucas P.; Palm, Bruna G.; Alves, Dimas I.; Machado, Renato] Aeronaut Inst Technol ITA, Sao Jose Dos Campos, SP, Brazil; [Palm, Bruna G.; Pettersson, Mats I.] Blekinge Inst Technol BTH, Karlskrona, Sweden</t>
  </si>
  <si>
    <t xml:space="preserve">da Silva, FG; Ramos, LP (corresponding author), Aeronaut Inst Technol ITA, Sao Jose Dos Campos, SP, Brazil.</t>
  </si>
  <si>
    <t xml:space="preserve">fabianofgs@ita.br; lucaspr@ieee.org</t>
  </si>
  <si>
    <t xml:space="preserve">Machado, Renato/P-8515-2018; Ramos, Lucas/ABF-6724-2020; G. Palm, Bruna/AAZ-4107-2021; Irion Alves, Dimas/AAY-4651-2021; Pettersson, Mats/N-1063-2016</t>
  </si>
  <si>
    <t xml:space="preserve">Irion Alves, Dimas/0000-0002-5443-6446; Pedroso Ramos, Lucas/0000-0001-9267-6718; Gabriel da Silva, Fabiano/0000-0003-4266-895X; Pettersson, Mats/0000-0002-6643-312X</t>
  </si>
  <si>
    <t xml:space="preserve">(Coordination for the Improvement of Higher Education Personnel) - Brazil (CAPES-Brazil) [001]; Brazilian National Council for Scientific and Technological Development (CNPq-Brazil) [2020/09838-0]; Sao Paulo Research Foundation (FAPESP), Brazil; Swedish-Brazilian Research and Innovation Centre (CISB)</t>
  </si>
  <si>
    <t xml:space="preserve">(Coordination for the Improvement of Higher Education Personnel) - Brazil (CAPES-Brazil); Brazilian National Council for Scientific and Technological Development (CNPq-Brazil)(Conselho Nacional de Desenvolvimento Cientifico e Tecnologico (CNPQ)); Sao Paulo Research Foundation (FAPESP), Brazil(Fundacao de Amparo a Pesquisa do Estado de Sao Paulo (FAPESP)); Swedish-Brazilian Research and Innovation Centre (CISB)</t>
  </si>
  <si>
    <t xml:space="preserve">This study was financed in part by the Coordination for the Improvement of Higher Education Personnel) - Brazil (CAPES-Brazil) -Finance Code 001 (Pro-Defesa IV) and by Brazilian National Council for Scientific and Technological Development (CNPq-Brazil). The authors also thank the Brazilian Institute of Data Science (BI0S), grant 2020/09838-0, Sao Paulo Research Foundation (FAPESP), Brazil, and the Swedish-Brazilian Research and Innovation Centre (CISB). Finally, the authors would like to thank the European Space Agency (ESA) for the Sentinel-1 Open Data Set provided by Copernicus Open Access Hub.</t>
  </si>
  <si>
    <t xml:space="preserve">SPIE-INT SOC OPTICAL ENGINEERING</t>
  </si>
  <si>
    <t xml:space="preserve">BELLINGHAM</t>
  </si>
  <si>
    <t xml:space="preserve">1000 20TH ST, PO BOX 10, BELLINGHAM, WA 98227-0010 USA</t>
  </si>
  <si>
    <t xml:space="preserve">0277-786X</t>
  </si>
  <si>
    <t xml:space="preserve">1996-756X</t>
  </si>
  <si>
    <t xml:space="preserve">978-1-5106-5556-0</t>
  </si>
  <si>
    <t xml:space="preserve">PROC SPIE</t>
  </si>
  <si>
    <t xml:space="preserve">122760G</t>
  </si>
  <si>
    <t xml:space="preserve">10.1117/12.2636274</t>
  </si>
  <si>
    <t xml:space="preserve">BU4ST</t>
  </si>
  <si>
    <t xml:space="preserve">WOS:000906230300013</t>
  </si>
  <si>
    <t xml:space="preserve">Singh, SV; Fiedler, M</t>
  </si>
  <si>
    <t xml:space="preserve">Singh, Saket Vikram; Fiedler, Markus</t>
  </si>
  <si>
    <t xml:space="preserve">Quality of Experience of 360-degree Videos Played in Google Cardboard Devices</t>
  </si>
  <si>
    <t xml:space="preserve">Quality of Experience (QoE); Virtual Reality (VR); User Experiments; Comfort; Presence; Interactivity; Opinion Scores; Statistics; Mean Opinion Score (MOS); Good or Better (GoB); Poor or Worse (PoW)</t>
  </si>
  <si>
    <t xml:space="preserve">Google Cardboard boxes provide a cost-efficient way to introduce users to Virtual Reality (VR) applications. These devices are suitable to be utilized for entertainment, gaming, and online studies. The 360-degree videos also known as immersive videos, play panoramic view in a video. The videos are played with a mobile phone mounted on a cardboard box and are viewed by wearing or holding the cardboard box. This paper studies the QoE of users (N=60) with QoE features user comfort, presence, and interactivity with panoramic video, based on QoE factors such as lens quality, weight and handling properties of the device. The experimental data is analysed in terms of statistical properties such as Mean Opinion Scores (MOS) including confidence intervals, as well as Percents of Good or Better (%GoB) and Poor or Worse (%PoW). Furthermore, the correlations between user ratings with respect to different groups of QoE features are investigated. Overall, the paper shows cardboard boxes to yield good-to-fair QoE for viewing panoramic videos.</t>
  </si>
  <si>
    <t xml:space="preserve">[Singh, Saket Vikram] Tarento Technol, Bengaluru, India; [Fiedler, Markus] Blekinge Inst Technol, Karlshamn, Sweden</t>
  </si>
  <si>
    <t xml:space="preserve">Singh, SV (corresponding author), Tarento Technol, Bengaluru, India.</t>
  </si>
  <si>
    <t xml:space="preserve">10.5220/0009886901150122</t>
  </si>
  <si>
    <t xml:space="preserve">WOS:000615962300011</t>
  </si>
  <si>
    <t xml:space="preserve">Godliauskas, P; Smite, D</t>
  </si>
  <si>
    <t xml:space="preserve">Godliauskas, Povilas; Smite, Darja</t>
  </si>
  <si>
    <t xml:space="preserve">The well-being of software engineers: a systematic literature review and a theory</t>
  </si>
  <si>
    <t xml:space="preserve">Software engineering; Well-being; Positive psychology; Theory-building; Systematic literature review; SLR</t>
  </si>
  <si>
    <t xml:space="preserve">INFORMATION-TECHNOLOGY PROFESSIONALS; SELF-DETERMINATION; POSITIVE PSYCHOLOGY; MENTAL-HEALTH; PERSONALITY; DEVELOPERS; STRESS; CONSEQUENCES; SATISFACTION; PERFORMANCE</t>
  </si>
  <si>
    <t xml:space="preserve">For decades, software engineering research and practice has focused primarily on technological and process-related factors. Today, there is a growing interest in organizational, social, and psychological factors, including well-being. Organizational studies show that well-being contributes to work outcomes, including creativity, performance, and productivity. But despite its importance, the predictors and outcomes of software engineers' well-being as a multidimensional construct to date are under-researched. This paper reports on the multidimensional well-being of professional software engineers and generates insights for the future research in this area. 44 quantitative survey studies published between 2000 and 2023 were selected and synthesized both quantitatively and qualitatively through a systematic literature review. The results of the review were further analyzed to construct a quantitatively-testable theory, detailing the predictors and outcomes of well-being in software engineering organizations. The total number of research participants included in the selected studies is 16,086 software engineering professionals from at least 42 countries. The literature review identified various measures, constructs, and indicators of well-being, as well as its predictors and outcomes. The theory, based on cumulative results of carefully selected quantitative studies, is an attempt to correct the record by establishing well-being in software engineering as a meta-construct of hedonic, eudaimonic, and integrated or hedaimonic qualities predicted by different individual, team and organizational factors and impacting the functioning of software engineers and their organizations. The review highlighted the under-researched aspects of well-being in software engineering and confirmed the need for more advanced quantitative studies. We hope that the theory will benefit researchers in conducting future studies and practitioners in developing nuanced and science-based interventions for improving software engineers' well-being.</t>
  </si>
  <si>
    <t xml:space="preserve">[Godliauskas, Povilas; Smite, Darja] Blekinge Inst Technol, Karlskrona, Sweden; [Smite, Darja] Sintef, Trondheim, Norway</t>
  </si>
  <si>
    <t xml:space="preserve">Smite, D (corresponding author), Blekinge Inst Technol, Karlskrona, Sweden.;Smite, D (corresponding author), Sintef, Trondheim, Norway.</t>
  </si>
  <si>
    <t xml:space="preserve">darja.smite@bth.se</t>
  </si>
  <si>
    <t xml:space="preserve">Swedish Knowledge Foundation within the S.E.R.T. project; School of Psychology at the University of East London</t>
  </si>
  <si>
    <t xml:space="preserve">We thank Rona Hart and Natalie Lancer from the School of Psychology at the University of East London for their advice and support during the planning and execution of the systematic literature review reported in this paper. We also thank the editors and reviewers for their diligent comments and suggestions</t>
  </si>
  <si>
    <t xml:space="preserve">10.1007/s10664-024-10543-8</t>
  </si>
  <si>
    <t xml:space="preserve">O2G0H</t>
  </si>
  <si>
    <t xml:space="preserve">WOS:001369365400001</t>
  </si>
  <si>
    <t xml:space="preserve">Abghari, S; Boeva, V; Casalicchio, E; Exner, P</t>
  </si>
  <si>
    <t xml:space="preserve">Maglogiannis, I; Iliadis, L; Macintyre, J; Cortez, P</t>
  </si>
  <si>
    <t xml:space="preserve">Abghari, Shahrooz; Boeva, Veselka; Casalicchio, Emiliano; Exner, Peter</t>
  </si>
  <si>
    <t xml:space="preserve">An Inductive System Monitoring Approach for GNSS Activation</t>
  </si>
  <si>
    <t xml:space="preserve">ARTIFICIAL INTELLIGENCE APPLICATIONS AND INNOVATIONS, AIAI 2022, PART II</t>
  </si>
  <si>
    <t xml:space="preserve">18th International Conference on Artificial Intelligence Applications and Innovations (AIAI)</t>
  </si>
  <si>
    <t xml:space="preserve">JUN 17-20, 2022</t>
  </si>
  <si>
    <t xml:space="preserve">Environmental context detection; GNSS signal; Inductive system monitoring; Clustering analysis</t>
  </si>
  <si>
    <t xml:space="preserve">In this paper, we propose a Global Navigation Satellite System (GNSS) component activation model for mobile tracking devices that automatically detects indoor/outdoor environments using the radio signals received from Long-Term Evolution (LTE) base stations. We use an Inductive System Monitoring (ISM) technique to model environmental scenarios captured by a smart tracker via extracting clusters of corresponding value ranges from LTE base stations' signal strength. The ISM-based model is built by using the tracker's historical data labeled with GPS coordinates. The built model is further refined by applying it to additional data without GPS location collected by the same device. This procedure allows us to identify the clusters that describe semioutdoor scenarios. In that way, the model discriminates between two outdoor environmental categories: open outdoor and semi-outdoor. The proposed ISM-based GNSS activation approach is studied and evaluated on a real-world dataset contains radio signal measurements collected by five smart trackers and their geographical location in various environmental scenarios.</t>
  </si>
  <si>
    <t xml:space="preserve">[Abghari, Shahrooz; Boeva, Veselka; Casalicchio, Emiliano] Blekinge Inst Technol, Karlskrona, Sweden; [Exner, Peter] Sony R&amp;D Ctr, Lund Lab, Lund, Sweden</t>
  </si>
  <si>
    <t xml:space="preserve">Abghari, S; Boeva, V (corresponding author), Blekinge Inst Technol, Karlskrona, Sweden.</t>
  </si>
  <si>
    <t xml:space="preserve">shahrooz.abghari@bth.se; veselka.boeva@bth.se; emiliano.casalicchio@bth.se; peter.exner@sony.com</t>
  </si>
  <si>
    <t xml:space="preserve">Boeva, Veselka/IAP-9371-2023; Abghari, Shahrooz/ADU-1546-2022; Casalicchio, Emiliano/JWQ-0758-2024</t>
  </si>
  <si>
    <t xml:space="preserve">Abghari, Shahrooz/0000-0002-3010-8798; Casalicchio, Emiliano/0000-0002-3118-5058</t>
  </si>
  <si>
    <t xml:space="preserve">978-3-031-08337-2; 978-3-031-08336-5</t>
  </si>
  <si>
    <t xml:space="preserve">10.1007/978-3-031-08337-2_36</t>
  </si>
  <si>
    <t xml:space="preserve">BU6SQ</t>
  </si>
  <si>
    <t xml:space="preserve">WOS:000927893200036</t>
  </si>
  <si>
    <t xml:space="preserve">Cheddad, ZA; Cheddad, A</t>
  </si>
  <si>
    <t xml:space="preserve">Arai, K</t>
  </si>
  <si>
    <t xml:space="preserve">Cheddad, Zohra Adila; Cheddad, Abbas</t>
  </si>
  <si>
    <t xml:space="preserve">Active Restoration of Lost Audio Signals Using Machine Learning and Latent Information</t>
  </si>
  <si>
    <t xml:space="preserve">INTELLIGENT SYSTEMS AND APPLICATIONS, VOL 1, INTELLISYS 2023</t>
  </si>
  <si>
    <t xml:space="preserve">Lecture Notes in Networks and Systems</t>
  </si>
  <si>
    <t xml:space="preserve">Intelligent Systems Conference (IntelliSys)</t>
  </si>
  <si>
    <t xml:space="preserve">SEP 07-08, 2023</t>
  </si>
  <si>
    <t xml:space="preserve">Amsterdam, NETHERLANDS</t>
  </si>
  <si>
    <t xml:space="preserve">Audio reconstruction; Halftoning; Steganography; Machine learning</t>
  </si>
  <si>
    <t xml:space="preserve">Digital audio signal reconstruction of a lost or corrupt segment using deep learning algorithms has been explored intensively in recent years. Nevertheless, prior traditional methods with linear interpolation, phase coding and tone insertion techniques are still in vogue. However, we found no research work on reconstructing audio signals with the fusion of dithering, steganography, and machine learning regressors. Therefore, this paper proposes the combination of steganography, halftoning (dithering), and state-of-the-art shallow and deep learning methods. The results (including comparing the SPAIN, Autoregressive, deep learning-based, graph-based, and other methods) are evaluated with three different metrics. The observations from the results show that the proposed solution is effective and can enhance the reconstruction of audio signals performed by the side information (e.g., Latent representation) steganography provides. Moreover, this paper proposes a novel framework for reconstruction from heavily compressed embedded audio data using halftoning (i.e., dithering) and machine learning, which we termed the HCR (halftone-based compression and reconstruction). This work may trigger interest in optimising this approach and/or transferring it to different domains (i.e., image reconstruction). Compared to existing methods, we show improvement in the inpainting performance in terms of signal-to-noise ratio (SNR), the objective difference grade (ODG) and Hansen's audio quality metric. In particular, our proposed framework outperformed the learning-based methods (D2WGAN and SG) and the traditional statistical algorithms (e.g., SPAIN, TDC, WCP).</t>
  </si>
  <si>
    <t xml:space="preserve">[Cheddad, Zohra Adila] Univ Freres Mentouri I, Dept Math, Constantine 25017, Algeria; [Cheddad, Abbas] Blekinge Inst Technol, Dept Comp Sci, S-37179 Karlskrona, Sweden</t>
  </si>
  <si>
    <t xml:space="preserve">Cheddad, A (corresponding author), Blekinge Inst Technol, Dept Comp Sci, S-37179 Karlskrona, Sweden.</t>
  </si>
  <si>
    <t xml:space="preserve">zcheddad929@gmail.com; abbas.cheddad@bth.se</t>
  </si>
  <si>
    <t xml:space="preserve">2367-3370</t>
  </si>
  <si>
    <t xml:space="preserve">2367-3389</t>
  </si>
  <si>
    <t xml:space="preserve">978-3-031-47720-1; 978-3-031-47721-8</t>
  </si>
  <si>
    <t xml:space="preserve">LECT NOTE NETW SYST</t>
  </si>
  <si>
    <t xml:space="preserve">10.1007/978-3-031-47721-8_1</t>
  </si>
  <si>
    <t xml:space="preserve">BX2IY</t>
  </si>
  <si>
    <t xml:space="preserve">WOS:001261691200001</t>
  </si>
  <si>
    <t xml:space="preserve">Devagiri, VM; Dagnely, P; Boeva, V; Tsiporkova, E</t>
  </si>
  <si>
    <t xml:space="preserve">Miliou, I; Piatkowski, N; Papapetrou, P</t>
  </si>
  <si>
    <t xml:space="preserve">Devagiri, Vishnu Manasa; Dagnely, Pierre; Boeva, Veselka; Tsiporkova, Elena</t>
  </si>
  <si>
    <t xml:space="preserve">Putting Sense into Incomplete Heterogeneous Data with Hypergraph Clustering Analysis</t>
  </si>
  <si>
    <t xml:space="preserve">ADVANCES IN INTELLIGENT DATA ANALYSIS XXII, PT II, IDA 2024</t>
  </si>
  <si>
    <t xml:space="preserve">22nd International Symposium on Intelligent Data Analysis (IDA)</t>
  </si>
  <si>
    <t xml:space="preserve">APR 24-26, 2024</t>
  </si>
  <si>
    <t xml:space="preserve">Stockholm, SWEDEN</t>
  </si>
  <si>
    <t xml:space="preserve">Clustering; Heterogeneous data; Missing values; Hypergraph; Shared nearest neighbor similarity</t>
  </si>
  <si>
    <t xml:space="preserve">Many industrial scenarios are concerned with the exploration of high-dimensional heterogeneous data sets originating from diverse sources and often incomplete, i.e., containing a substantial amount of missing values. This paper proposes a novel unsupervised method that efficiently facilitates the exploration and analysis of such data sets. The methodology combines in an exploratory workflow multi-layer data analysis with shared nearest neighbor similarity and hypergraph clustering. It produces overlapping homogeneous clusters, i.e., assuming that the assets within each cluster exhibit comparable behavior. The latter can be used for computing relevant KPIs per cluster for the purpose of performance analysis and comparison. More concretely, such KPIs have the potential to aid domain experts in monitoring and understanding asset performance and, subsequently, enable the identification of outliers and the timely detection of performance degradation.</t>
  </si>
  <si>
    <t xml:space="preserve">[Devagiri, Vishnu Manasa; Boeva, Veselka] Blekinge Inst Technol, DIDA, Karlskrona, Sweden; [Dagnely, Pierre; Tsiporkova, Elena] Sirris, EluciDATA Lab, Brussels, Belgium</t>
  </si>
  <si>
    <t xml:space="preserve">Devagiri, VM (corresponding author), Blekinge Inst Technol, DIDA, Karlskrona, Sweden.</t>
  </si>
  <si>
    <t xml:space="preserve">vmd@bth.se; pierre.dagnely@sirris.be; vbx@bth.se; elena.tsiporkova@sirris.be</t>
  </si>
  <si>
    <t xml:space="preserve">Devagiri, Vishnu Manasa/IAQ-6663-2023; Boeva, Veselka/IAP-9371-2023</t>
  </si>
  <si>
    <t xml:space="preserve">Knowledge Foundation, Sweden, through the Human-Centered Intelligent Realities (HINTS) Profile Project [20220068]; Flemish Government (AI Research Program)</t>
  </si>
  <si>
    <t xml:space="preserve">Knowledge Foundation, Sweden, through the Human-Centered Intelligent Realities (HINTS) Profile Project; Flemish Government (AI Research Program)</t>
  </si>
  <si>
    <t xml:space="preserve">V. M. Devagiri's and V. Boeva's research is partly funded by the Knowledge Foundation, Sweden, through the Human-Centered Intelligent Realities (HINTS) Profile Project (contract 20220068). P. Dagnely's and E. Tsiporkova's research received funding from the Flemish Government (AI Research Program).</t>
  </si>
  <si>
    <t xml:space="preserve">978-3-031-58555-5; 978-3-031-58553-1</t>
  </si>
  <si>
    <t xml:space="preserve">10.1007/978-3-031-58553-1_10</t>
  </si>
  <si>
    <t xml:space="preserve">BX4XH</t>
  </si>
  <si>
    <t xml:space="preserve">WOS:001295920900010</t>
  </si>
  <si>
    <t xml:space="preserve">Garro, V; Sundstedt, V; Sandahl, C</t>
  </si>
  <si>
    <t xml:space="preserve">Garro, Valeria; Sundstedt, Veronica; Sandahl, Christoffer</t>
  </si>
  <si>
    <t xml:space="preserve">Impact of Location, Gender and Previous Experience on User Evaluation of Augmented Reality in Cultural Heritage: The Mjallby Crucifix Case Study</t>
  </si>
  <si>
    <t xml:space="preserve">HERITAGE</t>
  </si>
  <si>
    <t xml:space="preserve">augmented reality; cultural heritage; digital heritage; virtual museum; user evaluation</t>
  </si>
  <si>
    <t xml:space="preserve">In recent decades, a growing number of museums have adopted digital media, both as an enhancement of exhibitions of real artifacts and as an alternative to traditional display methods. The digital acquisition of artifacts generates accurate 3D replicas that can be displayed via different digital media. With an increase in immersive technologies in the cultural heritage (CH) domain, it is common to see digital artifacts presented in Virtual Reality (VR) and Augmented Reality (AR). This paper presents two user studies conducted in different locations evaluating the use of an AR application in the portrayal of the Mjallby Crucifix artifact. This paper presents the overall results from both user studies evaluating and discussing the AR application on a number of different aspects on a 7-point Likert scale: (1) understanding the artifact, (2) ease of use, (3) object feeling part of reality, (4) perceived visual quality of the object, (5) overall satisfaction experience, and (6) willingness to download the AR application. The results have been compared between genders, age groups, and previous experience with AR. Potential benefits and disadvantages of AR experiences in the context of a museum exhibition were also gathered in free text from the visitors.</t>
  </si>
  <si>
    <t xml:space="preserve">[Garro, Valeria; Sundstedt, Veronica] Blekinge Inst Technol, S-37179 Karlskrona, Sweden; [Sandahl, Christoffer] Blekinge Museum, S-37135 Karlskrona, Sweden</t>
  </si>
  <si>
    <t xml:space="preserve">Garro, V (corresponding author), Blekinge Inst Technol, S-37179 Karlskrona, Sweden.</t>
  </si>
  <si>
    <t xml:space="preserve">valeria.garro@bth.se; veronica.sundstedt@bth.se; christoffer.sandahl@blekingemuseum.se</t>
  </si>
  <si>
    <t xml:space="preserve">KK-Stiftelsen, Sweden [20170056]</t>
  </si>
  <si>
    <t xml:space="preserve">KK-Stiftelsen, Sweden</t>
  </si>
  <si>
    <t xml:space="preserve">This research was funded partly by KK-Stiftelsen, Sweden, through the ViaTecH Synergy Project (contract 20170056).</t>
  </si>
  <si>
    <t xml:space="preserve">2571-9408</t>
  </si>
  <si>
    <t xml:space="preserve">HERITAGE-BASEL</t>
  </si>
  <si>
    <t xml:space="preserve">Heritage</t>
  </si>
  <si>
    <t xml:space="preserve">10.3390/heritage5030104</t>
  </si>
  <si>
    <t xml:space="preserve">Humanities, Multidisciplinary; Multidisciplinary Sciences</t>
  </si>
  <si>
    <t xml:space="preserve">Arts &amp; Humanities - Other Topics; Science &amp; Technology - Other Topics</t>
  </si>
  <si>
    <t xml:space="preserve">4R0DO</t>
  </si>
  <si>
    <t xml:space="preserve">WOS:000856443500001</t>
  </si>
  <si>
    <t xml:space="preserve">Andersson, C; Massih, SS</t>
  </si>
  <si>
    <t xml:space="preserve">Andersson, Christian; Massih, Sofia Sandgren</t>
  </si>
  <si>
    <t xml:space="preserve">PISA 2018: did Sweden exclude students according to the rules?</t>
  </si>
  <si>
    <t xml:space="preserve">ASSESSMENT IN EDUCATION-PRINCIPLES POLICY &amp; PRACTICE</t>
  </si>
  <si>
    <t xml:space="preserve">PISA; Sweden; OECD; participation rates; exclusion rate</t>
  </si>
  <si>
    <t xml:space="preserve">ACHIEVEMENT; PROGRAM</t>
  </si>
  <si>
    <t xml:space="preserve">This study assesses whether student exclusions from PISA 2018 in Sweden followed the criteria set by the OECD. We do this using both qualitative and quantitative methods. Our conclusion is that the exclusions made in PISA 2018 in Sweden did not follow OECD criteria and were much too high. Furthermore, interviews with school coordinators indicate that many of them misunderstood the OECD criteria. We also conclude that the National Agency for Education did not sufficiently follow up on exclusions. A review of the Swedish exclusion rate made by the OECD did not present credible results but accepted the results. A recalculation of PISA 2018 scores for Sweden where we assume non-participating students to be low performers show that results are significantly affected.</t>
  </si>
  <si>
    <t xml:space="preserve">[Andersson, Christian; Massih, Sofia Sandgren] Swedish Natl Audit Off, Dept Performance Audit, Stockholm, Sweden; [Andersson, Christian] Blekinge Inst Technol, Dept Ind Econ, Karlskrona, Sweden; [Andersson, Christian] Swedish Natl Audit Off, Dept Performance Audit, S-10233 Stockholm, Sweden</t>
  </si>
  <si>
    <t xml:space="preserve">Andersson, C (corresponding author), Swedish Natl Audit Off, Dept Performance Audit, S-10233 Stockholm, Sweden.</t>
  </si>
  <si>
    <t xml:space="preserve">christian.andersson@riksrevisionen.se</t>
  </si>
  <si>
    <t xml:space="preserve">Andersson, Christian/0000-0002-6710-2920</t>
  </si>
  <si>
    <t xml:space="preserve">0969-594X</t>
  </si>
  <si>
    <t xml:space="preserve">1465-329X</t>
  </si>
  <si>
    <t xml:space="preserve">ASSESS EDUC</t>
  </si>
  <si>
    <t xml:space="preserve">Assess. Educ.</t>
  </si>
  <si>
    <t xml:space="preserve">10.1080/0969594X.2023.2189566</t>
  </si>
  <si>
    <t xml:space="preserve">MAR 2023</t>
  </si>
  <si>
    <t xml:space="preserve">C5SQ1</t>
  </si>
  <si>
    <t xml:space="preserve">WOS:000949755600001</t>
  </si>
  <si>
    <t xml:space="preserve">Nilsson, G; Boldt, M; Alawadi, S</t>
  </si>
  <si>
    <t xml:space="preserve">Nilsson, Gustav; Boldt, Martin; Alawadi, Sadi</t>
  </si>
  <si>
    <t xml:space="preserve">The Role of the Data Quality on Model Efficiency: An Exploratory Study on Centralised and Federated Learning</t>
  </si>
  <si>
    <t xml:space="preserve">Federated learning; Data quality; Data accuracy; Data completeness; Model robustness</t>
  </si>
  <si>
    <t xml:space="preserve">This paper investigates the impact that datasets of varying data quality levels have on centralized vs. federated learning models using experiments. We also investigate how the distribution of low-quality data across federated clients affects the models' accuracy. Within the experiments we create datasets of increasingly worse data quality in terms of the following two data quality metrics; data accuracy and data completeness. This is done by perturbing (i.e., modifying) the datasets in order to decrease the quality of the datasets with regard to these two data quality metrics. Then, three experiments are conducted that investigates; i) the impact of decreased data accuracy on the models' performance, ii) the impact of decreased data completeness, and iii) the effects of different distribution low-quality data on the clients used in the federated learning setup. The results reveal that the centralized model achieves 60.3% validation accuracy with low data accuracy and 58.7% with low data completeness. While the federated model performs better, achieving 69.3% validation accuracy with low data accuracy and 79.2% with low data completeness. The federated model is less affected by low data quality if the data quality is distributed evenly between its clients. Further, the federated learning setup displays certain attributes that make it more robust to data with low quality, compared to centralized learning. Uneven distribution of data quality between clients has a more negative impact on federated learning compared to even distribution.</t>
  </si>
  <si>
    <t xml:space="preserve">[Nilsson, Gustav] Imagimob, Stockholm, Sweden; [Boldt, Martin; Alawadi, Sadi] Blekinge Inst Technol, Dept Comp Sci, Karlskrona, Sweden</t>
  </si>
  <si>
    <t xml:space="preserve">Boldt, M (corresponding author), Blekinge Inst Technol, Dept Comp Sci, Karlskrona, Sweden.</t>
  </si>
  <si>
    <t xml:space="preserve">martin.boldt@bth.se; sadi.alawadi@bth.se</t>
  </si>
  <si>
    <t xml:space="preserve">10.1109/FMEC62297.2024.10710311</t>
  </si>
  <si>
    <t xml:space="preserve">WOS:001343069600034</t>
  </si>
  <si>
    <t xml:space="preserve">Lundström, P; Öinert, J</t>
  </si>
  <si>
    <t xml:space="preserve">Lundstrom, Patrik; Oinert, Johan</t>
  </si>
  <si>
    <t xml:space="preserve">Strongly graded Leavitt path algebras</t>
  </si>
  <si>
    <t xml:space="preserve">Leavitt path algebra; strongly graded ring</t>
  </si>
  <si>
    <t xml:space="preserve">GROUPOIDS</t>
  </si>
  <si>
    <t xml:space="preserve">Let R be a unital ring, let E be a directed graph and recall that the Leavitt path algebra L-R(E) carries a natural Z-gradation. We show that L-R(E) is strongly Z-graded if and only if E is row-finite, has no sink, and satisfies Condition (Y). Our result generalizes a recent result by Clark, Hazrat and Rigby, and the proof is short and self-contained.</t>
  </si>
  <si>
    <t xml:space="preserve">[Lundstrom, Patrik] Univ West Trollhattan, Dept Engn Sci, SE-46186 Trollhattan, Sweden; [Oinert, Johan] Blekinge Inst Technol, Dept Math &amp; Nat Sci, SE-37179 Karlskrona, Sweden</t>
  </si>
  <si>
    <t xml:space="preserve">patrik.lundstrom@hv.se; johan.oinert@bth.se</t>
  </si>
  <si>
    <t xml:space="preserve">10.1142/S0219498822501419</t>
  </si>
  <si>
    <t xml:space="preserve">2R2FL</t>
  </si>
  <si>
    <t xml:space="preserve">WOS:000820925200009</t>
  </si>
  <si>
    <t xml:space="preserve">Madejski, G; Tkaczyk, R; Gradolewski, D; Dziak, D; Kulesza, WJ</t>
  </si>
  <si>
    <t xml:space="preserve">Madejski, Grzegorz; Tkaczyk, Rafal; Gradolewski, Dawid; Dziak, Damian; Kulesza, Wlodek J.</t>
  </si>
  <si>
    <t xml:space="preserve">Risk Assessment of Bird Collisions with a Wind Turbine Based on Flight Parameters</t>
  </si>
  <si>
    <t xml:space="preserve">ELEKTRONIKA IR ELEKTROTECHNIKA</t>
  </si>
  <si>
    <t xml:space="preserve">Collision risk; Damage collision avoidance; Green energy; Energy efficiency; Nature conservation sustainability; Wind farm</t>
  </si>
  <si>
    <t xml:space="preserve">The study addresses the challenge of bird collisions with wind turbines by developing an autonomous risk assessment method. The research uses data from the stereoscopic Bird Protection System (BPS) to anticipate potential collision threats by analysing flight parameters and distance from turbines. The danger factor depends on the flight characteristics of the identified bird species and the parameters of the wind turbine control system. The paper proposes an online quantitative risk assessment model that operates in real time, with the aim of minimising unnecessary turbine shutdowns while improving bird conservation. The model is validated through field data from bird flights. The findings suggest that adaptive management of turbine operations based on real-time bird flight data can significantly reduce collision risks without compromising energy production efficiency. The research underscores the balance between ecological considerations and the economic viability of wind energy, proposing an adaptive strategy that reduces unnecessary turbine stoppages while ensuring the safety of avian species.</t>
  </si>
  <si>
    <t xml:space="preserve">[Madejski, Grzegorz; Tkaczyk, Rafal; Gradolewski, Dawid; Dziak, Damian] Bioseco SA, Budowlanych 68, PL-80298 Gdansk, Poland; [Kulesza, Wlodek J.] Blekinge Inst Technol, Dept Math &amp; Nat Sci, S-37179 Karlskrona, Sweden</t>
  </si>
  <si>
    <t xml:space="preserve">Kulesza, WJ (corresponding author), Blekinge Inst Technol, Dept Math &amp; Nat Sci, S-37179 Karlskrona, Sweden.</t>
  </si>
  <si>
    <t xml:space="preserve">grzegorz.madejski@bioseco.com; rafal.tkaczyk@bioseco.com; dawid.gradolewski@bioseco.com; damian.dziak@bioseco.com; wlodek.kulesza@bth.se</t>
  </si>
  <si>
    <t xml:space="preserve">Madejski, Grzegorz/0000-0002-2114-5626</t>
  </si>
  <si>
    <t xml:space="preserve">KAUNAS UNIV TECHNOLOGY</t>
  </si>
  <si>
    <t xml:space="preserve">KAUNAS</t>
  </si>
  <si>
    <t xml:space="preserve">KAUNAS UNIV TECHNOL, DEPT ELECTRONICS ENGINEERING, STUDENTU STR 50, KAUNAS, LT-51368, LITHUANIA</t>
  </si>
  <si>
    <t xml:space="preserve">1392-1215</t>
  </si>
  <si>
    <t xml:space="preserve">ELEKTRON ELEKTROTECH</t>
  </si>
  <si>
    <t xml:space="preserve">Elektron. Elektrotech.</t>
  </si>
  <si>
    <t xml:space="preserve">10.5755/j02.eie.38275</t>
  </si>
  <si>
    <t xml:space="preserve">Engineering, Electrical &amp; Electronic</t>
  </si>
  <si>
    <t xml:space="preserve">I9E3M</t>
  </si>
  <si>
    <t xml:space="preserve">WOS:001333208700001</t>
  </si>
  <si>
    <t xml:space="preserve">Campos, AB; Pettersson, M; Vu, VT; Machado, R</t>
  </si>
  <si>
    <t xml:space="preserve">Campos, Alexandre Becker; Pettersson, Mats, I; Viet Thuy Vu; Machado, Renato</t>
  </si>
  <si>
    <t xml:space="preserve">False Alarm Reduction in Wavelength-Resolution SAR Change Detection Schemes by Using a Convolutional Neural Network</t>
  </si>
  <si>
    <t xml:space="preserve">Synthetic aperture radar; Radar polarimetry; Feature extraction; Object detection; Surveillance; Morphological operations; Training; CARABAS-II; change detection; convolutional neural network (CNN); synthetic aperture radar (SAR); target detection</t>
  </si>
  <si>
    <t xml:space="preserve">In this letter, we propose a method to reduce the number of false alarms in a wavelength-resolution synthetic aperture radar (SAR) change detection scheme by using a convolutional neural network (CNN). The detection is performed in two steps: change analysis and object classification. A simple technique for wavelength-resolution SAR change detection is implemented to extract potential targets from the image of interest. A CNN is then used for classifying the change map detections as either a target or nontarget, further reducing the false alarm rate (FAR). The scheme is tested for the CARABAS-II data set, where only three false alarms over a testing area of 96 km(2) are reported while still sustaining a probability of detection above 96%. We also show that the network can still reduce the FAR even when the flight heading of the SAR system measurement campaign differs by up to 100 degrees between the images used for training and test.</t>
  </si>
  <si>
    <t xml:space="preserve">[Campos, Alexandre Becker; Machado, Renato] Aeronaut Inst Technol ITA, BR-12228900 Sao Jose Dos Campos, Brazil; [Campos, Alexandre Becker; Pettersson, Mats, I; Viet Thuy Vu] Blekinge Inst Technol BTH, S-37179 Karlskrona, Sweden</t>
  </si>
  <si>
    <t xml:space="preserve">Campos, AB (corresponding author), Aeronaut Inst Technol ITA, BR-12228900 Sao Jose Dos Campos, Brazil.</t>
  </si>
  <si>
    <t xml:space="preserve">beckercampos@ieee.org</t>
  </si>
  <si>
    <t xml:space="preserve">Becker Campos, Alexandre/ABC-9953-2021; Vu, Viet/JDW-0738-2023; Machado, Renato/P-8515-2018; Pettersson, Mats/N-1063-2016</t>
  </si>
  <si>
    <t xml:space="preserve">Pettersson, Mats/0000-0002-6643-312X; Becker Campos, Alexandre/0000-0001-6860-8272; Machado, Renato/0000-0003-0856-5391</t>
  </si>
  <si>
    <t xml:space="preserve">Brazilian National Council for Scientific and Technological Development (CNPq); Brazilian Coordination for the Improvement of Higher Education Personnel (CAPES)</t>
  </si>
  <si>
    <t xml:space="preserve">Brazilian National Council for Scientific and Technological Development (CNPq)(Conselho Nacional de Desenvolvimento Cientifico e Tecnologico (CNPQ)); Brazilian Coordination for the Improvement of Higher Education Personnel (CAPES)(Coordenacao de Aperfeicoamento de Pessoal de Nivel Superior (CAPES))</t>
  </si>
  <si>
    <t xml:space="preserve">This work was supported in part by the Brazilian National Council for Scientific and Technological Development (CNPq) and in part by the Brazilian Coordination for the Improvement of Higher Education Personnel (CAPES).</t>
  </si>
  <si>
    <t xml:space="preserve">10.1109/LGRS.2020.3034758</t>
  </si>
  <si>
    <t xml:space="preserve">XP9AX</t>
  </si>
  <si>
    <t xml:space="preserve">WOS:000731151800066</t>
  </si>
  <si>
    <t xml:space="preserve">#Covid-19: An exploratory investigation of hashtag usage on Twitter</t>
  </si>
  <si>
    <t xml:space="preserve">HEALTH POLICY</t>
  </si>
  <si>
    <t xml:space="preserve">Covid-19; Hashtags; Twitter</t>
  </si>
  <si>
    <t xml:space="preserve">Background: The literature highlights Twitter as a vital instrument tool for health policy-makers for health communication and promotion. Furthermore, Twitter is a tool allowing us to understand the focus of people regarding a topic of interest. Objective: To provide health policy-makers with insights concerning key topics of interest in the Twitter community regarding Covid-19, and to support information search and health communication. Method: A total of 28.5M tweets have been retrieved, of which 6.9M tweets included hashtags. The data was analyzed using data science and natural language processing libraries. Qualitative analysis was performed using thematic analysis. Results: 907k different hashtags were used. Of these, only 1192 hashtags were used more than 1000 times. The qualitative analysis resulted in 13 themes. The top three themes regarding the number of hashtags used were related to Covid-19, identifying information, interventions, and geographical tagging. We explored the relationship between themes and showed how health practitioners can understand the communication in relation to specific topics expressed as hashtags (e.g., #stayhome). Conclusions: The results provide first insights for policy-makers and health practitioners to identify rel-evant tweets and to choose appropriate hashtags for health communication. The results also show that only with a limited number of Tweets (10 per day) health organizations could have been among the top users. (c) 2021 Elsevier B.V. All rights reserved.</t>
  </si>
  <si>
    <t xml:space="preserve">[Petersen, Kai; Gerken, Jan M.] Univ Appl Sci Flensburg, Kanzleistr 91-93, D-24943 Flensburg, Germany; [Petersen, Kai] Blekinge Inst Technol, Dept Software Engn, Karlskrona, Sweden</t>
  </si>
  <si>
    <t xml:space="preserve">Petersen, K (corresponding author), Univ Appl Sci Flensburg, Kanzleistr 91-93, D-24943 Flensburg, Germany.;Petersen, K (corresponding author), Blekinge Inst Technol, Dept Software Engn, Karlskrona, Sweden.</t>
  </si>
  <si>
    <t xml:space="preserve">Petersen, Kai/0000-0002-1532-8223</t>
  </si>
  <si>
    <t xml:space="preserve">0168-8510</t>
  </si>
  <si>
    <t xml:space="preserve">1872-6054</t>
  </si>
  <si>
    <t xml:space="preserve">Health Policy</t>
  </si>
  <si>
    <t xml:space="preserve">10.1016/j.healthpol.2021.01.001</t>
  </si>
  <si>
    <t xml:space="preserve">Health Care Sciences &amp; Services; Health Policy &amp; Services</t>
  </si>
  <si>
    <t xml:space="preserve">Health Care Sciences &amp; Services</t>
  </si>
  <si>
    <t xml:space="preserve">RC3UM</t>
  </si>
  <si>
    <t xml:space="preserve">WOS:000632729500014</t>
  </si>
  <si>
    <t xml:space="preserve">Wu, Z; Yun, Y; Miao, Z; Lennerstad, H</t>
  </si>
  <si>
    <t xml:space="preserve">Wu, Zhe; Yun, Yu; Miao, Zhuang; Lennerstad, Hakan</t>
  </si>
  <si>
    <t xml:space="preserve">A single-layer high-gain dipole antenna array with a bidirectional radiation pattern based on parallel-strip line</t>
  </si>
  <si>
    <t xml:space="preserve">IET MICROWAVES ANTENNAS &amp; PROPAGATION</t>
  </si>
  <si>
    <t xml:space="preserve">A single-layer dipole antenna array with quasi-Yagi configuration has been proposed and demonstrated, which provides a dual radiation pattern with the same sense. This antenna is mainly composed of a substrate-supported parallel strip line (PSL) and several periodic dipole elements. Fed by PSL, dipole elements can be stimulated with a uniform power, forming a linear dipole antenna array. By adjusting the elements separation appropriately, the step phase of array factor can be tuned to achieve the same directivity as the element dipole. When an SubMiniature version A (SMA) coaxial connector is connected at the beginning of PSL, the fundamental mode TEM in the PSL is excited and the radiation electromagnetic wave from the dipole elements is achieved. A taper line between the SMA and PSL can be used to reduce the discontinuity, minimizing the reflection coefficient of the port. According to the theory of classical Yagi antenna, the gain can be further improved by introducing multiple directors, achieving the gain increment of about 3 dBi in the proposed design. Considering 5 GHz frequency band applications (4.85-5.2 GHz), the experimental and simulated results show the proposed antenna array has a working bandwidth (|S11|&lt;=-10dB) from 4.85 to 12 GHz.</t>
  </si>
  <si>
    <t xml:space="preserve">[Wu, Zhe; Yun, Yu; Miao, Zhuang] Xian Int Univ, Sch Engn, Xian 710077, Peoples R China; [Lennerstad, Hakan] Blekinge Inst Technol, Dept Math &amp; Sci, Karlskrona, Sweden</t>
  </si>
  <si>
    <t xml:space="preserve">Yun, Y (corresponding author), Xian Int Univ, Sch Engn, Xian 710077, Peoples R China.</t>
  </si>
  <si>
    <t xml:space="preserve">180599873@qq.com</t>
  </si>
  <si>
    <t xml:space="preserve">1751-8725</t>
  </si>
  <si>
    <t xml:space="preserve">1751-8733</t>
  </si>
  <si>
    <t xml:space="preserve">IET MICROW ANTENNA P</t>
  </si>
  <si>
    <t xml:space="preserve">IET Microw. Antennas Propag.</t>
  </si>
  <si>
    <t xml:space="preserve">10.1049/mia2.12045</t>
  </si>
  <si>
    <t xml:space="preserve">QP6UJ</t>
  </si>
  <si>
    <t xml:space="preserve">WOS:000623969400008</t>
  </si>
  <si>
    <t xml:space="preserve">Fucci, D; Alégroth, E; Axelsson, T</t>
  </si>
  <si>
    <t xml:space="preserve">Fucci, Davide; Alegroth, Emil; Axelsson, Thomas</t>
  </si>
  <si>
    <t xml:space="preserve">When traceability goes awry: An industrial experience report?</t>
  </si>
  <si>
    <t xml:space="preserve">Industry-academia collaboration; Traceability; Software quality</t>
  </si>
  <si>
    <t xml:space="preserve">REQUIREMENTS; MODEL</t>
  </si>
  <si>
    <t xml:space="preserve">The concept of traceability between artifacts is considered an enabler for software project success. This concept has received plenty of attention from the research community and is by many perceived to always be available in an industrial setting. In this industry-academia collaborative project, a team of researchers, supported by testing practitioners from a large telecommunication company, sought to investigate the partner company's issues related to software quality. However, it was soon identified that the fundamental traceability links between requirements and test cases were missing. This lack of traceability impeded the implementation of a solution to help the company deal with its quality issues. In this experience report, we discuss lessons learned about the practical value of creating and maintaining traceability links in complex industrial settings and provide a cautionary tale for researchers. (c) 2022 The Author(s). Published by Elsevier Inc. This is an open access article under the CC BY license (http://creativecommons.org/licenses/by/4.0/).</t>
  </si>
  <si>
    <t xml:space="preserve">[Fucci, Davide; Alegroth, Emil] Blekinge Inst Technol, SERL, Valhallavagen 1, S-37141 Karlskrona, Sweden; [Axelsson, Thomas] COMPANY, Karlskrona, Sweden</t>
  </si>
  <si>
    <t xml:space="preserve">Fucci, D (corresponding author), Blekinge Inst Technol, SERL, Valhallavagen 1, S-37141 Karlskrona, Sweden.</t>
  </si>
  <si>
    <t xml:space="preserve">davide.fucci@bth.se; emil.alegroth@bth.se; thomas.axelsson@telia.com</t>
  </si>
  <si>
    <t xml:space="preserve">KKS foundation through the S.E.R.T. Research Profile project at Blekinge Institute of Technology, Sweden</t>
  </si>
  <si>
    <t xml:space="preserve">Davide Fucci and Emil Alegroth would like to acknowledge that this work was supported by the KKS foundation through the S.E.R.T. Research Profile project at Blekinge Institute of Technology, Sweden.</t>
  </si>
  <si>
    <t xml:space="preserve">10.1016/j.jss.2022.111389</t>
  </si>
  <si>
    <t xml:space="preserve">JUN 2022</t>
  </si>
  <si>
    <t xml:space="preserve">2I1CP</t>
  </si>
  <si>
    <t xml:space="preserve">WOS:000814721700001</t>
  </si>
  <si>
    <t xml:space="preserve">da Silva, FG; Ramos, LP; Palm, BG; Machado, R</t>
  </si>
  <si>
    <t xml:space="preserve">da Silva, Fabiano G.; Ramos, Lucas P.; Palm, Bruna G.; Machado, Renato</t>
  </si>
  <si>
    <t xml:space="preserve">Assessment of Machine Learning Techniques for Oil Rig Classification in C-Band SAR Images</t>
  </si>
  <si>
    <t xml:space="preserve">classification algorithms; deep learning; machine learning; oil rig classification; SAR; ship classification</t>
  </si>
  <si>
    <t xml:space="preserve">SHIP CLASSIFICATION; ALGORITHMS</t>
  </si>
  <si>
    <t xml:space="preserve">This article aims at performing maritime target classification in SAR images using machine learning (ML) and deep learning (DL) techniques. In particular, the targets of interest are oil platforms and ships located in the Campos Basin, Brazil. Two convolutional neural networks (CNNs), VGG-16 and VGG-19, were used for attribute extraction. The logistic regression (LR), random forest (RF), support vector machine (SVM), k-nearest neighbours (kNN), decision tree (DT), naive Bayes (NB), neural networks (NET), and AdaBoost (ADBST) schemes were considered for classification. The target classification methods were evaluated using polarimetric images obtained from the C-band synthetic aperture radar (SAR) system Sentinel-1. Classifiers are assessed by the accuracy indicator. The LR, SVM, NET, and stacking results indicate better performance, with accuracy ranging from 84.1% to 85.5%. The Kruskal-Wallis test shows a significant difference with the tested classifier, indicating that some classifiers present different accuracy results. The optimizations provide results with more significant accuracy gains, making them competitive with those shown in the literature. There is no exact combination of methods for SAR image classification that will always guarantee the best accuracy. The optimizations performed in this article were for the specific data set of the Campos Basin, and results may change depending on the data set format and the number of images.</t>
  </si>
  <si>
    <t xml:space="preserve">[da Silva, Fabiano G.; Ramos, Lucas P.; Palm, Bruna G.; Machado, Renato] Aeronaut Inst Technol ITA, Dept Telecommun, BR-12228900 Sao Jose Dos Campos, Brazil; [Palm, Bruna G.] Blekinge Inst Technol BTH, Dept Math &amp; Nat Sci, S-37179 Karlskrona, Sweden</t>
  </si>
  <si>
    <t xml:space="preserve">da Silva, FG (corresponding author), Aeronaut Inst Technol ITA, Dept Telecommun, BR-12228900 Sao Jose Dos Campos, Brazil.</t>
  </si>
  <si>
    <t xml:space="preserve">fabianofgs@ita.br; lucaspr@ita.br; bruna.palm@bth.se; rmachado@ita.br</t>
  </si>
  <si>
    <t xml:space="preserve">Ramos, Lucas/ABF-6724-2020; Machado, Renato/P-8515-2018; G. Palm, Bruna/AAZ-4107-2021</t>
  </si>
  <si>
    <t xml:space="preserve">Gabriel da Silva, Fabiano/0000-0003-4266-895X; Pedroso Ramos, Lucas/0000-0001-9267-6718; Machado, Renato/0000-0003-0856-5391; G. Palm, Bruna/0000-0003-0423-9927</t>
  </si>
  <si>
    <t xml:space="preserve">Coordenacao de Aperfeicoamento de Pessoal de Nivel Superior-Brazil (CAPES-Brazil) [001]; Brazilian National Council for Scientific and Technological Development (CNPq-Brazil); Brazilian Institute of Data Science (BIOS) [2020/09838-0]; Sao Paulo Research Foundation (FAPESP); Fundacao de Amparo a Pesquisa do Estado do Rio Grande do Sul (FAPERGS), Brazil; Swedish-Brazilian Research and Innovation Centre (CISB)</t>
  </si>
  <si>
    <t xml:space="preserve">Coordenacao de Aperfeicoamento de Pessoal de Nivel Superior-Brazil (CAPES-Brazil)(Coordenacao de Aperfeicoamento de Pessoal de Nivel Superior (CAPES)); Brazilian National Council for Scientific and Technological Development (CNPq-Brazil)(Conselho Nacional de Desenvolvimento Cientifico e Tecnologico (CNPQ)); Brazilian Institute of Data Science (BIOS); Sao Paulo Research Foundation (FAPESP)(Fundacao de Amparo a Pesquisa do Estado de Sao Paulo (FAPESP)); Fundacao de Amparo a Pesquisa do Estado do Rio Grande do Sul (FAPERGS), Brazil(Fundacao de Amparo a Ciencia e Tecnologia do Estado do Rio Grande do Sul (FAPERGS)); Swedish-Brazilian Research and Innovation Centre (CISB)</t>
  </si>
  <si>
    <t xml:space="preserve">This study was financed in part by the Coordenacao de Aperfeicoamento de Pessoal de Nivel Superior-Brazil (CAPES-Brazil)-Finance Code 001 (Pro-Defesa IV), and by Brazilian National Council for Scientific and Technological Development (CNPq-Brazil). The authors also thank the Brazilian Institute of Data Science (BI0S), grant 2020/09838-0, Sao Paulo Research Foundation (FAPESP), Fundacao de Amparo a Pesquisa do Estado do Rio Grande do Sul (FAPERGS), Brazil, and the Swedish-Brazilian Research and Innovation Centre (CISB).</t>
  </si>
  <si>
    <t xml:space="preserve">10.3390/rs14132966</t>
  </si>
  <si>
    <t xml:space="preserve">2Y2AL</t>
  </si>
  <si>
    <t xml:space="preserve">WOS:000825692700001</t>
  </si>
  <si>
    <t xml:space="preserve">Islam, MS; Powar, PR; Andreasson, E; Petersson, V</t>
  </si>
  <si>
    <t xml:space="preserve">Moreira, P; DosReis, LFG</t>
  </si>
  <si>
    <t xml:space="preserve">Islam, Md Shafiqul; Powar, Pratik Rajesh; Andreasson, Eskil; Petersson, Viktor</t>
  </si>
  <si>
    <t xml:space="preserve">The Effects of Stress Triaxiality on the Neck Initiation and Fracture of High-density Polyethylene (HDPE)</t>
  </si>
  <si>
    <t xml:space="preserve">23 EUROPEAN CONFERENCE ON FRACTURE, ECF23</t>
  </si>
  <si>
    <t xml:space="preserve">Procedia Structural Integrity</t>
  </si>
  <si>
    <t xml:space="preserve">23rd International European Conference on Fracture (ECF)</t>
  </si>
  <si>
    <t xml:space="preserve">JUN 27-JUL 01, 2022</t>
  </si>
  <si>
    <t xml:space="preserve">Funchal, PORTUGAL</t>
  </si>
  <si>
    <t xml:space="preserve">Stress triaxiality; Neck-initiation; Failure; HDPE</t>
  </si>
  <si>
    <t xml:space="preserve">BEHAVIOR; PVC</t>
  </si>
  <si>
    <t xml:space="preserve">This study analyses the tensile mechanical behaviour and deformation of neck i.e localization initiation, propagation and fracture of injection-moulded polymer composed of high-density polyethylene (HDPE) as a function of initial stress triaxiality. Three different specimen geometries namely i) Simple tension, ii) Plane strain and iii) Shear specimens were punched from injection-moulded HDPE plates and tested experimentally in uniaxial tension to introduce different stress triaxialities. These specimen geometries used are standard for the material characterization of sheet metals. However, for plate polymer materials such specimen geometries have not comprehensively been studied earlier. Standard shear specimen geometry has been further optimized in this work using finite element models to restrict unwanted out-of-plane deformations arising at large deformation. The digital image correlation (DIC) technique is used to acquire the full field deformation and in particular the localized strains in the neck region of the specimens. Based on the major-minor strain paths from DIC-measurements stress triaxiality has been calculated. It is challenging to follow the stochastic pattern at larger local strain in DIC and hence the strain at failure has been measured using orthogonal grid lines on the specimen surface. Finally, strains at neck-initiation and failure at three different stress triaxialities are reported for injection-moulded HDPE in two material orientations. It is observed that within the elastic limit the stress triaxialities obtained from the experimental tests were close to the ideal values found in the literature and neck-initiation strain is strongly dependent on the stress triaxiality. However, as neck initiates and propagates, the triaxialities for all geometries shift closer to the measured value in a simple tension specimen i.e. 0.33 limiting the effect of the initial triaxiality on failure strain. (c) 2022 The Authors. Published by Elsevier B.V.</t>
  </si>
  <si>
    <t xml:space="preserve">[Islam, Md Shafiqul; Powar, Pratik Rajesh] Blekinge Inst Technol, Dept Mech Engn, S-37179 Karlskrona, Sweden; [Andreasson, Eskil; Petersson, Viktor] Tetra Pak, S-22355 Lund, Sweden</t>
  </si>
  <si>
    <t xml:space="preserve">Islam, MS (corresponding author), Blekinge Inst Technol, Dept Mech Engn, S-37179 Karlskrona, Sweden.</t>
  </si>
  <si>
    <t xml:space="preserve">shafiqul.islam@bth.se</t>
  </si>
  <si>
    <t xml:space="preserve">Islam, Md Shafiqul/GLS-1837-2022</t>
  </si>
  <si>
    <t xml:space="preserve">Andreasson, Eskil/0000-0001-8325-9226; Islam, Md Shafiqul/0000-0002-1162-7023</t>
  </si>
  <si>
    <t xml:space="preserve">KK-stiftelsen [20200125]</t>
  </si>
  <si>
    <t xml:space="preserve">KK-stiftelsen</t>
  </si>
  <si>
    <t xml:space="preserve">The authors gratefully acknowledge financial support from KK-stiftelsen under the grant number 20200125</t>
  </si>
  <si>
    <t xml:space="preserve">ELSEVIER SCIENCE BV</t>
  </si>
  <si>
    <t xml:space="preserve">SARA BURGERHARTSTRAAT 25, PO BOX 211, 1000 AE AMSTERDAM, NETHERLANDS</t>
  </si>
  <si>
    <t xml:space="preserve">2452-3216</t>
  </si>
  <si>
    <t xml:space="preserve">PROCEDIA STRUCT INTE</t>
  </si>
  <si>
    <t xml:space="preserve">10.1016/j.prostr.2022.12.094</t>
  </si>
  <si>
    <t xml:space="preserve">Engineering, Mechanical; Materials Science, Multidisciplinary; Mechanics</t>
  </si>
  <si>
    <t xml:space="preserve">Engineering; Materials Science; Mechanics</t>
  </si>
  <si>
    <t xml:space="preserve">BX1MY</t>
  </si>
  <si>
    <t xml:space="preserve">WOS:001248864600097</t>
  </si>
  <si>
    <t xml:space="preserve">Gerlitz, L; Meyer, C; Henesey, L</t>
  </si>
  <si>
    <t xml:space="preserve">Gerlitz, Laima; Meyer, Christopher; Henesey, Lawrence</t>
  </si>
  <si>
    <t xml:space="preserve">Sourcing Sustainability Transition in Small and Medium-Sized Ports of the Baltic Sea Region: A Case of Sustainable Futuring with Living Labs</t>
  </si>
  <si>
    <t xml:space="preserve">Small and Medium-Sized Ports; Living Lab; sustainability transition; sustainable innovation; digitalization; Baltic Sea Region; pilot project</t>
  </si>
  <si>
    <t xml:space="preserve">ENVIRONMENTAL SUSTAINABILITY; URBAN SUSTAINABILITY; BUSINESS MODEL; STAKEHOLDER MANAGEMENT; CONCEPTUAL-MODEL; INNOVATION; ENERGY; PERSPECTIVE; PERFORMANCE; SYSTEM</t>
  </si>
  <si>
    <t xml:space="preserve">The present research points to an alternative concern against the mainstream research of future ports' development by taking a transdisciplinary approach of a Living Lab (LL) concept for a better sustainability and innovation record in Small and Medium-Sized Ports (SMSPs). Deploying qualitative research for the examination of this new phenomenon of aggregating LLs into SMSPs, this research builds upon stakeholder workshops, in-depth interviews, and designed port pilots as case studies dedicated to innovation and sustainability transition in the Baltic Sea Region (BSR) at the turn of 2030. Given its rich and significant empirical foundation, the present research substantially contributes to sustainability orientation and transitions in ports. The key original elements of this study are fourfold: (1) the research provides a theoretical and practical LL framework enabling innovation and sustainability to be grasped in ports in times of technological, social, and political disruption; (2) this research increases the minimal number of existing previous efforts studying SMSPs in the transitional discourse; (3) the paper addresses not only hard technological innovation concerns but also aspects of social acceptance and the role of social interactions; (4) the research goes beyond geographical boundaries of a single port, thus providing a joint and collaborative approach towards sustainability rather than an individual perception on sustainability transition, existing networks, and clusters.</t>
  </si>
  <si>
    <t xml:space="preserve">[Gerlitz, Laima; Meyer, Christopher] Univ Appl Sci Technol Business &amp; Design, Hsch Wismar, Wismar Business Sch, Philipp Muller Str 14, D-23966 Wismar, Germany; [Henesey, Lawrence] Blekinge Inst Technol, Biblioteksgatan 4, SE-37424 Karlshamn, Sweden</t>
  </si>
  <si>
    <t xml:space="preserve">Gerlitz, L (corresponding author), Univ Appl Sci Technol Business &amp; Design, Hsch Wismar, Wismar Business Sch, Philipp Muller Str 14, D-23966 Wismar, Germany.</t>
  </si>
  <si>
    <t xml:space="preserve">laima.gerlitz@hs-wismar.de; christopher.meyer@hs-wismar.de; larry.henesey@bth.se</t>
  </si>
  <si>
    <t xml:space="preserve">Meyer, Christopher/JMB-9615-2023; Gerlitz, Laima/ABD-6100-2020; Henesey, Lawrence/AFP-0796-2022</t>
  </si>
  <si>
    <t xml:space="preserve">Meyer, Christopher/0000-0002-6048-1198; Henesey, Lawrence/0000-0002-0518-6532</t>
  </si>
  <si>
    <t xml:space="preserve">INTERREG South Baltic; South Baltic Program; European Regional Development Fund (ERDF); Baltic Sea Region Program</t>
  </si>
  <si>
    <t xml:space="preserve">INTERREG South Baltic; South Baltic Program; European Regional Development Fund (ERDF)(European Union (EU)); Baltic Sea Region Program</t>
  </si>
  <si>
    <t xml:space="preserve">This research was funded by the INTERREG South Baltic Program 2024-2020 and South Baltic Program 2021-2027, the core project Connect2SmallPorts, the Digi Tech Port and DECADE2030 seed money projects, and the Digi Tech Port2030 core project approved in June 2023 (all co-financed by the European Regional Development Fund (ERDF)). In addition, the BEPort2030 project application was prepared for the Baltic Sea Region Program 2021-2027.</t>
  </si>
  <si>
    <t xml:space="preserve">10.3390/su16114667</t>
  </si>
  <si>
    <t xml:space="preserve">UP4X4</t>
  </si>
  <si>
    <t xml:space="preserve">WOS:001249259200001</t>
  </si>
  <si>
    <t xml:space="preserve">NONCOMMUTATIVE COVERINGS OF QUANTUM TORI</t>
  </si>
  <si>
    <t xml:space="preserve">MATHEMATICA SCANDINAVICA</t>
  </si>
  <si>
    <t xml:space="preserve">We investigate a framework for coverings of noncommutative spaces. Furthermore, we study noncommutative coverings of irrational quantum tori and characterize all such coverings that are connected in a reasonable sense.</t>
  </si>
  <si>
    <t xml:space="preserve">[Schwieger, Kay] Iteratec Gmbh, Zettachring 6, D-70567 Stuttgart, Germany; [Wagner, Stefan] Blekinge Tekniska Hgsk, Valhallavagen 1, S-37139 Karlskrona, Sweden</t>
  </si>
  <si>
    <t xml:space="preserve">Schwieger, K (corresponding author), Iteratec Gmbh, Zettachring 6, D-70567 Stuttgart, Germany.</t>
  </si>
  <si>
    <t xml:space="preserve">The first name author would like to acknowledge iteratec GmbH. The second name author would like to express his gratitude to Carl Tryggers Stiftelse for Vetenskaplig Forskning for supporting this research and to Blekinge Tekniska Hogskola (BTH) for providing an excellent research environment. The authors would also like to thank the referee for providing very fruitful criticism.</t>
  </si>
  <si>
    <t xml:space="preserve">MATEMATISK INST</t>
  </si>
  <si>
    <t xml:space="preserve">AARHUS</t>
  </si>
  <si>
    <t xml:space="preserve">UNIV NY MUNKEGADE, 8000 AARHUS, DENMARK</t>
  </si>
  <si>
    <t xml:space="preserve">0025-5521</t>
  </si>
  <si>
    <t xml:space="preserve">1903-1807</t>
  </si>
  <si>
    <t xml:space="preserve">MATH SCAND</t>
  </si>
  <si>
    <t xml:space="preserve">Math. Scand.</t>
  </si>
  <si>
    <t xml:space="preserve">10.7146/math.scand.a-116147</t>
  </si>
  <si>
    <t xml:space="preserve">MH2KK</t>
  </si>
  <si>
    <t xml:space="preserve">WOS:000546560400007</t>
  </si>
  <si>
    <t xml:space="preserve">Börstler, J; bin Ali, N; Petersen, K</t>
  </si>
  <si>
    <t xml:space="preserve">Boerstler, Juergen; bin Ali, Nauman; Petersen, Kai</t>
  </si>
  <si>
    <t xml:space="preserve">Double-counting in software engineering tertiary studies-An overlooked threat to validity</t>
  </si>
  <si>
    <t xml:space="preserve">Bias; Double -counting; Empirical; Guidelines; Meta -review; Overview of reviews; Recommendations; Research methods; Review of reviews; Tertiary review; Tertiary study; Umbrella review</t>
  </si>
  <si>
    <t xml:space="preserve">REVIEWS</t>
  </si>
  <si>
    <t xml:space="preserve">Context: Double-counting in a literature review occurs when the same data, population, or evidence is erroneously counted multiple times during synthesis. Detecting and mitigating the threat of double-counting is particularly challenging in tertiary studies. Although this topic has received much attention in the health sciences, it seems to have been overlooked in software engineering.Objective: We describe issues with double-counting in tertiary studies, investigate the prevalence of the issue in software engineering, and propose ways to identify and address the issue. Method: We analyze 47 tertiary studies in software engineering to investigate in which ways they address double-counting and whether double-counting might be a threat to validity in them.Results: In 19 of the 47 tertiary studies, double-counting might bias their results. Of those 19 tertiary studies, only 5 consider double-counting a threat to their validity, and 7 suggest strategies to address the issue. Overall, only 9 of the 47 tertiary studies, acknowledge double-counting as a potential general threat to validity for tertiary studies.Conclusions: Double-counting is an overlooked issue in tertiary studies in software engineering, and existing design and evaluation guidelines do not address it sufficiently. Therefore, we propose recommendations that may help to identify and mitigate double-counting in tertiary studies.</t>
  </si>
  <si>
    <t xml:space="preserve">[Boerstler, Juergen; bin Ali, Nauman; Petersen, Kai] Blekinge Inst Technol, Dept Software Engn, Karlskrona, Sweden; [Petersen, Kai] Univ Appl Sci Flensburg, Flensburg, Germany</t>
  </si>
  <si>
    <t xml:space="preserve">jurgen.borstler@bth.se; nauman.ali@bth.se; kai.petersen@bth.se</t>
  </si>
  <si>
    <t xml:space="preserve">ELLIIT; Swedish Government</t>
  </si>
  <si>
    <t xml:space="preserve">This work has been supported by ELLIIT, the Strategic Research Area within IT and Mobile Communications, funded by the Swedish Government.</t>
  </si>
  <si>
    <t xml:space="preserve">10.1016/j.infsof.2023.107174</t>
  </si>
  <si>
    <t xml:space="preserve">I8ZR6</t>
  </si>
  <si>
    <t xml:space="preserve">WOS:001005614800001</t>
  </si>
  <si>
    <t xml:space="preserve">Smart Glasses for Caring Situations in Complex Care Environments: Scoping Review</t>
  </si>
  <si>
    <t xml:space="preserve">JMIR MHEALTH AND UHEALTH</t>
  </si>
  <si>
    <t xml:space="preserve">anesthesia department; critical care; intensive care units; scoping review; smart glasses</t>
  </si>
  <si>
    <t xml:space="preserve">REMOTE ELECTROCARDIOGRAM INTERPRETATION; GOOGLE GLASS; CLINICAL-EVALUATION; TECHNOLOGY; ANESTHESIA; ACCURACY; SURGERY; DISPLAY</t>
  </si>
  <si>
    <t xml:space="preserve">Background: Anesthesia departments and intensive care units represent two advanced, high-tech, and complex care environments. Health care in those environments involves different types of technology to provide safe, high-quality care. Smart glasses have previously been used in different health care settings and have been suggested to assist health care professionals in numerous areas. However, smart glasses in the complex contexts of anesthesia care and intensive care are new and innovative. An overview of existing research related to these contexts is needed before implementing smart glasses into complex care environments. Objective: The aim of this study was to highlight potential benefits and limitations with health care professionals' use of smart glasses in situations occurring in complex care environments. Methods: A scoping review with six steps was conducted to fulfill the objective. Database searches were conducted in PubMed and Scopus; original articles about health care professionals' use of smart glasses in complex care environments and/or situations occurring in those environments were included. The searches yielded a total of 20 articles that were included in the review. Results: Three categories were created during the qualitative content analysis: (1) smart glasses as a versatile tool that offers opportunities and challenges, (2) smart glasses entail positive and negative impacts on health care professionals, and (3) smart glasses' quality of use provides facilities and leaves room for improvement. Smart glasses were found to be both a helpful tool and a hindrance in caring situations that might occur in complex care environments. This review provides an increased understanding about different situations where smart glasses might be used by health care professionals in clinical practice in anesthesia care and intensive care; however, research about smart glasses in clinical complex care environments is limited. Conclusions: Thoughtful implementation and improved hardware are needed to meet health care professionals' needs. New technology brings challenges; more research is required to elucidate how smart glasses affect patient safety, health care professionals, and quality of care in complex care environments.</t>
  </si>
  <si>
    <t xml:space="preserve">[Romare, Charlotte] Reg Blekinge, Karlskrona, Sweden; [Romare, Charlotte; Skar, Lisa] Blekinge Inst Technol, Dept Hlth, Karlskrona, Sweden</t>
  </si>
  <si>
    <t xml:space="preserve">Romare, C (corresponding author), Reg Blekinge, Intens Care Unit, S-37185 Karlskrona, Sweden.</t>
  </si>
  <si>
    <t xml:space="preserve">charlotte.romare@regionblekinge.se</t>
  </si>
  <si>
    <t xml:space="preserve">Romare, Charlotte/0000-0003-3348-4307; Skar, Lisa/0000-0002-5731-2799</t>
  </si>
  <si>
    <t xml:space="preserve">Scientific Council at Region Blekinge</t>
  </si>
  <si>
    <t xml:space="preserve">We would like to thank the librarians at Blekinge Institute of Technology for their valuable knowledge regarding database searches. We would also like to thank the PhD students and senior lecturers at Blekinge Institute of Technology for fruitful discussions and valuable input. This research was funded by the Scientific Council at Region Blekinge. The funder did not influence any part of the study.</t>
  </si>
  <si>
    <t xml:space="preserve">130 QUEENS QUAY E, STE 1102, TORONTO, ON M5A 0P6, CANADA</t>
  </si>
  <si>
    <t xml:space="preserve">2291-5222</t>
  </si>
  <si>
    <t xml:space="preserve">JMIR MHEALTH UHEALTH</t>
  </si>
  <si>
    <t xml:space="preserve">JMIR mHealth uHealth</t>
  </si>
  <si>
    <t xml:space="preserve">e16055</t>
  </si>
  <si>
    <t xml:space="preserve">10.2196/16055</t>
  </si>
  <si>
    <t xml:space="preserve">LE6DQ</t>
  </si>
  <si>
    <t xml:space="preserve">gold, Green Published, Green Submitted</t>
  </si>
  <si>
    <t xml:space="preserve">WOS:000526813600001</t>
  </si>
  <si>
    <t xml:space="preserve">Abdeen, W; Unterkalmsteiner, M; Wnuk, K; Chirtoglou, A; Schimanski, C; Goli, H</t>
  </si>
  <si>
    <t xml:space="preserve">Liebel, G; Hadar, I; Spoletini, P</t>
  </si>
  <si>
    <t xml:space="preserve">Abdeen, Waleed; Unterkalmsteiner, Michael; Wnuk, Krzysztof; Chirtoglou, Alexandros; Schimanski, Christoph; Goli, Heja</t>
  </si>
  <si>
    <t xml:space="preserve">Multi-Label Requirements Classification with Large Taxonomies</t>
  </si>
  <si>
    <t xml:space="preserve">32ND IEEE INTERNATIONAL REQUIREMENTS ENGINEERING CONFERENCE, RE 2024</t>
  </si>
  <si>
    <t xml:space="preserve">32nd IEEE International Requirements Engineering Conference (RE)</t>
  </si>
  <si>
    <t xml:space="preserve">JUN 24-28, 2024</t>
  </si>
  <si>
    <t xml:space="preserve">Reykjavik, ICELAND</t>
  </si>
  <si>
    <t xml:space="preserve">requirements classification; domain-specific taxonomy; large-scale; multi-label</t>
  </si>
  <si>
    <t xml:space="preserve">TRACEABILITY</t>
  </si>
  <si>
    <t xml:space="preserve">Context and motivation: Classification aids software development activities by organizing requirements in classes for easier access and retrieval. The majority of requirements classification research has, so far, focused on binary or multi-class classification. Question/problem: Multi-label classification with large taxonomies could aid requirements traceability but is prohibitively costly with supervised training. Hence, we investigate zero-short learning to evaluate the feasibility of multi-label requirements classification with large taxonomies. Principal ideas/results: We associated, together with domain experts from the industry, 129 requirements with 769 labels from taxonomies ranging between 250 and 1183 classes. Then, we conducted a controlled experiment to study the impact of the type of classifier, the hierarchy, and the structural characteristics of taxonomies on the classification performance. The results show that: (1) The sentence-based classifier had a significantly higher recall compared to the word-based classifier; however, the precision and F1-score did not improve significantly. (2) The hierarchical classification strategy did not always improve the performance of requirements classification. (3) The total and leaf nodes of the taxonomies have a strong negative correlation with the recall of the hierarchical sentence-based classifier. Contribution: We investigate the problem of multi-label requirements classification with large taxonomies, illustrate a systematic process to create a ground truth involving industry participants, and provide an analysis of different classification pipelines using zero-shot learning.</t>
  </si>
  <si>
    <t xml:space="preserve">[Abdeen, Waleed; Unterkalmsteiner, Michael; Wnuk, Krzysztof] Blekinge Inst Technol, Software Engn, Karlskrona, Sweden; [Chirtoglou, Alexandros; Schimanski, Christoph; Goli, Heja] HOCHTIEF ViCon GmbH, Essen, Germany</t>
  </si>
  <si>
    <t xml:space="preserve">Abdeen, W (corresponding author), Blekinge Inst Technol, Software Engn, Karlskrona, Sweden.</t>
  </si>
  <si>
    <t xml:space="preserve">waleed.abdeen@bth.se; michael.unterkalmsteiner@bth.se; krzysztof.wnuk@bth.se; alexandros.chirtoglou@hochtief.de; christoph.schimanski@hochtief.de; heja.goli@hochtief.de</t>
  </si>
  <si>
    <t xml:space="preserve">979-8-3503-9512-9; 979-8-3503-9511-2</t>
  </si>
  <si>
    <t xml:space="preserve">10.1109/RE59067.2024.00033</t>
  </si>
  <si>
    <t xml:space="preserve">Computer Science, Information Systems; Computer Science, Software Engineering; Computer Science, Theory &amp; Methods; Engineering, Multidisciplinary</t>
  </si>
  <si>
    <t xml:space="preserve">BX5ND</t>
  </si>
  <si>
    <t xml:space="preserve">WOS:001300544600025</t>
  </si>
  <si>
    <t xml:space="preserve">Blaschke, KR; Barner, S</t>
  </si>
  <si>
    <t xml:space="preserve">Blaschke, Konstantin Rupert; Barner, Simon</t>
  </si>
  <si>
    <t xml:space="preserve">Towards the Estimation of Quality Attributes on System Model Histories</t>
  </si>
  <si>
    <t xml:space="preserve">ACM/IEEE 27TH INTERNATIONAL CONFERENCE ON MODEL DRIVEN ENGINEERING LANGUAGES AND SYSTEMS: COMPANION PROCEEDINGS, MODELS 2024</t>
  </si>
  <si>
    <t xml:space="preserve">ACM/IEEE 27th International Conference on Model Driven Engineering Languages and Systems: Companion Proceedings (MODELS)</t>
  </si>
  <si>
    <t xml:space="preserve">SEP 22-27, 2024</t>
  </si>
  <si>
    <t xml:space="preserve">Linz, AUSTRIA</t>
  </si>
  <si>
    <t xml:space="preserve">ACM,IEEE</t>
  </si>
  <si>
    <t xml:space="preserve">Model-based Systems Engineering; Model Quality; Model Metrics; Quality Assessment; Model Review</t>
  </si>
  <si>
    <t xml:space="preserve">TOOLS</t>
  </si>
  <si>
    <t xml:space="preserve">Companies increasingly rely on Model-Based Systems Engineering to develop Cyber-Physical Systems such as cars, aircraft, or medical devices. The quality of engineering model artifacts is key to efficient collaboration in systems engineering with multi-tier supply chains. Ensuring model artifact quality and comprehensibility for practitioners is challenging. Manual reviews are time- and cost-intensive and subject to bias, whereas existing automated methods based on syntactical rules and model metrics are limited in scope. The paper presents work towards swift quality feedback to system engineers during modeling. The concept allows domain and project-specific context and is applicable to industry-size model artifacts. We implement a data-driven estimation that combines automated model metric extraction with expert quality assessments. We leverage the system model version history from an open-source miniature automotive demonstrator. We assess the model versions' comprehensibility and showcase a semi-automated pipeline to initiate a model quality estimator. We achieve an average accuracy of 0.94 with a random forest approach on our test data.</t>
  </si>
  <si>
    <t xml:space="preserve">[Blaschke, Konstantin Rupert; Barner, Simon] Fortiss, Munich, Germany; [Blaschke, Konstantin Rupert] Blekinge Inst Technol, Karlskrona, Sweden</t>
  </si>
  <si>
    <t xml:space="preserve">fortiss; Blekinge Institute Technology</t>
  </si>
  <si>
    <t xml:space="preserve">Blaschke, KR (corresponding author), Fortiss, Munich, Germany.;Blaschke, KR (corresponding author), Blekinge Inst Technol, Karlskrona, Sweden.</t>
  </si>
  <si>
    <t xml:space="preserve">blaschke@fortiss.org; barner@fortiss.org</t>
  </si>
  <si>
    <t xml:space="preserve">Blaschke, Konstantin Rupert/0009-0009-2095-9060</t>
  </si>
  <si>
    <t xml:space="preserve">German Federal Ministry of Education and Research (BMBF) in the KOMET project [01IS24012B]; Federal Ministry for Economic Affairs and Climate Action (BMWK) in the TASTE project [16THB0009C]</t>
  </si>
  <si>
    <t xml:space="preserve">German Federal Ministry of Education and Research (BMBF) in the KOMET project(Federal Ministry of Education &amp; Research (BMBF)); Federal Ministry for Economic Affairs and Climate Action (BMWK) in the TASTE project</t>
  </si>
  <si>
    <t xml:space="preserve">This work was in parts funded by the German Federal Ministry of Education and Research (BMBF) in the KOMET project (grant no. 01IS24012B) and the Federal Ministry for Economic Affairs and Climate Action (BMWK) in the TASTE project (grant no. 16THB0009C).</t>
  </si>
  <si>
    <t xml:space="preserve">979-8-4007-0622-6</t>
  </si>
  <si>
    <t xml:space="preserve">10.1145/3652620.3688339</t>
  </si>
  <si>
    <t xml:space="preserve">BX9UP</t>
  </si>
  <si>
    <t xml:space="preserve">WOS:001351589800138</t>
  </si>
  <si>
    <t xml:space="preserve">Lifting spectral triples to noncommutative principal bundles</t>
  </si>
  <si>
    <t xml:space="preserve">ADVANCES IN MATHEMATICS</t>
  </si>
  <si>
    <t xml:space="preserve">Noncommutative principal bundle; Factor system; Spectral triple</t>
  </si>
  <si>
    <t xml:space="preserve">DIRAC OPERATORS; FACTORIZATION; FIBRATIONS</t>
  </si>
  <si>
    <t xml:space="preserve">Given a free action of a compact Lie group G on a unital C*-algebra A and a spectral triple on the corresponding fixed point algebra A(G), we present a systematic and in-depth construction of a spectral triple on A that is build upon the geometry of A(G) and G. We compare our construction with a selection of established examples. (C)&amp; nbsp;2021 The Author(s). Published by Elsevier Inc.</t>
  </si>
  <si>
    <t xml:space="preserve">[Schwieger, Kay] Iteratec GmbH, Stuttgart, Germany; [Wagner, Stefan] Blekinge Tekniska Hgsk, Karlskrona, Sweden</t>
  </si>
  <si>
    <t xml:space="preserve">Wagner, S (corresponding author), Blekinge Tekniska Hgsk, Karlskrona, Sweden.</t>
  </si>
  <si>
    <t xml:space="preserve">Mathematisches Forschungsinstitut Oberwolfach [1910p]; Centre International de Rencontres Mathematiques, REB [2177]; Blekinge Tekniska Hoegskola</t>
  </si>
  <si>
    <t xml:space="preserve">Mathematisches Forschungsinstitut Oberwolfach; Centre International de Rencontres Mathematiques, REB; Blekinge Tekniska Hoegskola</t>
  </si>
  <si>
    <t xml:space="preserve">This research was supported through the program Research in Pairs, RiP (1910p), by the Mathematisches Forschungsinstitut Oberwolfach in 2019. The authors also grate-fully acknowledge the Centre International de Rencontres Mathematiques, REB (2177), and Blekinge Tekniska Hoegskola for their financial support in facilitating this collaboration. The first name author is indebted to iteratec GmbH. Finally, the authors wish to thank Walter van Suijlekom for pointing out the relation to unbounded KK-theory and the anonymous referee for providing clear and fruitful feedback that helped to improve the manuscript.</t>
  </si>
  <si>
    <t xml:space="preserve">0001-8708</t>
  </si>
  <si>
    <t xml:space="preserve">1090-2082</t>
  </si>
  <si>
    <t xml:space="preserve">ADV MATH</t>
  </si>
  <si>
    <t xml:space="preserve">Adv. Math.</t>
  </si>
  <si>
    <t xml:space="preserve">FEB 12</t>
  </si>
  <si>
    <t xml:space="preserve">10.1016/j.aim.2021.108160</t>
  </si>
  <si>
    <t xml:space="preserve">1C5LP</t>
  </si>
  <si>
    <t xml:space="preserve">Green Submitted, Green Published, hybrid</t>
  </si>
  <si>
    <t xml:space="preserve">WOS:000793160800002</t>
  </si>
  <si>
    <t xml:space="preserve">Realizations of free actions via their fixed point algebras</t>
  </si>
  <si>
    <t xml:space="preserve">CANADIAN MATHEMATICAL BULLETIN-BULLETIN CANADIEN DE MATHEMATIQUES</t>
  </si>
  <si>
    <t xml:space="preserve">Free action; coaction; fixed point algebra</t>
  </si>
  <si>
    <t xml:space="preserve">COMPACT-GROUPS; OPERATOR-ALGEBRAS; ERGODIC ACTIONS</t>
  </si>
  <si>
    <t xml:space="preserve">Let G be a compact group, let $\mathcal {B}$ be a unital C $&lt;^&gt;*$ -algebra, and let $(\mathcal {A},G,\alpha )$ be a free C $&lt;^&gt;*$ -dynamical system, in the sense of Ellwood, with fixed point algebra $\mathcal {B}$ . We prove that $(\mathcal {A},G,\alpha )$ can be realized as the G-continuous part of the invariants of an equivariant coaction of G on a corner of $\mathcal {B} \otimes {\mathcal {K}}({\mathfrak {H}})$ for a certain Hilbert space ${\mathfrak {H}}$ that arises from the freeness of the action. This extends a result by Wassermann for free and ergodic C $&lt;^&gt;*$ -dynamical systems. As an application, we show that any faithful $&lt;^&gt;*$ -representation of $\mathcal {B}$ on a Hilbert space ${\mathfrak {H}}_{\mathcal {B}}$ gives rise to a faithful covariant representation of $(\mathcal {A},G,\alpha )$ on some truncation of ${\mathfrak {H}}_{\mathcal {B}} \otimes {\mathfrak {H}}$ .</t>
  </si>
  <si>
    <t xml:space="preserve">[Schwieger, Kay] Iteratec GmbH, Zettachring 6, D-70567 Stuttgart, Germany; [Wagner, Stefan] Blekinge Inst Technol, Dept Math &amp; Nat Sci, Valhallavagen 1, SE-37179 Karlskrona, Sweden</t>
  </si>
  <si>
    <t xml:space="preserve">Wagner, S (corresponding author), Blekinge Inst Technol, Dept Math &amp; Nat Sci, Valhallavagen 1, SE-37179 Karlskrona, Sweden.</t>
  </si>
  <si>
    <t xml:space="preserve">0008-4395</t>
  </si>
  <si>
    <t xml:space="preserve">1496-4287</t>
  </si>
  <si>
    <t xml:space="preserve">CAN MATH BULL</t>
  </si>
  <si>
    <t xml:space="preserve">Can. Math. Bul.-Bul. Can. Math.</t>
  </si>
  <si>
    <t xml:space="preserve">2025 JAN 17</t>
  </si>
  <si>
    <t xml:space="preserve">10.4153/S0008439524000808</t>
  </si>
  <si>
    <t xml:space="preserve">JAN 2025</t>
  </si>
  <si>
    <t xml:space="preserve">S4G8Z</t>
  </si>
  <si>
    <t xml:space="preserve">WOS:001397837700001</t>
  </si>
  <si>
    <t xml:space="preserve">Sánchez, AG</t>
  </si>
  <si>
    <t xml:space="preserve">Sanchez, Andrea Gimeno</t>
  </si>
  <si>
    <t xml:space="preserve">Alternative Research in Architecture, Resources, Art and Technology</t>
  </si>
  <si>
    <t xml:space="preserve">ARCHITEKTURA &amp; URBANIZMUS</t>
  </si>
  <si>
    <t xml:space="preserve">Art Exhibit Review</t>
  </si>
  <si>
    <t xml:space="preserve">[Sanchez, Andrea Gimeno] Blekinge Inst Technol, Swedish Sch Planning, Karlskrona, Sweden</t>
  </si>
  <si>
    <t xml:space="preserve">Sánchez, AG (corresponding author), Inst Fys Planering, S-37179 Karlskrona, Sweden.</t>
  </si>
  <si>
    <t xml:space="preserve">andrea.gimeno.sanchez@bth.se</t>
  </si>
  <si>
    <t xml:space="preserve">INST HISTORY SLOVAK ACAD SCIENCES</t>
  </si>
  <si>
    <t xml:space="preserve">BRATISLAVA</t>
  </si>
  <si>
    <t xml:space="preserve">DEPT ARCHITECTURE INST, KLEMENSOVA 19, BRATISLAVA, 814 99, SLOVAKIA</t>
  </si>
  <si>
    <t xml:space="preserve">0044-8680</t>
  </si>
  <si>
    <t xml:space="preserve">ARCHITEKT URBAN</t>
  </si>
  <si>
    <t xml:space="preserve">Archit. Urban.</t>
  </si>
  <si>
    <t xml:space="preserve">3-4</t>
  </si>
  <si>
    <t xml:space="preserve">PU0MM</t>
  </si>
  <si>
    <t xml:space="preserve">WOS:000609002700003</t>
  </si>
  <si>
    <t xml:space="preserve">Borg, A; Ahlstrand, J; Boldt, M</t>
  </si>
  <si>
    <t xml:space="preserve">Borg, Anton; Ahlstrand, Jim; Boldt, Martin</t>
  </si>
  <si>
    <t xml:space="preserve">Predicting e-Mail Response Time in Corporate Customer Support</t>
  </si>
  <si>
    <t xml:space="preserve">PROCEEDINGS OF THE 22ND INTERNATIONAL CONFERENCE ON ENTERPRISE INFORMATION SYSTEMS (ICEIS), VOL 1</t>
  </si>
  <si>
    <t xml:space="preserve">22nd International Conference on Enterprise Information Systems (ICEIS)</t>
  </si>
  <si>
    <t xml:space="preserve">MAY 05-07, 2020</t>
  </si>
  <si>
    <t xml:space="preserve">Prague, CZECH REPUBLIC</t>
  </si>
  <si>
    <t xml:space="preserve">e-Mail Time-to-Respond; Prediction; Random Forest; Machine Learning; Decision Support</t>
  </si>
  <si>
    <t xml:space="preserve">Maintaining high degree of customer satisfaction is important for any corporation, which involves the customer support process. One important factor in this work is to keep customers' wait time for a reply at levels that are acceptable to them. In this study we investigate to what extent models trained by the Random Forest learning algorithm can be used to predict e-mail time-to-respond time for both customer support agents as well as customers. The data set includes 51,682 customer support e-mails of various topics from a large telecom operator. The results indicate that it is possible to predict the time-to-respond for both customer support agents (AUC of 0.90) as well as for customers (AUC of 0.85). These results indicate that the approach can be used to improve communication efficiency, e.g. by anticipating the staff needs in customer support, but also indicating when a response is expected to take a longer time than usual.</t>
  </si>
  <si>
    <t xml:space="preserve">[Borg, Anton; Boldt, Martin] Blekinge Inst Technol, S-37179 Karlskrona, Sweden; [Ahlstrand, Jim] Telenor AB, Karlskrona, Sweden</t>
  </si>
  <si>
    <t xml:space="preserve">978-989-758-423-7</t>
  </si>
  <si>
    <t xml:space="preserve">10.5220/0009347303050314</t>
  </si>
  <si>
    <t xml:space="preserve">Computer Science, Information Systems; Computer Science, Theory &amp; Methods</t>
  </si>
  <si>
    <t xml:space="preserve">BQ8ST</t>
  </si>
  <si>
    <t xml:space="preserve">WOS:000621581300034</t>
  </si>
  <si>
    <t xml:space="preserve">Devagiri, VM; Boeva, V; Abghari, S; Basiri, F; Lavesson, N</t>
  </si>
  <si>
    <t xml:space="preserve">Devagiri, Vishnu Manasa; Boeva, Veselka; Abghari, Shahrooz; Basiri, Farhad; Lavesson, Niklas</t>
  </si>
  <si>
    <t xml:space="preserve">Multi-View Data Analysis Techniques for Monitoring Smart Building Systems</t>
  </si>
  <si>
    <t xml:space="preserve">evolutionary clustering; multi-view clustering; multi-instance learning; closed patterns; streaming data; formal concept analysis; smart buildings</t>
  </si>
  <si>
    <t xml:space="preserve">In smart buildings, many different systems work in coordination to accomplish their tasks. In this process, the sensors associated with these systems collect large amounts of data generated in a streaming fashion, which is prone to concept drift. Such data are heterogeneous due to the wide range of sensors collecting information about different characteristics of the monitored systems. All these make the monitoring task very challenging. Traditional clustering algorithms are not well equipped to address the mentioned challenges. In this work, we study the use of MV Multi-Instance Clustering algorithm for multi-view analysis and mining of smart building systems' sensor data. It is demonstrated how this algorithm can be used to perform contextual as well as integrated analysis of the systems. Various scenarios in which the algorithm can be used to analyze the data generated by the systems of a smart building are examined and discussed in this study. In addition, it is also shown how the extracted knowledge can be visualized to detect trends in the systems' behavior and how it can aid domain experts in the systems' maintenance. In the experiments conducted, the proposed approach was able to successfully detect the deviating behaviors known to have previously occurred and was also able to identify some new deviations during the monitored period. Based on the results obtained from the experiments, it can be concluded that the proposed algorithm has the ability to be used for monitoring, analysis, and detecting deviating behaviors of the systems in a smart building domain.</t>
  </si>
  <si>
    <t xml:space="preserve">[Devagiri, Vishnu Manasa; Boeva, Veselka; Abghari, Shahrooz] Blekinge Inst Technol, Dept Comp Sci, S-37179 Karlskrona, Sweden; [Basiri, Farhad] Iquest AB, S-12626 Stockholm, Sweden; [Lavesson, Niklas] Blekinge Inst Technol, Dept Software Engn, S-37179 Karlskrona, Sweden</t>
  </si>
  <si>
    <t xml:space="preserve">Devagiri, VM (corresponding author), Blekinge Inst Technol, Dept Comp Sci, S-37179 Karlskrona, Sweden.</t>
  </si>
  <si>
    <t xml:space="preserve">vishnu.manasa.devagiri@bth.se; veselka.boeva@bth.se; shahrooz.abghari@bth.se; farhad.basiri@iquest.se; niklas.lavesson@bth.se</t>
  </si>
  <si>
    <t xml:space="preserve">Devagiri, Vishnu Manasa/IAQ-6663-2023; Lavesson, Niklas/B-3313-2013; Boeva, Veselka/IAP-9371-2023; Abghari, Shahrooz/ADU-1546-2022</t>
  </si>
  <si>
    <t xml:space="preserve">Abghari, Shahrooz/0000-0002-3010-8798; Devagiri, Vishnu Manasa/0000-0003-3371-5347; Lavesson, Niklas/0000-0002-0535-1761</t>
  </si>
  <si>
    <t xml:space="preserve">10.3390/s21206775</t>
  </si>
  <si>
    <t xml:space="preserve">WT8PA</t>
  </si>
  <si>
    <t xml:space="preserve">WOS:000716120000001</t>
  </si>
  <si>
    <t xml:space="preserve">Liang, XS; Cheddad, A; Hall, J</t>
  </si>
  <si>
    <t xml:space="preserve">Liang, Xusheng; Cheddad, Abbas; Hall, Johan</t>
  </si>
  <si>
    <t xml:space="preserve">Comparative Study of Layout Analysis of Tabulated Historical Documents</t>
  </si>
  <si>
    <t xml:space="preserve">BIG DATA RESEARCH</t>
  </si>
  <si>
    <t xml:space="preserve">Layout analysis; Image processing; Machine learning; Historical handwritten documents; Feature extraction</t>
  </si>
  <si>
    <t xml:space="preserve">Nowadays, the field of multimedia retrieval system has earned a lot of attention as it helps retrieve information more efficiently and accelerates daily tasks. Within this context, image processing techniques such as layout analysis and word recognition play an important role in transcribing content in printed or handwritten documents into digital data that can be further processed. This transcription procedure is called document digitization. This work stems from an industrial need, namely, a Swedish company (ArkivDigital AB) has scanned more than 80 million pages of Swedish historical documents from all over the country and there is a high demand to transcribe the contents into digital data. Such process starts by figuring out text location which, seen from another angle, is merely table layout analysis. In this study, the aim is to reveal the most effective solution to extract document layout w.r.t Swedish handwritten historical documents that are featured by their tabular forms. In short, outcome of public tools (i.e., Breuel's OCRopus method), traditional image processing techniques (e.g., Hessian/Gabor filters, Hough transform, Histograms of oriented gradients -HOG- features), machine learning techniques (e.g., support vector machines, transfer learning) are studied and compared. Results show that the existing OCR tool cannot carry layout analysis task on our Swedish historical handwritten documents. Traditional image processing techniques are mildly capable of extracting the general table layout in these documents, but the accuracy is enhanced by introducing machine learning techniques. The best performing approach will be used in our future document mining research to allow for the development of scalable resource-efficient systems for big data analytics. (C) 2021 The Authors. Published by Elsevier Inc.</t>
  </si>
  <si>
    <t xml:space="preserve">[Liang, Xusheng; Cheddad, Abbas] Blekinge Inst Technol, Dept Comp Sci, SE-37179 Karlskrona, Sweden; [Hall, Johan] ArkivDigital AB, Vaxjo, Sweden</t>
  </si>
  <si>
    <t xml:space="preserve">This work is part of the research project Scalable resource-efficient systems for big data analytics funded by the Knowledge Foundation (Grant: 20140032) in Sweden.</t>
  </si>
  <si>
    <t xml:space="preserve">2214-5796</t>
  </si>
  <si>
    <t xml:space="preserve">BIG DATA RES</t>
  </si>
  <si>
    <t xml:space="preserve">Big Data Res.</t>
  </si>
  <si>
    <t xml:space="preserve">MAY 15</t>
  </si>
  <si>
    <t xml:space="preserve">10.1016/j.bdr.2021.100195</t>
  </si>
  <si>
    <t xml:space="preserve">RQ5LE</t>
  </si>
  <si>
    <t xml:space="preserve">WOS:000642459200009</t>
  </si>
  <si>
    <t xml:space="preserve">Ünver, B; Britto, R</t>
  </si>
  <si>
    <t xml:space="preserve">Uenver, Burak; Britto, Ricardo</t>
  </si>
  <si>
    <t xml:space="preserve">Automatic Detection of Security Deficiencies and Refactoring Advises for Microservices</t>
  </si>
  <si>
    <t xml:space="preserve">2023 IEEE/ACM INTERNATIONAL CONFERENCE ON SOFTWARE AND SYSTEM PROCESSES, ICSSP</t>
  </si>
  <si>
    <t xml:space="preserve">17th IEEE/ACM International Conference on Software and System Processes (ICSSP)</t>
  </si>
  <si>
    <t xml:space="preserve">MAY 14-15, 2023</t>
  </si>
  <si>
    <t xml:space="preserve">IEEE,Assoc Comp Machinery,IEEE Comp Soc,Int Software &amp; Syst Proc Assoc</t>
  </si>
  <si>
    <t xml:space="preserve">Microservices; Security; Kubernetes; Security Scanning Tools</t>
  </si>
  <si>
    <t xml:space="preserve">The microservice architecture enables organizations to shorten development cycles and deliver cloud-native applications rapidly. However, it also brings security concerns that need to be addressed by developers. Therefore, security testing in microservices becomes even more critical. Recent research papers indicate that security testing of microservices is often neglected for reasons such as lack of time, lack of experience in the security domain, and absence of automated test environments. Even though several security scanning tools exist to detect container, containerized workload management (Kubernetes), and network issues, none individually is sufficient to cover all security problems in microservices. Using multiple scanning tools increases the complexity of analyzing findings and mitigating security vulnerabilities. This paper presents a fully automated test tool suite that can help developers address security issues in microservices and resolve them. It targets to reduce time and effort in security activities by encapsulating open-source scanning tools into one suite and providing improved feedback. The developed security scanning suite is named Pomegranate. To develop Pomegranate, we employed Design Science and conducted our investigation in Ericsson. We have evaluated our tool using a static approach. The evaluation results indicate that the Pomegranate could be helpful to developers by providing simplified and classified outputs for security vulnerabilities in microservices. More than half of the practitioners who give us feedback found Pomegranate helpful in detecting and mitigating security problems in microservices. We conclude that a fully automated test tool suite can help developers to address most security issues in microservices. Based on the findings in this paper, the direction for future work is to conduct a dynamic validation of Pomegranate in a live project.</t>
  </si>
  <si>
    <t xml:space="preserve">[Uenver, Burak] Ericsson AB, Stockholm, Sweden; [Britto, Ricardo] Ericsson AB, Blekinge Inst Technol Sweden, Stockholm, Sweden</t>
  </si>
  <si>
    <t xml:space="preserve">Ericsson; Blekinge Institute Technology; Ericsson</t>
  </si>
  <si>
    <t xml:space="preserve">Ünver, B (corresponding author), Ericsson AB, Stockholm, Sweden.</t>
  </si>
  <si>
    <t xml:space="preserve">burak.unver@ericsson.com; ricardo.britto@ericsson.com</t>
  </si>
  <si>
    <t xml:space="preserve">979-8-3503-1196-9</t>
  </si>
  <si>
    <t xml:space="preserve">10.1109/ICSSP59042.2023.00013</t>
  </si>
  <si>
    <t xml:space="preserve">BV4JQ</t>
  </si>
  <si>
    <t xml:space="preserve">WOS:001032744000003</t>
  </si>
  <si>
    <t xml:space="preserve">Amini, E; Javadi, S; Khatibi, S</t>
  </si>
  <si>
    <t xml:space="preserve">Amini, Ehsan; Javadi, Saleh; Khatibi, Siamak</t>
  </si>
  <si>
    <t xml:space="preserve">Saliency Map Generation Based on Human Level Performance</t>
  </si>
  <si>
    <t xml:space="preserve">saliency map; visual attention; fixation points; eye tracker; evaluation metrics</t>
  </si>
  <si>
    <t xml:space="preserve">Generating precise saliency maps from eye tracker fixation points is a challenging task influenced by environmental factors and the choice of evaluation metrics. This paper presents a novel, sustainable, scale-invariant, and sampling-independent method for converting fixation points into saliency maps. Leveraging the inherent predictability of human behavior, the proposed method ensures the highest compatibility with the chosen evaluation metric. Moreover, it introduces a mechanism to calculate the maximum achievable similarity score for each conversion. In addition, it offers crucial insights for both saliency map evaluation and the training of machine learning systems dedicated to saliency map generation. Experimental results demonstrate the method's efficacy in producing saliency maps that align seamlessly with diverse evaluation metrics, showcasing its adaptability and predictive capabilities. This approach contributes not only to the refinement of saliency map generation but also to the broader understanding of the intricacies involved in converting eye tracker data into meaningful ground truths.</t>
  </si>
  <si>
    <t xml:space="preserve">[Amini, Ehsan] IAU, Dept Comp Engn, Sci &amp; Res Branch, Tehran, Iran; [Javadi, Saleh] Blekinge Inst Technol, Dept Math &amp; Nat Sci, Karlskrona, Sweden; [Khatibi, Siamak] Blekinge Inst Technol, Dept Technol &amp; Aesthet, Karlskrona, Sweden</t>
  </si>
  <si>
    <t xml:space="preserve">Amini, E (corresponding author), IAU, Dept Comp Engn, Sci &amp; Res Branch, Tehran, Iran.</t>
  </si>
  <si>
    <t xml:space="preserve">eamini@srbiau.ac.ir; saleh.javadi@bth.se; siamak.khatibi@bth.se</t>
  </si>
  <si>
    <t xml:space="preserve">Khatibi, Siamak/AAC-8824-2021; Javadi, Saleh/JDW-1296-2023</t>
  </si>
  <si>
    <t xml:space="preserve">Javadi, Saleh/0000-0002-6834-5676</t>
  </si>
  <si>
    <t xml:space="preserve">10.1109/GEM61861.2024.10585618</t>
  </si>
  <si>
    <t xml:space="preserve">WOS:001281983200095</t>
  </si>
  <si>
    <t xml:space="preserve">Khatibi, S; Wen, W; Emam, SM</t>
  </si>
  <si>
    <t xml:space="preserve">Khatibi, Siamak; Wen, Wei; Emam, Sayyed Mohammad</t>
  </si>
  <si>
    <t xml:space="preserve">Learning-Based Proof of the State-of-the-Art Geometric Hypothesis on Depth-of-Field Scaling and Shifting Influence on Image Sharpness</t>
  </si>
  <si>
    <t xml:space="preserve">unintentional blur; shifting; scaling; depth of field; blurred image</t>
  </si>
  <si>
    <t xml:space="preserve">MAP ESTIMATION; SINGLE IMAGE; EXTRACTION; DEFOCUS</t>
  </si>
  <si>
    <t xml:space="preserve">Today, we capture and store images in a way that has never been possible. However, huge numbers of degraded and blurred images are captured unintentionally or by mistake. In this paper, we propose a geometrical hypothesis stating that blurring occurs by shifting or scaling the depth of field (DOF). The validity of the hypothesis is proved by an independent method based on depth estimation from a single image. The image depth is modeled regarding its edges to extract amplitude comparison ratios between the generated blurred images and the sharp/blurred images. Blurred images are generated by a stepwise variation in the standard deviation of the Gaussian filter estimate in the improved model. This process acts as virtual image recording used to mimic the recording of several image instances. A historical documentation database is used to validate the hypothesis and classify sharp images from blurred ones and different blur types. The experimental results show that distinguishing unintentionally blurred images from non-blurred ones by a comparison of their depth of field is applicable.</t>
  </si>
  <si>
    <t xml:space="preserve">[Khatibi, Siamak; Wen, Wei] Blekinge Inst Technol, Dept Technol &amp; Aesthet, S-37179 Karlskrona, Sweden; [Emam, Sayyed Mohammad] Ardakan Univ, Fac Engn, Dept Mech Engn, POB 184, Ardakan, Iran</t>
  </si>
  <si>
    <t xml:space="preserve">Emam, SM (corresponding author), Ardakan Univ, Fac Engn, Dept Mech Engn, POB 184, Ardakan, Iran.</t>
  </si>
  <si>
    <t xml:space="preserve">siamak.khatibi@bth.se; wei.wen@bth.se; sy.m.emam@ardakan.ac.ir</t>
  </si>
  <si>
    <t xml:space="preserve">Khatibi, Siamak/AAC-8824-2021; Emam, Sayyed Mohammad/ABF-3414-2021</t>
  </si>
  <si>
    <t xml:space="preserve">Khatibi, Siamak/0000-0003-4327-117X; Emam, Sayyed Mohammad/0000-0002-8801-5017</t>
  </si>
  <si>
    <t xml:space="preserve">10.3390/app14072748</t>
  </si>
  <si>
    <t xml:space="preserve">NM6R4</t>
  </si>
  <si>
    <t xml:space="preserve">WOS:001200913900001</t>
  </si>
  <si>
    <t xml:space="preserve">Månsson, J; Andersson, C; Bonander, F</t>
  </si>
  <si>
    <t xml:space="preserve">Mansson, Jonas; Andersson, Christian; Bonander, Fredrik</t>
  </si>
  <si>
    <t xml:space="preserve">What lessons can be learned from cost efficiency? The case of Swedish district courts</t>
  </si>
  <si>
    <t xml:space="preserve">EUROPEAN JOURNAL OF LAW AND ECONOMICS</t>
  </si>
  <si>
    <t xml:space="preserve">Cost efficiency; Decomposition; Allocative efficiency; Technical efficiency; District courts</t>
  </si>
  <si>
    <t xml:space="preserve">DATA ENVELOPMENT ANALYSIS; JUDICIAL EFFICIENCY; DEA; JUSTICE; DECOMPOSITION; PRODUCTIVITY</t>
  </si>
  <si>
    <t xml:space="preserve">Many studies have reported findings regarding technical efficiency (i.e., resource use) for district courts around the world. However, our review of previous research did not find any studies targeting cost efficiency. To fill this gap, this study investigates the cost efficiency of Swedish district courts. We apply the Farrell framework and decompose cost efficiency into allocative and technical efficiency. The study finds substantial cost inefficiency for district courts in Sweden, which is mainly due to allocative inefficiency (i.e., having the wrong input mix or paying too much for inputs). This result is not surprising since, for example, there is regional heterogeneity in input prices (i.e., wages and rents). However, it also reveals the potential of, for example, moving district courts out of city centres and high-priced areas. On the other hand, the location and staffing of district courts serve other competing policy concerns, such as the proximity of citizens to district courts. The cost-efficiency analysis gives information about the cost of these competing policy concerns.</t>
  </si>
  <si>
    <t xml:space="preserve">[Mansson, Jonas; Andersson, Christian] Blekinge Inst Technol, Karlskrona, Sweden; [Andersson, Christian; Bonander, Fredrik] Swedish Natl Audit Off, Stockholm, Sweden</t>
  </si>
  <si>
    <t xml:space="preserve">Månsson, J (corresponding author), Blekinge Inst Technol, Karlskrona, Sweden.</t>
  </si>
  <si>
    <t xml:space="preserve">jpm@bth.se</t>
  </si>
  <si>
    <t xml:space="preserve">Mansson, Jonas/0000-0001-9078-0511</t>
  </si>
  <si>
    <t xml:space="preserve">Open access funding provided by Blekinge Institute of Technology. The authors did not receive support from any organization for the submitted work.</t>
  </si>
  <si>
    <t xml:space="preserve">0929-1261</t>
  </si>
  <si>
    <t xml:space="preserve">1572-9990</t>
  </si>
  <si>
    <t xml:space="preserve">EUR J LAW ECON</t>
  </si>
  <si>
    <t xml:space="preserve">Eur. J. Law Econ.</t>
  </si>
  <si>
    <t xml:space="preserve">10.1007/s10657-022-09739-4</t>
  </si>
  <si>
    <t xml:space="preserve">Economics; Law</t>
  </si>
  <si>
    <t xml:space="preserve">Business &amp; Economics; Government &amp; Law</t>
  </si>
  <si>
    <t xml:space="preserve">5L9MA</t>
  </si>
  <si>
    <t xml:space="preserve">WOS:000790185000001</t>
  </si>
  <si>
    <t xml:space="preserve">Kelkkanen, V; Fiedler, M; Lindero, D</t>
  </si>
  <si>
    <t xml:space="preserve">ASSOC COMP MACHINERY</t>
  </si>
  <si>
    <t xml:space="preserve">Kelkkanen, Viktor; Fiedler, Markus; Lindero, David</t>
  </si>
  <si>
    <t xml:space="preserve">Bitrate Requirements of Non-Panoramic VR Remote Rendering</t>
  </si>
  <si>
    <t xml:space="preserve">MM '20: PROCEEDINGS OF THE 28TH ACM INTERNATIONAL CONFERENCE ON MULTIMEDIA</t>
  </si>
  <si>
    <t xml:space="preserve">28th ACM International Conference on Multimedia (MM)</t>
  </si>
  <si>
    <t xml:space="preserve">OCT 12-16, 2020</t>
  </si>
  <si>
    <t xml:space="preserve">ACM SIGMM,Assoc Comp Machinery</t>
  </si>
  <si>
    <t xml:space="preserve">remote rendering; game streaming; low-latency; 6-DOF; SSIM; VMAF</t>
  </si>
  <si>
    <t xml:space="preserve">This paper shows the impact of bitrate settings on objective quality measures when streaming non-panoramic remote-rendered Virtual Reality (VR) images. Non-panoramic here refers to the images that are rendered and sent across the network, they only cover the viewport of each eye, respectively. To determine the required bitrate of remote rendering for VR, we use a server that renders a 3D-scene, encodes the resulting images using the NVENC H.264 codec and transmits them to the client across a network. The client decodes the images and displays them in the VR headset. Objective full-reference quality measures are taken by comparing the image before encoding on the server to the same image after it has been decoded on the client. By altering the average bitrate setting of the encoder, we obtain objective quality scores as functions of bitrates. Furthermore, we study the impact of headset rotation speeds, since this will also have a large effect on image quality. We determine an upper and lower bitrate limit based on headset rotation speeds. The lower limit is based on a speed close to the average human peak head-movement speed, 360 degrees/s. The upper limit is based on maximal peaks of 1080 degrees/s. Depending on the expected rotation speeds of the specific application, we determine that a total of 20-38Mbps should be used at resolution 2160x1200@90 fps, and 22-42Mbps at 2560x1440@60 fps. The recommendations are given with the assumption that the image is split in two and streamed in parallel, since this is how the tested prototype operates.</t>
  </si>
  <si>
    <t xml:space="preserve">[Kelkkanen, Viktor; Fiedler, Markus] Blekinge Inst Technol, Karlskrona, Sweden; [Lindero, David] Ericsson, Lulea, Sweden</t>
  </si>
  <si>
    <t xml:space="preserve">Blekinge Institute Technology; Ericsson</t>
  </si>
  <si>
    <t xml:space="preserve">viktor.kelkkanen@bth.se; markus.fiedler@bth.se; david.lindero@ericsson.com</t>
  </si>
  <si>
    <t xml:space="preserve">Kelkkanen, Viktor/IAQ-6752-2023</t>
  </si>
  <si>
    <t xml:space="preserve">KK Foundation, Sweden [20170056]</t>
  </si>
  <si>
    <t xml:space="preserve">KK Foundation, Sweden</t>
  </si>
  <si>
    <t xml:space="preserve">This work was supported in part by the KK Foundation, Sweden, through the project ViaTecH under contract number 20170056. The authors would like to thank our colleagues in the ViaTecH project for the feedback and discussions.</t>
  </si>
  <si>
    <t xml:space="preserve">978-1-4503-7988-5</t>
  </si>
  <si>
    <t xml:space="preserve">10.1145/3394171.3413681</t>
  </si>
  <si>
    <t xml:space="preserve">Computer Science, Artificial Intelligence; Computer Science, Information Systems; Computer Science, Interdisciplinary Applications; Computer Science, Software Engineering; Imaging Science &amp; Photographic Technology</t>
  </si>
  <si>
    <t xml:space="preserve">BT2LS</t>
  </si>
  <si>
    <t xml:space="preserve">WOS:000810735003076</t>
  </si>
  <si>
    <t xml:space="preserve">Hallstedt, SI; Villamil, C; Lövdah, J; Nylander, JW</t>
  </si>
  <si>
    <t xml:space="preserve">Hallstedt, Sophie Isaksson; Villamil, Carolina; Lovdah, Josefin; Nylander, Johanna Wallin</t>
  </si>
  <si>
    <t xml:space="preserve">Sustainability Fingerprint-guiding companies in anticipating the sustainability direction in early design</t>
  </si>
  <si>
    <t xml:space="preserve">Ecodesign; Sustainable design; Measure; Sustainability; Early design; Sustainable product development</t>
  </si>
  <si>
    <t xml:space="preserve">PRODUCT DESIGN; EARLY PHASES; LIFE-CYCLE; PERFORMANCE; FRAMEWORK; MODEL; INNOVATION; IMPLEMENTATION; METHODOLOGY; INDICATORS</t>
  </si>
  <si>
    <t xml:space="preserve">During the early phases of design of new products, information necessary to guide and assess sustainability is typically incomplete. Manufacturers risk discovering the unfavorable sustainability impact too late to redirect the development. The purpose of this study is to search and review methods to anticipate the sustainability performance of new products in the early stages of the innovation process, and, together with a case company in the aeroengine manufacturing business, to develop and propose a systematic approach to anticipate sustainability performance. Following a literature review of 51 methods and research-based proposals, only five covered the social-, ecological-, and economic sustainability dimensions in the early phases of product development. Through an action research-based approach, a qualitative sustainability measurement tool, the Sustainability Fingerprint tool, was developed. This tool allows the development team in a company to systematically derive a sustainability performance from a set of criteria unique to the targeted product and/or product portfolio that is to be designed, from a set of scientifically well-established sustainability principles. The tool was applied in six different industry cases at the company, by the design teams and independent of any influence of the researchers. Semi-structured interviews were conducted to learn about the usefulness, usability, and applicability of the tool. It was concluded that the Sustainability Fingerprint tool has no equivalent in the literature and was considered useful for the case company during early phase design for two main reasons. Firstly, the tool is tailor-made with defined companyspecific sustainability criteria that represent the most important sustainability aspects to assess. Secondly, the support tool can be used also in later phases, thereby supporting a continued innovation process. It allows designers to anticipate a sustainability performance of the solution in: the development of sustainable innovations; comparison and down-selection of alternative solutions; sustainability assessments of the product portfolio to identify improvement measures; and sustainability assessment of current products to identify sustainability hotspots. Further research will include companies from other industrial sectors and will focus on adding digital support, improved practical instructions, and, integration to existing processes and established support tools in companies today. (c) 2023 The Authors. Published by Elsevier Ltd on behalf of Institution of Chemical Engineers. This is an open access</t>
  </si>
  <si>
    <t xml:space="preserve">[Hallstedt, Sophie Isaksson; Villamil, Carolina; Lovdah, Josefin] Blekinge Inst Technol, Dept Strateg Sustainable Dev, SE-37179 Karlskrona, Sweden; [Nylander, Johanna Wallin] GKN Aerosp Engine, Trollhattan, Sweden</t>
  </si>
  <si>
    <t xml:space="preserve">Hallstedt, SI (corresponding author), Blekinge Inst Technol, Dept Strateg Sustainable Dev, SE-37179 Karlskrona, Sweden.</t>
  </si>
  <si>
    <t xml:space="preserve">Sophie.hallstedt@bth.se; dcv@bth.se; josefin.lovdahl@bth.se; johanna.nylander@gknaerospace.com</t>
  </si>
  <si>
    <t xml:space="preserve">I. Hallstedt, Sophie/0000-0002-7382-1825</t>
  </si>
  <si>
    <t xml:space="preserve">Knowledge Foundation-KK Stiftelsen in Sweden; Sweden's Innovation Agency - Vinnova</t>
  </si>
  <si>
    <t xml:space="preserve">Knowledge Foundation-KK Stiftelsen in Sweden; Sweden's Innovation Agency - Vinnova(Vinnova)</t>
  </si>
  <si>
    <t xml:space="preserve">Financial support from the Knowledge Foundation-KK Stiftelsen in Sweden and Sweden's Innovation Agency - Vinnova, are gratefully acknowledged. Sincere thanks also to the participants in the industrial case company.</t>
  </si>
  <si>
    <t xml:space="preserve">10.1016/j.spc.2023.03.015</t>
  </si>
  <si>
    <t xml:space="preserve">H3TI0</t>
  </si>
  <si>
    <t xml:space="preserve">WOS:000995220600001</t>
  </si>
  <si>
    <t xml:space="preserve">Daliparthi, VSSA; Momen, N; Tutschku, K; De Prado, M</t>
  </si>
  <si>
    <t xml:space="preserve">Daliparthi, Venkata Satya Sai Ajay; Momen, Nurul; Tutschku, Kurt; De Prado, Miguel</t>
  </si>
  <si>
    <t xml:space="preserve">ViSDM: A Liquid Democracy based Visual Data Marketplace for Sovereign Crowdsourcing Data Collection</t>
  </si>
  <si>
    <t xml:space="preserve">PROCEEDINGS OF THE 2023 EUROPEAN INTERDISCIPLINARY CYBERSECURITY CONFERENCE, EICC 2023</t>
  </si>
  <si>
    <t xml:space="preserve">European Interdisciplinary Cybersecurity Conference (EICC)</t>
  </si>
  <si>
    <t xml:space="preserve">JUN 14-15, 2023</t>
  </si>
  <si>
    <t xml:space="preserve">Univ Stavanger, Stavanger, NORWAY</t>
  </si>
  <si>
    <t xml:space="preserve">Univ Stavanger</t>
  </si>
  <si>
    <t xml:space="preserve">Data Marketplaces; Blockchain; Smart Contracts; Crowdsourcing Data Collection; Computer Vision</t>
  </si>
  <si>
    <t xml:space="preserve">BLOCKCHAIN</t>
  </si>
  <si>
    <t xml:space="preserve">The size and diversity of the training datasets directly influences the decision-making process of AI models. Therefore, there is an immense need for massive and diverse datasets to enhance the deployment process of AI applications. Crowdsourcing marketplaces provide a fast and reliable alternative to the laborious data collection process. However, the existing crowdsourcing marketplaces are either centralized or do not fully provide data sovereignty. By contrast, this work proposes a decentralized crowdsourcing platform through prototypical implementation along with active involvement of business entities, that grants the users sovereignty over their collected data, named as Vision-Sovereignty Data Marketplace (ViSDM). This work contributes to the data marketplaces landscape by introducing (i) A liquid democracy-based voting system to negotiate prices between a buyer and multiple data owners, (ii) An automated AI-Based per-sample value calculation function to evaluate the data and distribute profit among the data owners.</t>
  </si>
  <si>
    <t xml:space="preserve">[Daliparthi, Venkata Satya Sai Ajay; Momen, Nurul; Tutschku, Kurt] Blekinge Inst Technol, Karlskrona, Blekinge, Sweden; [De Prado, Miguel] Bonseyes Community Assoc, Lausanne, Vaud, Switzerland</t>
  </si>
  <si>
    <t xml:space="preserve">Daliparthi, VSSA (corresponding author), Blekinge Inst Technol, Karlskrona, Blekinge, Sweden.</t>
  </si>
  <si>
    <t xml:space="preserve">venkatasatyasaiajay.daliparthi@bth.se; nurul.momen@bth.se; kurt.tutschku@bth.se; miguel.deprado@bonseyes.com</t>
  </si>
  <si>
    <t xml:space="preserve">Daliparthi, Venkata Satya Sai Ajay/IAR-1660-2023; Tutschku, Kurt/B-4310-2013; /AAF-5389-2019; Momen, Nurul/E-8296-2017</t>
  </si>
  <si>
    <t xml:space="preserve">Tutschku, Kurt/0000-0003-4814-4428; de Prado, Miguel/0000-0003-4350-1617; Momen, Nurul/0000-0002-5235-5335</t>
  </si>
  <si>
    <t xml:space="preserve">European Union [101015848]; Knowledge Foundation, Sweden [20220068]; H2020 - Industrial Leadership [101015848] Funding Source: H2020 - Industrial Leadership</t>
  </si>
  <si>
    <t xml:space="preserve">European Union(European Union (EU)); Knowledge Foundation, Sweden; H2020 - Industrial Leadership(European Union (EU)H2020 - Industrial Leadership)</t>
  </si>
  <si>
    <t xml:space="preserve">This project has received funding from the European Union's Horizon 2020 research and innovation programme under grant agreement No 101015848. Neither the European Commission (EC) nor any person acting on behalf of the Commission is responsible for how the following information is used. The views expressed in this publication are the sole responsibility of the authors and do not necessarily reflect the views of the EC. Kurt's work was funded partly by the Knowledge Foundation, Sweden, through the Human-Centered Intelligent Realities (HINTS) Profile Project (contract 20220068)</t>
  </si>
  <si>
    <t xml:space="preserve">978-1-4503-9829-9</t>
  </si>
  <si>
    <t xml:space="preserve">10.1145/3590777.3590794</t>
  </si>
  <si>
    <t xml:space="preserve">Computer Science, Software Engineering; Computer Science, Theory &amp; Methods; Telecommunications</t>
  </si>
  <si>
    <t xml:space="preserve">BW2RZ</t>
  </si>
  <si>
    <t xml:space="preserve">WOS:001124185500017</t>
  </si>
  <si>
    <t xml:space="preserve">Abghari, S; Boeva, V; Brage, J; Johansson, C</t>
  </si>
  <si>
    <t xml:space="preserve">Abghari, Shahrooz; Boeva, Veselka; Brage, Jens; Johansson, Christian</t>
  </si>
  <si>
    <t xml:space="preserve">District Heating Substation Behaviour Modelling for Annotating the Performance</t>
  </si>
  <si>
    <t xml:space="preserve">Clustering analysis; District heating; Higher order mining; Outlier detection</t>
  </si>
  <si>
    <t xml:space="preserve">FAULT-DETECTION</t>
  </si>
  <si>
    <t xml:space="preserve">In this ongoing study, we propose a higher order data mining approach for modelling district heating (DH) substations' behaviour and linking operational behaviour representative profiles with different performance indicators. We initially create substation's operational behaviour models by extracting weekly patterns and clustering them into groups of similar patterns. The built models are further analyzed and integrated into an overall substation model by applying consensus clustering. The different operational behaviour profiles represented by the exemplars of the consensus clustering model are then linked to performance indicators. The labelled behaviour profiles are deployed over the whole heating season to derive diverse insights about the substation's performance. The results show that the proposed method can be used for modelling, analyzing and understanding the deviating and suboptimal DH substation's behaviours.</t>
  </si>
  <si>
    <t xml:space="preserve">[Abghari, Shahrooz; Boeva, Veselka] Blekinge Inst Technol, S-37179 Karlskrona, Sweden; [Brage, Jens; Johansson, Christian] NODA Intelligent Syst AB, S-37435 Karlshamn, Sweden</t>
  </si>
  <si>
    <t xml:space="preserve">Abghari, S (corresponding author), Blekinge Inst Technol, S-37179 Karlskrona, Sweden.</t>
  </si>
  <si>
    <t xml:space="preserve">shahrooz.abghari@bth.se</t>
  </si>
  <si>
    <t xml:space="preserve">Abghari, Shahrooz/0000-0002-3010-8798</t>
  </si>
  <si>
    <t xml:space="preserve">10.1007/978-3-030-43887-6_1</t>
  </si>
  <si>
    <t xml:space="preserve">WOS:000718590300001</t>
  </si>
  <si>
    <t xml:space="preserve">Smite, D; Klotins, E; Moe, NB</t>
  </si>
  <si>
    <t xml:space="preserve">Smite, Darja; Klotins, Eriks; Moe, Nils Brede</t>
  </si>
  <si>
    <t xml:space="preserve">What Attracts Employees to Work on Site in Times of Increased Remote Working?</t>
  </si>
  <si>
    <t xml:space="preserve">IEEE SOFTWARE</t>
  </si>
  <si>
    <t xml:space="preserve">Companies; Remote working; Interviews; Encoding; Employment; Collaboration; Pandemics</t>
  </si>
  <si>
    <t xml:space="preserve">We examine how remote work is institutionalized in eight companies, and solicit employees' needs at the workplace. Based on these insights, we summarize actionable advice for policy makers, facility managers and employees to promote on-site work, which is likely to help many companies to rejuvenate life in their offices.</t>
  </si>
  <si>
    <t xml:space="preserve">[Smite, Darja] Blekinge Inst Technol, Software Engn, S-37179 Karlskrona, Sweden; [Smite, Darja; Moe, Nils Brede] SINTEF, N-7034 Trondheim, Norway; [Klotins, Eriks; Moe, Nils Brede] Blekinge Inst Technol, S-37179 Karlskrona, Sweden</t>
  </si>
  <si>
    <t xml:space="preserve">Blekinge Institute Technology; SINTEF; Blekinge Institute Technology</t>
  </si>
  <si>
    <t xml:space="preserve">Smite, D (corresponding author), Blekinge Inst Technol, Software Engn, S-37179 Karlskrona, Sweden.;Smite, D (corresponding author), SINTEF, N-7034 Trondheim, Norway.</t>
  </si>
  <si>
    <t xml:space="preserve">darja.smite@bth.se; eriks.klotins@bth.se; nils.b.moe@sintef.no</t>
  </si>
  <si>
    <t xml:space="preserve">10662 LOS VAQUEROS CIRCLE, PO BOX 3014, LOS ALAMITOS, CA 90720-1314 USA</t>
  </si>
  <si>
    <t xml:space="preserve">0740-7459</t>
  </si>
  <si>
    <t xml:space="preserve">1937-4194</t>
  </si>
  <si>
    <t xml:space="preserve">IEEE Softw.</t>
  </si>
  <si>
    <t xml:space="preserve">10.1109/MS.2024.3375964</t>
  </si>
  <si>
    <t xml:space="preserve">O8A6Q</t>
  </si>
  <si>
    <t xml:space="preserve">WOS:001373292400010</t>
  </si>
  <si>
    <t xml:space="preserve">Flyborg, J; Renvert, S; Anderberg, P; Sanmartin-Berglund, J</t>
  </si>
  <si>
    <t xml:space="preserve">Flyborg, Johan; Renvert, Stefan; Anderberg, Peter; Sanmartin-Berglund, Johan</t>
  </si>
  <si>
    <t xml:space="preserve">The long-term effect on oral health and quality of life using a powered toothbrush in individuals with mild cognitive impairment. An intervention trial</t>
  </si>
  <si>
    <t xml:space="preserve">SPECIAL CARE IN DENTISTRY</t>
  </si>
  <si>
    <t xml:space="preserve">mild cognitive impairment; oral health; powered toothbrush; quality of life</t>
  </si>
  <si>
    <t xml:space="preserve">GLOBAL PREVALENCE; DENTAL-HEALTH; OLDER-PEOPLE; DEMENTIA; HYGIENE; FOCUS</t>
  </si>
  <si>
    <t xml:space="preserve">BackgroundThe number of older individuals with mild cognitive impairment and neurocognitive diseases is increasing, which may rapidly deteriorate oral health and Quality of life. Therefore, removing dental biofilm is essential for maintaining good oral health. The present study aimed to investigate whether introducing a powered toothbrush reduces the presence of dental plaque, bleeding on probing, and periodontal pockets &gt;= 4 mm, leading to maintained or improved oral health and improved Quality of life in a group of older individuals with mild cognitive impairment.MethodsTwo hundred and thirteen individuals aged 55 or older living without official home care with a Mini-Mental State Examination (MMSE) score between 20 and 28 and a history of memory problems in the previous 6 months were recruited and screened for the study. The individuals received a powered toothbrush and thorough instructions on how to use it. Clinical oral examinations, Quality of life examinations, and MMSE tests were conducted at baseline, 6, 12, and 24 months. The intervention group was compared to control groups at baseline and 24-month examination. It was divided into an MMSE high group with a score of more than 26 and an MMSE low group with a score of 26 and lower or decreasing two steps or more for 12 months.ResultsPI, BOP, and PPD &gt;= 4 mm improved continuously in both MMSE groups during the 24 months of the study. The values for QoL-AD deteriorated over time, while the oral health-related Quality of life did not show any statistically significant changes.ConclusionsIntroducing a powered toothbrush improved PI, BOP, and PPD &gt;= 4 mm over 24 months, even among individuals with low or declining MMSE scores. Improved oral health is associated with a preserved OHR-QoL.</t>
  </si>
  <si>
    <t xml:space="preserve">[Flyborg, Johan; Renvert, Stefan; Anderberg, Peter; Sanmartin-Berglund, Johan] Blekinge Inst Technol, Dept Hlth, Karlskrona, Sweden; [Renvert, Stefan] Kristianstad Univ, Fac Hlth Sci, Kristianstad, Sweden</t>
  </si>
  <si>
    <t xml:space="preserve">Blekinge Institute Technology; Kristianstad University</t>
  </si>
  <si>
    <t xml:space="preserve">Flyborg, J (corresponding author), Blekinge Inst Technol, Dept Hlth, Karlskrona, Sweden.</t>
  </si>
  <si>
    <t xml:space="preserve">johan.flyborg@bth.se</t>
  </si>
  <si>
    <t xml:space="preserve">Flyborg, Johan/AFD-8306-2022; Renvert, Stefan/AAM-2415-2020; Anderberg, Peter/B-5541-2012</t>
  </si>
  <si>
    <t xml:space="preserve">Anderberg, Peter/0000-0001-9870-8477; Flyborg, Johan/0000-0001-9148-9582</t>
  </si>
  <si>
    <t xml:space="preserve">Blekinge Institute of Technology and Kristianstad University</t>
  </si>
  <si>
    <t xml:space="preserve">The authors would like to thank licensed dental hygienist Christina Karlsson for her data collection and registration work. This study was supported by grants from the Blekinge Institute of Technology and Kristianstad University. The powered toothbrushes were generously provided by Proctor &amp; Gamble.</t>
  </si>
  <si>
    <t xml:space="preserve">0275-1879</t>
  </si>
  <si>
    <t xml:space="preserve">1754-4505</t>
  </si>
  <si>
    <t xml:space="preserve">SPEC CARE DENT</t>
  </si>
  <si>
    <t xml:space="preserve">Spec. Care Dent.</t>
  </si>
  <si>
    <t xml:space="preserve">10.1111/scd.13040</t>
  </si>
  <si>
    <t xml:space="preserve">JUL 2024</t>
  </si>
  <si>
    <t xml:space="preserve">Dentistry, Oral Surgery &amp; Medicine</t>
  </si>
  <si>
    <t xml:space="preserve">L9Z7O</t>
  </si>
  <si>
    <t xml:space="preserve">WOS:001269200200001</t>
  </si>
  <si>
    <t xml:space="preserve">Li, RY; Ding, JG; Ning, HS</t>
  </si>
  <si>
    <t xml:space="preserve">Li, Rongyang; Ding, Jianguo; Ning, Huansheng</t>
  </si>
  <si>
    <t xml:space="preserve">Emotion Arousal Assessment Based on Multimodal Physiological Signals for Game Users</t>
  </si>
  <si>
    <t xml:space="preserve">IEEE TRANSACTIONS ON AFFECTIVE COMPUTING</t>
  </si>
  <si>
    <t xml:space="preserve">Emotion arousal assessment; physiological signal; game user; BRV signal</t>
  </si>
  <si>
    <t xml:space="preserve">Emotional arousal, an essential dimension of game users' experience, plays a crucial role in determining whether a game is successful. Game users' emotion arousal assessment (GUEA) is of great importance. However, GUEA often faces challenges, such as selecting emotion-inducing games, labeling emotional arousal, and improving accuracy. In this study, the scheme for verifying the effectiveness of emotion-induced games is proposed so that the selected games can induce the target emotions. In addition, the personalized arousal label generation method is developed to reduce the errors caused by individual differences among subjects. Furthermore, to improve the accuracy of GUEA, the Breath Rate Variability (BRV) signal is used as a GUEA indicator along with commonly used physiological signals. Comparative experiments on GUEA based on multimodal physiological signals are conducted. The experimental result shows that the accuracy of GUEA is improved by adding the BRV signal, up to 92%.</t>
  </si>
  <si>
    <t xml:space="preserve">[Li, Rongyang; Ning, Huansheng] Univ Sci &amp; Technol Beijing, Beijing 100083, Peoples R China; [Ding, Jianguo] Blekinge Inst Technol, S-37141 Karlskrona, Sweden</t>
  </si>
  <si>
    <t xml:space="preserve">University of Science &amp; Technology Beijing; Blekinge Institute Technology</t>
  </si>
  <si>
    <t xml:space="preserve">Ning, HS (corresponding author), Univ Sci &amp; Technol Beijing, Beijing 100083, Peoples R China.</t>
  </si>
  <si>
    <t xml:space="preserve">ustblirongyang@sina.com; jianguo.ding@bth.se; ninghuansheng@ustb.edu.cn</t>
  </si>
  <si>
    <t xml:space="preserve">Li, Rongyang/GXF-2537-2022; Ding, Jianguo/B-5748-2008</t>
  </si>
  <si>
    <t xml:space="preserve">Ding, Jianguo/0000-0002-8927-0968</t>
  </si>
  <si>
    <t xml:space="preserve">1949-3045</t>
  </si>
  <si>
    <t xml:space="preserve">IEEE T AFFECT COMPUT</t>
  </si>
  <si>
    <t xml:space="preserve">IEEE Trans. Affect. Comput.</t>
  </si>
  <si>
    <t xml:space="preserve">10.1109/TAFFC.2023.3265008</t>
  </si>
  <si>
    <t xml:space="preserve">Computer Science, Artificial Intelligence; Computer Science, Cybernetics</t>
  </si>
  <si>
    <t xml:space="preserve">CG7K1</t>
  </si>
  <si>
    <t xml:space="preserve">WOS:001124163900011</t>
  </si>
  <si>
    <t xml:space="preserve">Nord, C; Ananias, J</t>
  </si>
  <si>
    <t xml:space="preserve">Nord, Catharina; Ananias, Janet</t>
  </si>
  <si>
    <t xml:space="preserve">Urbanised Ageing and Strategic Welfare Space in a Namibian Former Township</t>
  </si>
  <si>
    <t xml:space="preserve">AFRICAN STUDIES</t>
  </si>
  <si>
    <t xml:space="preserve">ageing; township; welfare; housing; strategic welfare space; Namibia</t>
  </si>
  <si>
    <t xml:space="preserve">OLDER-PEOPLE; FAMILY; MIGRATION; PENSIONS; AFRICA</t>
  </si>
  <si>
    <t xml:space="preserve">The number of African older people who live permanently in urban areas is growing. This qualitative ethnographic study explores how older people employ welfare strategies, often involving members of the extended family in mutual care and support. These welfare strategies are emplaced; in this case, in different housing types in a former township in Namibia - Kuisebmond in Walvis Bay. Older people stay in former township houses, in backyard shacks or other rentals, or at an old-age home. Government welfare that was adjusted to family needs appeared in similar shapes in these housing types, such as access to better schools. Older people were both caregivers and receivers of care in these efforts. Taking care of grandchildren while their parents migrated for work was a mutuality of informal support that was highly beneficial to all involved. The non-contributory pensions facilitated many strategies by alleviating risks. Access to high quality housing and government healthcare made urban living a feasible alternative that challenged rural living. The study concludes that housing is a strategic welfare space where formal and informal welfare are optimised in various ways. Older individuals contribute to a large extent to the adjustment, maintenance, and development of these joint spaces.</t>
  </si>
  <si>
    <t xml:space="preserve">[Nord, Catharina] Blekinge Inst Technol, Karlskrona, Sweden; [Ananias, Janet] Univ Namibia, Windhoek, Namibia</t>
  </si>
  <si>
    <t xml:space="preserve">Blekinge Institute Technology; University of Namibia</t>
  </si>
  <si>
    <t xml:space="preserve">Nord, C (corresponding author), Blekinge Inst Technol, Karlskrona, Sweden.</t>
  </si>
  <si>
    <t xml:space="preserve">Ananias, Janet/HTL-3317-2023</t>
  </si>
  <si>
    <t xml:space="preserve">Riksbankens Jubileumsfond [P15-0140:1]; Erongo Elderly Association; Namibian Shack-Dwellers Federation; Swedish Foundation for Humanities and Social Sciences [P15-0140:1] Funding Source: Swedish Foundation for Humanities and Social Sciences</t>
  </si>
  <si>
    <t xml:space="preserve">Riksbankens Jubileumsfond; Erongo Elderly Association; Namibian Shack-Dwellers Federation; Swedish Foundation for Humanities and Social Sciences</t>
  </si>
  <si>
    <t xml:space="preserve">The study was financed by Riksbankens Jubileumsfond under Grant no. P15-0140:1. The author thanks Erongo Elderly Association and the Namibian Shack-Dwellers Federation for support and help carrying out this study. The authors also thank Mrs Paulina Junias and Miss Revival Gao-o Resendez for assistance, translations and transcriptions of interviews.</t>
  </si>
  <si>
    <t xml:space="preserve">0002-0184</t>
  </si>
  <si>
    <t xml:space="preserve">1469-2872</t>
  </si>
  <si>
    <t xml:space="preserve">AFR STUD-UK</t>
  </si>
  <si>
    <t xml:space="preserve">Afr. Stud.</t>
  </si>
  <si>
    <t xml:space="preserve">10.1080/00020184.2022.2060796</t>
  </si>
  <si>
    <t xml:space="preserve">1H0SG</t>
  </si>
  <si>
    <t xml:space="preserve">WOS:000790198400001</t>
  </si>
  <si>
    <t xml:space="preserve">Wairimu, S; Momen, N</t>
  </si>
  <si>
    <t xml:space="preserve">Asplund, M; Nadjm-Tehrani, S</t>
  </si>
  <si>
    <t xml:space="preserve">Wairimu, Samuel; Momen, Nurul</t>
  </si>
  <si>
    <t xml:space="preserve">Privacy Analysis of COVID-19 Contact Tracing Apps in the EU</t>
  </si>
  <si>
    <t xml:space="preserve">SECURE IT SYSTEMS, NORDSEC 2020</t>
  </si>
  <si>
    <t xml:space="preserve">25th Nordic Conference on Secure IT Systems (NordSec)</t>
  </si>
  <si>
    <t xml:space="preserve">NOV 23-24, 2020</t>
  </si>
  <si>
    <t xml:space="preserve">Privacy; COVID-19; Contact tracing apps</t>
  </si>
  <si>
    <t xml:space="preserve">This paper presents results from a privacy analysis of COVID-19 contact tracing apps developed within the EU. Though these apps have been termed advantageous, concerns regarding privacy have become an issue that has led to their slow adoption. In this empirical study, we perform both static and dynamic analysis to judge apps' privacy-preserving behavior together with the analysis of the privacy and data protection goals to deduce their transparency and intervenability. From the results, we discover that while the apps aim to be privacy-preserving, not all adhere to this as we observe one tracks users' location, while the other violates the principle of least privilege, data minimisation and transparency, which puts the users' at risk by invading their privacy.</t>
  </si>
  <si>
    <t xml:space="preserve">[Wairimu, Samuel; Momen, Nurul] Karlstad Univ, Univ Gatan 2, S-65188 Karlstad, Sweden; [Momen, Nurul] Blekinge Inst Technol, Karlskrona, Sweden</t>
  </si>
  <si>
    <t xml:space="preserve">Karlstad University; Blekinge Institute Technology</t>
  </si>
  <si>
    <t xml:space="preserve">Wairimu, S (corresponding author), Karlstad Univ, Univ Gatan 2, S-65188 Karlstad, Sweden.</t>
  </si>
  <si>
    <t xml:space="preserve">samuel.wairimu@kau.se; nurul.momen@kau.se</t>
  </si>
  <si>
    <t xml:space="preserve">/AAF-5389-2019; Momen, Nurul/E-8296-2017</t>
  </si>
  <si>
    <t xml:space="preserve">Momen, Nurul/0000-0002-5235-5335; Wairimu, Samuel/0000-0003-1750-649X</t>
  </si>
  <si>
    <t xml:space="preserve">DigitalWell Research Project from Region Varmlad, Sweden</t>
  </si>
  <si>
    <t xml:space="preserve">This research is funded by the DigitalWell Research Project from Region Varmlad, Sweden.</t>
  </si>
  <si>
    <t xml:space="preserve">978-3-030-70851-1; 978-3-030-70852-8</t>
  </si>
  <si>
    <t xml:space="preserve">10.1007/978-3-030-70852-8_13</t>
  </si>
  <si>
    <t xml:space="preserve">Computer Science, Information Systems; Computer Science, Theory &amp; Methods; Mathematics, Applied</t>
  </si>
  <si>
    <t xml:space="preserve">Computer Science; Mathematics</t>
  </si>
  <si>
    <t xml:space="preserve">BU6QZ</t>
  </si>
  <si>
    <t xml:space="preserve">WOS:000927605100013</t>
  </si>
  <si>
    <t xml:space="preserve">Ludwig-Barbosa, V; Rasch, J; Carlström, A; Pettersson, MI; Vu, VT</t>
  </si>
  <si>
    <t xml:space="preserve">Ludwig-Barbosa, Vinicius; Rasch, Joel; Carlstrom, Anders; Pettersson, Mats I.; Vu, Viet Thuy</t>
  </si>
  <si>
    <t xml:space="preserve">GNSS Radio Occultation Simulation Using Multiple Phase Screen Orbit Sampling</t>
  </si>
  <si>
    <t xml:space="preserve">Orbits; Atmospheric modeling; Ionosphere; Refractive index; Global navigation satellite system; Low earth orbit satellites; Diffraction; Ionosphere; multiple phase screen (MPS); radio occultation (RO); remote sensing; wave optics propagator (WOP)</t>
  </si>
  <si>
    <t xml:space="preserve">RESIDUAL IONOSPHERIC ERRORS; IMPACT</t>
  </si>
  <si>
    <t xml:space="preserve">Wave optics propagators (WOPs) are commonly used to describe the propagation of radio signals through earth's atmosphere. In radio occultation (RO) context, multiple phase screen (MPS) method has been used to model the effects of the atmosphere in Global Navigation Satellite System (GNSS) signals during an occultation event. WOP implementation includes, in addition to MPS, a diffraction integral as the final step to calculate the radio signal measured in the low-earth orbit (LEO) satellite. This approach considers vacuum as the propagation medium at high altitudes, which is not always the case when the ionosphere is taken into account in simulations. An alternative approach is using MPS all the way to LEO in order to sample the GNSS signal in orbit. This approach, named MPS orbit sampling (MPS-OS), is evaluated in this letter. Different scenarios of setting occultation assuming a short segment of the LEO orbit have been simulated using MPS and MPS-OS. Results have been compared to Abel transform references. Furthermore, a long segment scenario has been evaluated as well. A comparison of bending angle (BA) and residual ionospheric error (RIE) shows the equivalence between MPS and MPS-OS results. The main application of MPS-OS should be in occultation events with long segments of orbit and including ionosphere, in which a standard WOP may not be appropriate.</t>
  </si>
  <si>
    <t xml:space="preserve">[Ludwig-Barbosa, Vinicius; Pettersson, Mats I.; Vu, Viet Thuy] Blekinge Inst Technol, Dept Math &amp; Nat Sci, S-37179 Karlskrona, Sweden; [Rasch, Joel] MOLFLOW Syst AB, S-44340 Grabo, Sweden; [Carlstrom, Anders] RUAG Space AB, S-40515 Gothenburg, Sweden</t>
  </si>
  <si>
    <t xml:space="preserve">Ludwig-Barbosa, V (corresponding author), Blekinge Inst Technol, Dept Math &amp; Nat Sci, S-37179 Karlskrona, Sweden.</t>
  </si>
  <si>
    <t xml:space="preserve">Ludwig Barbosa, Vinícius/JDW-1237-2023; Vu, Viet/JDW-0738-2023; Pettersson, Mats/N-1063-2016</t>
  </si>
  <si>
    <t xml:space="preserve">Ludwig Barbosa, Vinicius/0000-0002-7769-8641; Carlstrom, Anders/0000-0002-0620-7825; Pettersson, Mats/0000-0002-6643-312X</t>
  </si>
  <si>
    <t xml:space="preserve">Swedish National Space Agency (Rymdstyrelsen) through the National Space Engineering Program [241/15]</t>
  </si>
  <si>
    <t xml:space="preserve">Swedish National Space Agency (Rymdstyrelsen) through the National Space Engineering Program</t>
  </si>
  <si>
    <t xml:space="preserve">This work was supported by the Swedish National Space Agency (Rymdstyrelsen) through the National Space Engineering Program under Grant 241/15, NRFP Round 3.</t>
  </si>
  <si>
    <t xml:space="preserve">10.1109/LGRS.2019.2944537</t>
  </si>
  <si>
    <t xml:space="preserve">MP5VK</t>
  </si>
  <si>
    <t xml:space="preserve">WOS:000552271800007</t>
  </si>
  <si>
    <t xml:space="preserve">Nawaz, O; Fiedler, M; De Moor, K; Khatibi, S</t>
  </si>
  <si>
    <t xml:space="preserve">Nawaz, Omer; Fiedler, Markus; De Moor, Katrien; Khatibi, Siamak</t>
  </si>
  <si>
    <t xml:space="preserve">Influence of Gender and Viewing Frequency on Quality of Experience</t>
  </si>
  <si>
    <t xml:space="preserve">2020 TWELFTH INTERNATIONAL CONFERENCE ON QUALITY OF MULTIMEDIA EXPERIENCE (QOMEX)</t>
  </si>
  <si>
    <t xml:space="preserve">12th International Conference on Quality of Multimedia Experience (QoMEX)</t>
  </si>
  <si>
    <t xml:space="preserve">MAY 26-28, 2020</t>
  </si>
  <si>
    <t xml:space="preserve">IEEE,Netflix,YouTube,Deutsche Telekom,Bitmovin,Neueda Technologies Ireland Ltd,Sidero Ltd,IEEE Signal Proc Soc,Cost Ic 1003, Qualinet</t>
  </si>
  <si>
    <t xml:space="preserve">QoE; Human Factors; User Diversity; Machine Learning</t>
  </si>
  <si>
    <t xml:space="preserve">Some of the most important aspects for content creators and service providers are the content appeal and the time consumed by the end users on a particular application or service. Gender and age can influence the Quality of Experience (QoE) ratings of multimedia based on the nature of the shown content, yet few studies have quantized this notion. In this paper, we zoom in on the influence of gender on user ratings in a video QoE study (N=89) with packet loss as the main system influence factor. We have analyzed the impact of gender on QoE subjective ratings both as a standalone influence factor and in coherence of temporal traits like the frequency of watching online content. We have observed significant trends to highlight the importance of systematically checking and reporting on the impact of basic human factors, such as gender in relation to quality perception with respect to different types of content.</t>
  </si>
  <si>
    <t xml:space="preserve">[Nawaz, Omer; Fiedler, Markus; Khatibi, Siamak] Blekinge Inst Technol, Karlshamn, Sweden; [De Moor, Katrien] Norwegian Univ Sci &amp; Technol, Trondheim, Norway</t>
  </si>
  <si>
    <t xml:space="preserve">Blekinge Institute Technology; Norwegian University of Science &amp; Technology (NTNU)</t>
  </si>
  <si>
    <t xml:space="preserve">Nawaz, O (corresponding author), Blekinge Inst Technol, Karlshamn, Sweden.</t>
  </si>
  <si>
    <t xml:space="preserve">omer.nawaz@bth.se; markus.fiedler@bth.se; katrien.demoor@ntnu.no; siamak.khatibi@bth.se</t>
  </si>
  <si>
    <t xml:space="preserve">De Moor, Katrien/0000-0002-8752-3351; Nawaz, Omer/0009-0004-2874-0403</t>
  </si>
  <si>
    <t xml:space="preserve">978-1-7281-5965-2</t>
  </si>
  <si>
    <t xml:space="preserve">10.1109/qomex48832.2020.9123106</t>
  </si>
  <si>
    <t xml:space="preserve">Computer Science, Interdisciplinary Applications; Engineering, Electrical &amp; Electronic</t>
  </si>
  <si>
    <t xml:space="preserve">BQ8BZ</t>
  </si>
  <si>
    <t xml:space="preserve">WOS:000619223500033</t>
  </si>
  <si>
    <t xml:space="preserve">Yu, L; Alégroth, E; Chatzipetrou, P; Gorschek, T</t>
  </si>
  <si>
    <t xml:space="preserve">Yu, Liang; Alegroth, Emil; Chatzipetrou, Panagiota; Gorschek, Tony</t>
  </si>
  <si>
    <t xml:space="preserve">Utilising CI environment for efficient and effective testing of NFRs</t>
  </si>
  <si>
    <t xml:space="preserve">Agile; Continuous integration; CI; DevOps; Non-functional requirement; NFR; Scaled agile framework; SAFe</t>
  </si>
  <si>
    <t xml:space="preserve">CONTINUOUS INTEGRATION; SOFTWARE; CHALLENGES; DELIVERY; RELIABILITY; DEPLOYMENT; AGREEMENT</t>
  </si>
  <si>
    <t xml:space="preserve">Context: Continuous integration (CI) is a practice that aims to continuously verify quality aspects of a software intensive system both for functional and non-functional requirements (NFRs). Functional requirements are the inputs of development and can be tested in isolation, utilising either manual or automated tests. In contrast, some NFRs are difficult to test without functionality, for NFRs are often aspects of functionality and express quality aspects. Lacking this testability attribute makes NFR testing complicated and, therefore, underrepresented in industrial practice. However, the emergence of CI has radically affected software development and created new avenues for software quality evaluation and quality information acquisition. Research has, consequently, been devoted to the utilisation of this additional information for more efficient and effective NFR verification. Objective: We aim to identify the state-of-the-art of utilising the CI environment for NFR testing, hereinafter referred to as CI-NFR testing. Method: Through rigorous selection, from an initial set of 747 papers, we identified 47 papers that describe how NFRs are tested in a CI environment. Evidence-based analysis, through coding, is performed on the identified papers in this SLR. Results: Firstly, ten CI approaches are described by the papers selected, each describing different tools and nine different NFRs where reported to be tested. Secondly, although possible, CI-NFR testing is associated with eight challenges that adversely affect its adoption. Thirdly, the identified CI-NFR testing processes are tool-driven, but there is a lack of NFR testing tools that can be used in the CI environment. Finally, we proposed a CI framework for NFRs testing. Conclusion: A synthesised CI framework is proposed for testing various NFRs, and associated CI tools are also mapped. This contribution is valuable as results of the study also show that CI-NFR testing can help improve the quality of NFR testing in practices.</t>
  </si>
  <si>
    <t xml:space="preserve">[Yu, Liang] Qvantel Sweden AB, Campus Grasvik 12, S-37180 Karlskrona, Sweden; [Yu, Liang; Alegroth, Emil; Gorschek, Tony] Blekinge Inst Technol, Karlskrona, Sweden; [Chatzipetrou, Panagiota] Orebro Univ Sch Business, Dept Informat, CERIS, SE-70182 Orebro, Sweden</t>
  </si>
  <si>
    <t xml:space="preserve">Yu, L (corresponding author), Qvantel Sweden AB, Campus Grasvik 12, S-37180 Karlskrona, Sweden.</t>
  </si>
  <si>
    <t xml:space="preserve">liang.yu@bth.se; emil.alegroth@bth.se; panagiota.chatzipetrou@oru.se; tony.gorschek@bth.se</t>
  </si>
  <si>
    <t xml:space="preserve">Gorschek, Tony/E-3445-2013</t>
  </si>
  <si>
    <t xml:space="preserve">Yu, Liang/0000-0001-5949-1375</t>
  </si>
  <si>
    <t xml:space="preserve">KM foundation through the S.E.R.T. Research Profile project at Blekinge Institute of Technology</t>
  </si>
  <si>
    <t xml:space="preserve">We would like to acknowledge that this work was supported by the KM foundation through the S.E.R.T. Research Profile project at Blekinge Institute of Technology.</t>
  </si>
  <si>
    <t xml:space="preserve">10.1016/j.infsof.2019.106199</t>
  </si>
  <si>
    <t xml:space="preserve">JN4MX</t>
  </si>
  <si>
    <t xml:space="preserve">WOS:000496874400005</t>
  </si>
  <si>
    <t xml:space="preserve">Smite, D; Moe, NB</t>
  </si>
  <si>
    <t xml:space="preserve">Stettina, CJ; Garbajosa, J; Kruchten, P</t>
  </si>
  <si>
    <t xml:space="preserve">Smite, Darja; Moe, Nils Brede</t>
  </si>
  <si>
    <t xml:space="preserve">The Role of Responsiveness to Change in Large Onboarding Campaigns</t>
  </si>
  <si>
    <t xml:space="preserve">AGILE PROCESSES IN SOFTWARE ENGINEERING AND EXTREME PROGRAMMING, XP 2023</t>
  </si>
  <si>
    <t xml:space="preserve">24th International Conference on Agile Software Development (XP)</t>
  </si>
  <si>
    <t xml:space="preserve">JUN 13-16, 2023</t>
  </si>
  <si>
    <t xml:space="preserve">Onboarding; Scaling; Training; Teams; Large-Scale Agile; Software Engineering; Empirical; Case study; Sustainable Organizational Growth</t>
  </si>
  <si>
    <t xml:space="preserve">SOCIALIZATION</t>
  </si>
  <si>
    <t xml:space="preserve">Onboarding is a process of organizational socialization of the new hires, that includes recruitment, orientation, training, coaching and support. While onboarding individuals into an organization is a rather straightforward task, little is known about 1) onboarding hundreds of developers and 2) doing it on a distance in outsourcing situations. Furthermore, the subject of sustainable growth with respect to organizational capabilities and culture is often overlooked. This paper reports findings from an exploratory multi-case study of two large onboarding campaigns. We collected empirical data from interviews, retrospectives, onboarding documentation and onsite visits. Based on the empirical study, onboarding hundreds of software engineers in a complex agile product development environment which lacks documentation and puts high demands on engineers' knowledge and skills is a challenging and costly endeavor. To save the costs and for practical reasons, large-scale onboarding is organized in batches with the first batch trained onsite, and the later batches trained internally. We report challenges faced in the two cases and discuss possible solutions. One core finding is that a good plan combined with the organizational agility, i.e., the responsiveness to change, together with organizational maturity determined the success of organizational scaling. The presented cases contribute to the scarce research on knowledge transfer and onboarding in a large-scale agile context.</t>
  </si>
  <si>
    <t xml:space="preserve">[Smite, Darja; Moe, Nils Brede] Blekinge Inst Technol, Karlskrona, Sweden; [Smite, Darja; Moe, Nils Brede] SINTEF Digital, Trondheim, Norway</t>
  </si>
  <si>
    <t xml:space="preserve">Smite, D (corresponding author), Blekinge Inst Technol, Karlskrona, Sweden.;Smite, D (corresponding author), SINTEF Digital, Trondheim, Norway.</t>
  </si>
  <si>
    <t xml:space="preserve">darja.smite@bth.se; nils.b.moe@sintef.no</t>
  </si>
  <si>
    <t xml:space="preserve">Swedish Knowledge Foundation under the KK-Hog grant [2019/0087]; Research Council of Norway [309344]</t>
  </si>
  <si>
    <t xml:space="preserve">Swedish Knowledge Foundation under the KK-Hog grant; Research Council of Norway(Research Council of Norway)</t>
  </si>
  <si>
    <t xml:space="preserve">We would like to thank the studied client company for their engagement in our research, and especially for opening the doors to their outsourcing partners, which is uncommon in outsourcing research studies. This research is partially funded by the ScaleWise project and the Swedish Knowledge Foundation under the KK-Hog grant 2019/0087, and the Research Council of Norway through the 10xTeams project (grant 309344).</t>
  </si>
  <si>
    <t xml:space="preserve">978-3-031-33975-2; 978-3-031-33976-9</t>
  </si>
  <si>
    <t xml:space="preserve">10.1007/978-3-031-33976-9_9</t>
  </si>
  <si>
    <t xml:space="preserve">BX2ST</t>
  </si>
  <si>
    <t xml:space="preserve">WOS:001267753700009</t>
  </si>
  <si>
    <t xml:space="preserve">Ouriques, R; Wnuk, K; Gorschek, T; Svensson, RB</t>
  </si>
  <si>
    <t xml:space="preserve">Ouriques, Raquel; Wnuk, Krzysztof; Gorschek, Tony; Svensson, Richard Berntsson</t>
  </si>
  <si>
    <t xml:space="preserve">The role of knowledge-based resources in Agile Software Development contexts</t>
  </si>
  <si>
    <t xml:space="preserve">Knowledge -based resources; Agile software development; Grounded theory; Software development; Knowledge management</t>
  </si>
  <si>
    <t xml:space="preserve">MARKET ORIENTATION; MANAGEMENT; INNOVATION; FIRM; COORDINATION; PERFORMANCE; CHALLENGES; TRUST</t>
  </si>
  <si>
    <t xml:space="preserve">The software value chain is knowledge-based since it is highly dependant on people. Consequently, a lack of practice in managing knowledge as a resource may jeopardise its application in software development. Knowledge-Based Resources (KBRs) relate to employees' intangible knowledge that is deemed to be valuable to a company's competitive advantage. In this study, we apply a grounded theory approach to examine the role of KBRs in Agile Software Development (ASD). To this aim, we collected data from 18 practitioners from five companies. We develop the Knowledge-Push theory, which explains how KBRs boost the need for change in ASD. Our results show that the practitioners who participated in the study utilise, as primary strategies, task planning, resource management, and social collaboration. These strategies are implemented through the team environment and settings and incorporate an ability to codify and transmit knowledge. However, this process of codification is non-systematic, which consequently introduces inefficiency in the domain of knowledge resource util-isation, resulting in potential knowledge waste. This inefficiency can generate negative implications for software development, including meaningless searches in databases, frustration because of recurrent problems, the unnecessary redesign of solutions, and a lack of awareness of knowledge sources.(c) 2022 The Authors. Published by Elsevier Inc. This is an open access article under the CC BY license (http://creativecommons.org/licenses/by/4.0/).</t>
  </si>
  <si>
    <t xml:space="preserve">[Ouriques, Raquel; Wnuk, Krzysztof; Gorschek, Tony] Blekinge Inst Technol, Dept Software Engn, S-37179 Karskrona, Sweden; [Svensson, Richard Berntsson] Univ Gothenburg, Dept Comp Sci Engn Chalmers, S-41296 Gothenburg, Sweden</t>
  </si>
  <si>
    <t xml:space="preserve">Blekinge Institute Technology; University of Gothenburg</t>
  </si>
  <si>
    <t xml:space="preserve">Ouriques, R (corresponding author), Blekinge Inst Technol, Dept Software Engn, S-37179 Karskrona, Sweden.</t>
  </si>
  <si>
    <t xml:space="preserve">rou@bth.se; krw@bth.se; tgo@bth.se; richard@cse.gu.se</t>
  </si>
  <si>
    <t xml:space="preserve">Ouriques, Raquel/0000-0003-2679-0517</t>
  </si>
  <si>
    <t xml:space="preserve">KKS foundation, Sweden; S.E.R.T. Research Profile project at Blekinge Institute of Technology</t>
  </si>
  <si>
    <t xml:space="preserve">We would like to acknowledge that this work was supported by the KKS foundation, Sweden through the S.E.R.T. Research Profile project at Blekinge Institute of Technology.</t>
  </si>
  <si>
    <t xml:space="preserve">10.1016/j.jss.2022.111572</t>
  </si>
  <si>
    <t xml:space="preserve">7I5DU</t>
  </si>
  <si>
    <t xml:space="preserve">WOS:000903909200003</t>
  </si>
  <si>
    <t xml:space="preserve">Montgomery, L; Fucci, D; Bouraffa, A; Scholz, L; Maalej, W</t>
  </si>
  <si>
    <t xml:space="preserve">Montgomery, Lloyd; Fucci, Davide; Bouraffa, Abir; Scholz, Lisa; Maalej, Walid</t>
  </si>
  <si>
    <t xml:space="preserve">Empirical research on requirements quality: a systematic mapping study (Feb, 10.1007/s00766-021-00367-z, 2022)</t>
  </si>
  <si>
    <t xml:space="preserve">Correction</t>
  </si>
  <si>
    <t xml:space="preserve">[Montgomery, Lloyd; Bouraffa, Abir; Scholz, Lisa; Maalej, Walid] Univ Hamburg, Hamburg, Germany; [Fucci, Davide] Blekinge Tekniska Hogskola, Karlskrona, Sweden</t>
  </si>
  <si>
    <t xml:space="preserve">University of Hamburg; Blekinge Institute Technology</t>
  </si>
  <si>
    <t xml:space="preserve">Montgomery, L (corresponding author), Univ Hamburg, Hamburg, Germany.</t>
  </si>
  <si>
    <t xml:space="preserve">lloyd.montgomery@uni-hamburg.de; davide.fucci@bth.se; abir.bouraffa@uni-hamburg.de; lisa.scholz@uni-hamburg.de; walid.maalej@uni-hamburg.de</t>
  </si>
  <si>
    <t xml:space="preserve">10.1007/s00766-022-00378-4</t>
  </si>
  <si>
    <t xml:space="preserve">3M8JX</t>
  </si>
  <si>
    <t xml:space="preserve">WOS:000778045200001</t>
  </si>
  <si>
    <t xml:space="preserve">Boldt, M; Ickin, S; Borg, A; Kulyk, V; Gustafsson, J</t>
  </si>
  <si>
    <t xml:space="preserve">Boldt, Martin; Ickin, Selim; Borg, Anton; Kulyk, Valentin; Gustafsson, Jorgen</t>
  </si>
  <si>
    <t xml:space="preserve">Alarm Prediction in Cellular Base Stations Using Data-Driven Methods</t>
  </si>
  <si>
    <t xml:space="preserve">IEEE TRANSACTIONS ON NETWORK AND SERVICE MANAGEMENT</t>
  </si>
  <si>
    <t xml:space="preserve">Base stations; Predictive models; Machine learning algorithms; Cellular networks; Prediction algorithms; Telecommunications; Data models; Alarm prediction; machine learning; telecom; base stations</t>
  </si>
  <si>
    <t xml:space="preserve">The importance of cellular networks continuously increases as we assume ubiquitous connectivity in our daily lives. As a result, the underlying core telecom systems have very high reliability and availability requirements, that are sometimes hard to meet. This study presents a proactive approach that could aid satisfying these high requirements on reliability and availability by predicting future base station alarms. A data set containing 231 internal performance measures from cellular (4G) base stations is correlated with a data set containing base station alarms. Next, two experiments are used to investigate (i) the alarm prediction performance of six machine learning models, and (ii) how different predict-ahead times (ranging from 10 min to 48 hours) affect the predictive performance. A 10-fold cross validation evaluation approach and statistical analysis suggested that the Random Forest models showed best performance. Further, the results indicate the feasibility of predicting severe alarms one hour in advance with a precision of 0.812 (+/- 0.022, 95 % CI), recall of 0.619 (+/- 0.027) and F-1-score of 0.702 (+/- 0.022). A model interpretation package, ELI5, was used to identify the most influential features in order to gain model insight. Overall, the results are promising and indicate the potential of an early-warning system that enables a proactive means for achieving high reliability and availability requirements.</t>
  </si>
  <si>
    <t xml:space="preserve">[Boldt, Martin; Borg, Anton] Blekinge Inst Technol, Dept Comp Sci, S-37179 Karlskrona, Sweden; [Ickin, Selim; Kulyk, Valentin; Gustafsson, Jorgen] Ericsson Res, Torshamnsgatan 23, S-16440 Kista, Sweden</t>
  </si>
  <si>
    <t xml:space="preserve">Boldt, M (corresponding author), Blekinge Inst Technol, Dept Comp Sci, S-37179 Karlskrona, Sweden.</t>
  </si>
  <si>
    <t xml:space="preserve">martin.boldt@bth.se; selim.ickin@ericsson.com; anton.borg@bth.se; valentin.kulyk@ericsson.com; jorgen.gustafsson@ericsson.com</t>
  </si>
  <si>
    <t xml:space="preserve">Borg, Anton/AAS-4475-2021; Boldt, Martin/J-4958-2019; Ickin, Selim/G-2939-2014</t>
  </si>
  <si>
    <t xml:space="preserve">Ickin, Selim/0000-0002-7594-2663; Boldt, Martin/0000-0002-9316-4842</t>
  </si>
  <si>
    <t xml:space="preserve">This work is part of the research project Scalable resourceefficient systems for big data analytics funded by the Knowledge Foundation (grant: 20140032) in Sweden.</t>
  </si>
  <si>
    <t xml:space="preserve">1932-4537</t>
  </si>
  <si>
    <t xml:space="preserve">IEEE T NETW SERV MAN</t>
  </si>
  <si>
    <t xml:space="preserve">IEEE Trans. Netw. Serv. Manag.</t>
  </si>
  <si>
    <t xml:space="preserve">10.1109/TNSM.2021.3052093</t>
  </si>
  <si>
    <t xml:space="preserve">SQ8YX</t>
  </si>
  <si>
    <t xml:space="preserve">WOS:000660636700057</t>
  </si>
  <si>
    <t xml:space="preserve">Irshad, M; Britto, R; Petersen, K</t>
  </si>
  <si>
    <t xml:space="preserve">Irshad, Mohsin; Britto, Ricard; Petersen, Kai</t>
  </si>
  <si>
    <t xml:space="preserve">Adapting Behavior Driven Development (BDD) for large-scale software systems</t>
  </si>
  <si>
    <t xml:space="preserve">Behavior-driven; Large-scale; BDD; Software processes; System of systems</t>
  </si>
  <si>
    <t xml:space="preserve">AGILE METHODS; ENGINEERS</t>
  </si>
  <si>
    <t xml:space="preserve">Context: Large-scale software projects require interaction between many stakeholders. Behavior driven development (BDD) facilitates collaboration between stakeholders, and an adapted BDD process can help improve cooperation in a large-scale project. Objective: The objective of this study is to propose and empirically evaluate a BDD based process adapted for large-scale projects. Method: A technology transfer model was used to propose a BDD based process for large-scale projects. We conducted six workshop sessions to understand the challenges and benefits of BDD. Later, an industrial evaluation was performed for the process with the help of practitioners. Results: From our investigations, understanding of a business aspect of requirements, their improved quality, a guide to system-level use-cases, reuse of artifacts, and help for test organization are found as benefits of BDD. Practitioners identified the following challenges: specification and ownership of behaviors, adoption of new tools, the software projects-scale, and versioning of behaviors. We proposed a process to address these challenges and evaluated the process with the help of practitioners. Conclusion: The evaluation proved that BDD could be adapted and used to facilitate interaction in large-scale software projects in the software industry. The feedback from the practitioners helped in improving the proposed process. (C) 2021 The Author(s). Published by Elsevier Inc. This is an open access article under the CC BY license (http://creativecommons.org/licenses/by/4.0/).</t>
  </si>
  <si>
    <t xml:space="preserve">[Irshad, Mohsin; Britto, Ricard] Ericsson AB, Stockholm, Sweden; [Irshad, Mohsin; Britto, Ricard; Petersen, Kai] Blekinge Inst Technol, Karlskrona, Sweden</t>
  </si>
  <si>
    <t xml:space="preserve">Ericsson; Blekinge Institute Technology</t>
  </si>
  <si>
    <t xml:space="preserve">Irshad, M (corresponding author), Blekinge Inst Technol, Software Engn Res Lab, Valhallavagen 1, S-37141 Karlskrona, Sweden.</t>
  </si>
  <si>
    <t xml:space="preserve">mohsin.irshad@bth.se; ricardo.britto@bth.se; kai.petersen@bth.se</t>
  </si>
  <si>
    <t xml:space="preserve">10.1016/j.jss.2021.110944</t>
  </si>
  <si>
    <t xml:space="preserve">RO9JQ</t>
  </si>
  <si>
    <t xml:space="preserve">WOS:000641355800005</t>
  </si>
  <si>
    <t xml:space="preserve">Irshad, M; Petersen, K</t>
  </si>
  <si>
    <t xml:space="preserve">Irshad, Mohsin; Petersen, Kai</t>
  </si>
  <si>
    <t xml:space="preserve">A Systematic Reuse Process for Automated Acceptance Tests: Construction and Elementary Evaluation</t>
  </si>
  <si>
    <t xml:space="preserve">Software components and reuse; software testing; analysis and verification; agile software development methodologies and practices; software quality</t>
  </si>
  <si>
    <t xml:space="preserve">SOFTWARE REUSE; BENEFITS</t>
  </si>
  <si>
    <t xml:space="preserve">Context: Automated acceptance testing validates a product's functionality from the customer's perspective. Text-based automated acceptance tests (AATs) have gained popularity because they link requirements and testing. Objective: To propose and evaluate a cost-effective systematic reuse process for automated acceptance tests. Method: A systematic approach, method engineering, is used to construct a systematic reuse process for automated acceptance tests. The techniques to support searching, assessing, adapting the reusable tests are proposed and evaluated. The constructed process is evaluated using (i) qualitative feedback from software practitioners and (ii) a demonstration of the process in an industry setting. The process was evaluated for three constraints: performance expectancy, effort expectancy, and facilitating conditions. Results: The process consists of eleven activities that support development for reuse, development with reuse, and assessment of the costs and benefits of reuse. During the evaluation, practitioners found the process a useful method to support reuse. In the industrial demonstration, it was noted that the activities in the solution helped in developing an automated acceptance test with reuse faster than creating a test from scratch i.e., searching, assessment and adaptation parts. Conclusion: The process is found to be useful and relevant to the industry during the preliminary investigation.</t>
  </si>
  <si>
    <t xml:space="preserve">[Irshad, Mohsin] Ericsson Sweden AB, Karlskrona, Sweden; [Petersen, Kai] Blekinge Inst Technol, Karlskrona, Sweden; [Petersen, Kai] Univ Appl Sci Flensburg, Flensburg, Germany</t>
  </si>
  <si>
    <t xml:space="preserve">Irshad, M (corresponding author), Ericsson Sweden AB, Karlskrona, Sweden.</t>
  </si>
  <si>
    <t xml:space="preserve">mohsin.irshad@bth.se; Kai.Petersen@bth.se</t>
  </si>
  <si>
    <t xml:space="preserve">10.37190/e-Inf210107</t>
  </si>
  <si>
    <t xml:space="preserve">WN0SC</t>
  </si>
  <si>
    <t xml:space="preserve">WOS:000711485700001</t>
  </si>
  <si>
    <t xml:space="preserve">Baeck, P; Richter, J</t>
  </si>
  <si>
    <t xml:space="preserve">Baeck, Per; Richter, Johan</t>
  </si>
  <si>
    <t xml:space="preserve">NON-ASSOCIATIVE VERSIONS OF HILBERT'S BASIS THEOREM</t>
  </si>
  <si>
    <t xml:space="preserve">COLLOQUIUM MATHEMATICUM</t>
  </si>
  <si>
    <t xml:space="preserve">non-associative Hilbert's basis theorem; non-associative Ore ex- tensions; non-associative skew Laurent polynomial rings; non-associative skew Laurent series rings; non-associative skew power series rings</t>
  </si>
  <si>
    <t xml:space="preserve">We prove several new versions of Hilbert's basis theorem for non-associpower series rings, and non-associative skew Laurent series rings. For non-associative skew Laurent polynomial rings, we show that both a left and a right version of Hilbert's basis theorem hold. For non-associative Ore extensions, we show that a right version holds, but give a counterexample to a left version; a difference that does not appear in the associative setting.</t>
  </si>
  <si>
    <t xml:space="preserve">[Baeck, Per] Malardalen Univ, Div Math &amp; Phys, SE-72123 Vasteras, Sweden; [Richter, Johan] Blekinge Inst Technol, Dept Math &amp; Nat Sci, SE-37179 Karlskrona, Sweden</t>
  </si>
  <si>
    <t xml:space="preserve">Malardalen University; Blekinge Institute Technology</t>
  </si>
  <si>
    <t xml:space="preserve">Baeck, P (corresponding author), Malardalen Univ, Div Math &amp; Phys, SE-72123 Vasteras, Sweden.</t>
  </si>
  <si>
    <t xml:space="preserve">per.back@mdu.se; johan.richter@bth.se</t>
  </si>
  <si>
    <t xml:space="preserve">ARS POLONA-RUCH</t>
  </si>
  <si>
    <t xml:space="preserve">WARSAW</t>
  </si>
  <si>
    <t xml:space="preserve">KRAKOWSKIE PRZEDMIESCIE 7 PO BOX 1001, 00-068 WARSAW, POLAND</t>
  </si>
  <si>
    <t xml:space="preserve">0010-1354</t>
  </si>
  <si>
    <t xml:space="preserve">1730-6302</t>
  </si>
  <si>
    <t xml:space="preserve">COLLOQ MATH-WARSAW</t>
  </si>
  <si>
    <t xml:space="preserve">Colloq. Math.</t>
  </si>
  <si>
    <t xml:space="preserve">10.4064/cm9419-9-2024</t>
  </si>
  <si>
    <t xml:space="preserve">OCT 2024</t>
  </si>
  <si>
    <t xml:space="preserve">N3F1D</t>
  </si>
  <si>
    <t xml:space="preserve">WOS:001338114000001</t>
  </si>
  <si>
    <t xml:space="preserve">Elahidoost, P</t>
  </si>
  <si>
    <t xml:space="preserve">Elahidoost, Parisa</t>
  </si>
  <si>
    <t xml:space="preserve">Towards a Tool Supported Approach for Regulatory Requirements Engineering</t>
  </si>
  <si>
    <t xml:space="preserve">Requirements Engineering; Regulatory Compliance; Change-Impact Analysis</t>
  </si>
  <si>
    <t xml:space="preserve">With the escalating complexity and range of regulations impacting the development and operations of software-intensive systems, engineers are compelled to manage intensifying regulatory oversight. The critical task of analyzing and interpreting regulatory norms, as well as deriving software requirements, is a vital step in achieving regulatory compliance. Nevertheless, the interpretation of regulations remains heavily reliant on the individual expertise and domain-specific experience of legal professionals, with a notable absence of systematic methodologies and supportive tools to streamline this process. Research in this domain frequently remains isolated from the practical experiences of industry practitioners, resulting in solutions that struggle to find relevance in real-world applications. The work outlines a doctoral thesis aiming to have a detailed examination of the existing state of reported evidence in RE related to regulatory compliance and, analysis of current practices and obstacles in practice, to identify key areas for improvement and development of supportive tools and methodologies. Furthermore, this work includes an investigation into the limitations and potentials of automation in crafting viable approaches for regulatory RE. The ultimate goal is to bridge the theoretical and practical aspects of regulatory RE, ensuring the creation of a tool-supported approach that is both academically robust and pragmatically applicable. By focusing on enhancing the structure and utility of RE practices in the face of regulatory demands, this work seeks to contribute to the field, paving the way for more effective compliance management in software engineering.</t>
  </si>
  <si>
    <t xml:space="preserve">[Elahidoost, Parisa] Fortiss GmbH, Res Inst Free State Bavaria, Munich, Germany; [Elahidoost, Parisa] Blekinge Inst Technol, Karlskrona, Sweden</t>
  </si>
  <si>
    <t xml:space="preserve">Elahidoost, P (corresponding author), Fortiss GmbH, Res Inst Free State Bavaria, Munich, Germany.;Elahidoost, P (corresponding author), Blekinge Inst Technol, Karlskrona, Sweden.</t>
  </si>
  <si>
    <t xml:space="preserve">elahidoost@fortiss.org</t>
  </si>
  <si>
    <t xml:space="preserve">10.1109/RE59067.2024.00067</t>
  </si>
  <si>
    <t xml:space="preserve">WOS:001300544600060</t>
  </si>
  <si>
    <t xml:space="preserve">Pham, QT; Islam, MS; Barlo, A; Sigvant, M</t>
  </si>
  <si>
    <t xml:space="preserve">Asnafi, N; Lindgren, LE</t>
  </si>
  <si>
    <t xml:space="preserve">Quoc Tuan Pham; Islam, Md Shafiqul; Barlo, Alexander; Sigvant, Mats</t>
  </si>
  <si>
    <t xml:space="preserve">An evaluation method for experimental necking detection of automotive sheet metals</t>
  </si>
  <si>
    <t xml:space="preserve">42ND CONFERENCE OF THE INTERNATIONAL DEEP DRAWING RESEARCH GROUP</t>
  </si>
  <si>
    <t xml:space="preserve">IOP Conference Series-Materials Science and Engineering</t>
  </si>
  <si>
    <t xml:space="preserve">42nd Conference of the International-Deep-Drawing-Research-Group (IDDRG)</t>
  </si>
  <si>
    <t xml:space="preserve">JUN 19-22, 2023</t>
  </si>
  <si>
    <t xml:space="preserve">Lulea, SWEDEN</t>
  </si>
  <si>
    <t xml:space="preserve">Int Deep Drawing Res Grp,Autoform Engn,Automat Presses Tooling Grp,Voestalpine</t>
  </si>
  <si>
    <t xml:space="preserve">LOCALIZED NECKING; ONSET</t>
  </si>
  <si>
    <t xml:space="preserve">In sheet metal stamping, the occurrence of strain localization in a deformed sheet is considered a failure. As so, sheet metal's formability is conventionally evaluated using the Forming Limit Diagram (FLD), which separates the principal strain space into safety and unsafety regions by a Forming Limit Curve (FLC). This study presents an evaluation method for detecting strain localization based on Digital Image Correlation (DIC) during the experiment. The commercial DIC software ARAMIS is adopted to monitor the strain-field distribution on the deformed specimen's surface. A detailed analysis of the proposed method is presented considering Nakajima tests conducted for two automotive sheet metals: AA6016 and DP800. The identified FLC based on the proposed method is compared with that of well-established methods such as ISO 12004:2-2008 and time-dependent methods. For both investigated materials, the proposed method presents a lower FLC than the others.</t>
  </si>
  <si>
    <t xml:space="preserve">[Quoc Tuan Pham; Islam, Md Shafiqul; Barlo, Alexander; Sigvant, Mats] Blekinge Inst Technol, Dept Mech Engn, Karlskrona, Sweden; [Sigvant, Mats] Volvo Cars, Dept Strategy Dev 81110, Olofstrom, Sweden</t>
  </si>
  <si>
    <t xml:space="preserve">Blekinge Institute Technology; Volvo</t>
  </si>
  <si>
    <t xml:space="preserve">Pham, QT (corresponding author), Blekinge Inst Technol, Dept Mech Engn, Karlskrona, Sweden.</t>
  </si>
  <si>
    <t xml:space="preserve">quoc.tuan.pham@bth.se</t>
  </si>
  <si>
    <t xml:space="preserve">Sigvant, Mats/JJG-2577-2023; Islam, Shafiqul/AAA-7809-2021; Pham, Tuan/AAH-8010-2019</t>
  </si>
  <si>
    <t xml:space="preserve">Islam, Md Shafiqul/0000-0002-1162-7023; Pham, Tuan/0000-0002-8204-4802</t>
  </si>
  <si>
    <t xml:space="preserve">Blekinge Institute of Technology, Sweden - VINNOVA in the Sustainable Production sub-program within Vehicle Strategic Research and Innovation (FFI) program [2020-02986]; Vinnova [2020-02986] Funding Source: Vinnova</t>
  </si>
  <si>
    <t xml:space="preserve">Blekinge Institute of Technology, Sweden - VINNOVA in the Sustainable Production sub-program within Vehicle Strategic Research and Innovation (FFI) program; Vinnova(Vinnova)</t>
  </si>
  <si>
    <t xml:space="preserve">Open Access funding was provided by the Blekinge Institute of Technology, Sweden. This study was also funded by VINNOVA in the Sustainable Production sub-program within Vehicle Strategic Research and Innovation (FFI) program (grant number 2020-02986).</t>
  </si>
  <si>
    <t xml:space="preserve">IOP PUBLISHING LTD</t>
  </si>
  <si>
    <t xml:space="preserve">BRISTOL</t>
  </si>
  <si>
    <t xml:space="preserve">DIRAC HOUSE, TEMPLE BACK, BRISTOL BS1 6BE, ENGLAND</t>
  </si>
  <si>
    <t xml:space="preserve">1757-8981</t>
  </si>
  <si>
    <t xml:space="preserve">IOP CONF SER-MAT SCI</t>
  </si>
  <si>
    <t xml:space="preserve">10.1088/1757-899X/1284/1/012020</t>
  </si>
  <si>
    <t xml:space="preserve">Engineering, Mechanical; Materials Science, Multidisciplinary; Metallurgy &amp; Metallurgical Engineering</t>
  </si>
  <si>
    <t xml:space="preserve">Engineering; Materials Science; Metallurgy &amp; Metallurgical Engineering</t>
  </si>
  <si>
    <t xml:space="preserve">BV3HO</t>
  </si>
  <si>
    <t xml:space="preserve">WOS:001017824300020</t>
  </si>
  <si>
    <t xml:space="preserve">Back, P; Richter, J</t>
  </si>
  <si>
    <t xml:space="preserve">Back, Per; Richter, Johan</t>
  </si>
  <si>
    <t xml:space="preserve">THE HOM-ASSOCIATIVE WEYL ALGEBRAS IN PRIME CHARACTERISTIC</t>
  </si>
  <si>
    <t xml:space="preserve">INTERNATIONAL ELECTRONIC JOURNAL OF ALGEBRA</t>
  </si>
  <si>
    <t xml:space="preserve">Hom-associative Ore extension; hom-associative Weyl algebra; formal multi-parameter hom-associative deformation; formal multi-parameter hom-Lie deformation</t>
  </si>
  <si>
    <t xml:space="preserve">DEFORMATIONS</t>
  </si>
  <si>
    <t xml:space="preserve">We introduce the first hom-associative Weyl algebras over a field of prime characteristic as a generalization of the first associative Weyl algebra in prime characteristic. First, we study properties of hom-associative algebras constructed from associative algebras by a general twisting procedure. Then, with the help of these results, we determine the commuter, center, nuclei, and set of derivations of the first hom-associative Weyl algebras. We also classify them up to isomorphism, and show, among other things, that all nonzero endomorphisms on them are injective, but not surjective. Last, we show that they can be described as a multi-parameter formal hom-associative deformation of the first associative Weyl algebra, and that this deformation induces a multi-parameter formal hom-Lie deformation of the corresponding Lie algebra, when using the commutator as bracket.</t>
  </si>
  <si>
    <t xml:space="preserve">[Back, Per] Malardalen Univ, Sch Educ Culture &amp; Commun, Div Math &amp; Phys, SE-72123 Vasteras, Sweden; [Richter, Johan] Blekinge Inst Technol, Dept Math &amp; Nat Sci, SE-37179 Karlskrona, Sweden</t>
  </si>
  <si>
    <t xml:space="preserve">Back, P (corresponding author), Malardalen Univ, Sch Educ Culture &amp; Commun, Div Math &amp; Phys, SE-72123 Vasteras, Sweden.</t>
  </si>
  <si>
    <t xml:space="preserve">per.back@mdh.se; johan.richter@bth.se</t>
  </si>
  <si>
    <t xml:space="preserve">Richter, Johan/HTS-5939-2023</t>
  </si>
  <si>
    <t xml:space="preserve">Back, Per/0000-0002-6309-8709</t>
  </si>
  <si>
    <t xml:space="preserve">IEJA-INT ELECTRONIC JOURNAL ALGEBRA</t>
  </si>
  <si>
    <t xml:space="preserve">ANKARA</t>
  </si>
  <si>
    <t xml:space="preserve">IEJA-INT ELECTRONIC JOURNAL ALGEBRA, ANKARA, 00000, TURKEY</t>
  </si>
  <si>
    <t xml:space="preserve">1306-6048</t>
  </si>
  <si>
    <t xml:space="preserve">INT ELECTRON J ALGEB</t>
  </si>
  <si>
    <t xml:space="preserve">Int. Electron. J. Algebr.</t>
  </si>
  <si>
    <t xml:space="preserve">10.24330/ieja.1058430</t>
  </si>
  <si>
    <t xml:space="preserve">YN2WR</t>
  </si>
  <si>
    <t xml:space="preserve">WOS:000747123800013</t>
  </si>
  <si>
    <t xml:space="preserve">Laiq, M; bin Ali, N; Böstler, J; Engström, E</t>
  </si>
  <si>
    <t xml:space="preserve">Laiq, Muhammad; bin Ali, Nauman; Bostler, Jurgen; Engstrom, Emelie</t>
  </si>
  <si>
    <t xml:space="preserve">Early Identification of Invalid Bug Reports in Industrial Settings - A Case Study</t>
  </si>
  <si>
    <t xml:space="preserve">Bug reports; Invalid bugs; Machine learning; Valid bugs; Bug classification; Software analytics</t>
  </si>
  <si>
    <t xml:space="preserve">Software development companies spend considerable time resolving bug reports. However, bug reports might be invalid, i.e., not point to a valid flaw. Expensive resources and time might be expended on invalid bug reports before discovering that they are invalid. In this case study, we explore the impact of invalid bug reports and develop and assess the use of machine learning (ML) to indicate whether a bug report is likely invalid. We found that about 15% of bug reports at the case company are invalid, and that their resolution time is similar to valid bug reports. Among the ML-based techniques we used, logistic regression and SVM show promising results. In the feedback, practitioners indicated an interest in using the tool to identify invalid bug reports at early stages. However, they emphasized the need to improve the explainability of ML-based recommendations and to reduce the maintenance cost of the tool.</t>
  </si>
  <si>
    <t xml:space="preserve">[Laiq, Muhammad; bin Ali, Nauman; Bostler, Jurgen] Blekinge Inst Technol, Karlskrona, Sweden; [Engstrom, Emelie] Lund Univ, Lund, Sweden</t>
  </si>
  <si>
    <t xml:space="preserve">Blekinge Institute Technology; Lund University</t>
  </si>
  <si>
    <t xml:space="preserve">muhammad.laiq@bth.se; nauman.ali@bth.se; jurgen.bostler@bth.se; emelie.engstrom@cs.lth.se</t>
  </si>
  <si>
    <t xml:space="preserve">Börstler, Jürgen/IWE-4001-2023; Ali, Nauman bin/J-4293-2015; Engstrom, Emelie/AAG-7808-2019</t>
  </si>
  <si>
    <t xml:space="preserve">Borstler, Jurgen/0000-0003-0639-4234; Ali, Nauman bin/0000-0001-7266-5632; Laiq, Muhammad/0000-0002-5964-5554; Engstrom, Emelie/0000-0001-6736-9425</t>
  </si>
  <si>
    <t xml:space="preserve">ELLIIT; Swedish Strategic Research Area in IT and Mobile Communications</t>
  </si>
  <si>
    <t xml:space="preserve">This work has been supported by ELLIIT; the Swedish Strategic Research Area in IT and Mobile Communications.</t>
  </si>
  <si>
    <t xml:space="preserve">10.1007/978-3-031-21388-5_34</t>
  </si>
  <si>
    <t xml:space="preserve">WOS:000897035000034</t>
  </si>
  <si>
    <t xml:space="preserve">Tatipala, S; Wall, J; Larsson, T; Johansson, C; Sigvant, M</t>
  </si>
  <si>
    <t xml:space="preserve">Safsten, K; Elgh, F</t>
  </si>
  <si>
    <t xml:space="preserve">Tatipala, Sravan; Wall, Johan; Larsson, Tobias; Johansson, Christian; Sigvant, Mats</t>
  </si>
  <si>
    <t xml:space="preserve">Towards Improving Process Control in Sheet Metal Forming: A Hybrid Data- and Model-Based Approach</t>
  </si>
  <si>
    <t xml:space="preserve">SPS2020</t>
  </si>
  <si>
    <t xml:space="preserve">Advances in Transdisciplinary Engineering</t>
  </si>
  <si>
    <t xml:space="preserve">9th Swedish Production Symposium (SPS)</t>
  </si>
  <si>
    <t xml:space="preserve">OCT 07-08, 2020</t>
  </si>
  <si>
    <t xml:space="preserve">Jonkoping Univ, Sch Engn, ELECTR NETWORK</t>
  </si>
  <si>
    <t xml:space="preserve">Swedish Prod Acad,Prod Dev Acad,SPARK,Production 2030,KK Stiftelsen</t>
  </si>
  <si>
    <t xml:space="preserve">Jonkoping Univ, Sch Engn</t>
  </si>
  <si>
    <t xml:space="preserve">Industry 4.0; modelling; simulation; process control; smart manufacturing</t>
  </si>
  <si>
    <t xml:space="preserve">Ability to predict and control involved parameters and hence the outcome of sheet metal forming processes demand holistic knowledge of the product/-process parameter influences and their contribution in shaping the output product quality. Recent improvements in the ability to harvest inline production data and the capability to understand complex process behaviour through computer simulations opens up the possibility for new monitoring and control approaches for improving production process performance and output product quality. Current work presents a framework for monitoring and control of sheet metal forming processes which incorporates a hybrid data-and model-based approach. An initial attempt to evaluate the proposed frameworks' ability to support output product quality and process performance enhancements is made by implementing the proposed approach via an in-house built wire-bending machine prototype. Initial experiments conducted using the built prototype indicate that the proposed framework has the potential to support such enhancements and further work is needed to validate the overall framework.</t>
  </si>
  <si>
    <t xml:space="preserve">[Tatipala, Sravan; Wall, Johan; Larsson, Tobias; Johansson, Christian; Sigvant, Mats] Blekinge Inst Technol, Dept Mech Engn, Karlskrona, Sweden; [Sigvant, Mats] Volvo Cars, Dept Stamping CAE &amp; Die Dev 81153, Gothenburg, Sweden</t>
  </si>
  <si>
    <t xml:space="preserve">Tatipala, S (corresponding author), Blekinge Inst Technol, Dept Mech Engn, Karlskrona, Sweden.</t>
  </si>
  <si>
    <t xml:space="preserve">sravan.tatipala@bth.se</t>
  </si>
  <si>
    <t xml:space="preserve">Larsson, Tobias/A-6795-2008; Sigvant, Mats/JJG-2577-2023</t>
  </si>
  <si>
    <t xml:space="preserve">Larsson, Tobias/0000-0002-9662-4576</t>
  </si>
  <si>
    <t xml:space="preserve">IOS PRESS</t>
  </si>
  <si>
    <t xml:space="preserve">NIEUWE HEMWEG 6B, 1013 BG AMSTERDAM, NETHERLANDS</t>
  </si>
  <si>
    <t xml:space="preserve">2352-7528</t>
  </si>
  <si>
    <t xml:space="preserve">978-1-64368-147-4; 978-1-64368-146-7</t>
  </si>
  <si>
    <t xml:space="preserve">ADV TRANSDISCIPL ENG</t>
  </si>
  <si>
    <t xml:space="preserve">10.3233/ATDE200174</t>
  </si>
  <si>
    <t xml:space="preserve">Automation &amp; Control Systems; Engineering, Industrial; Engineering, Manufacturing</t>
  </si>
  <si>
    <t xml:space="preserve">Automation &amp; Control Systems; Engineering</t>
  </si>
  <si>
    <t xml:space="preserve">BW6PZ</t>
  </si>
  <si>
    <t xml:space="preserve">WOS:001180173900032</t>
  </si>
  <si>
    <t xml:space="preserve">Barlo, A; Sigvant, M; Pilthammar, J</t>
  </si>
  <si>
    <t xml:space="preserve">Rolfe, B; Weiss, M; Yoon, J; Zhang, PN</t>
  </si>
  <si>
    <t xml:space="preserve">Barlo, A.; Sigvant, M.; Pilthammar, J.</t>
  </si>
  <si>
    <t xml:space="preserve">Investigation of Temperature Impact on Friction Conditions in Running Production of Automotive Body Components</t>
  </si>
  <si>
    <t xml:space="preserve">43RD INTERNATIONAL DEEP DRAWING RESEARCH GROUP, IDDRG CONFERENCE, 2024</t>
  </si>
  <si>
    <t xml:space="preserve">43rd Conference of the International-Deep-Drawing-Research-Group (IDDRG) on Sustainable Sheet Forming - Circular Economy</t>
  </si>
  <si>
    <t xml:space="preserve">MAR 12-15, 2024</t>
  </si>
  <si>
    <t xml:space="preserve">Int Deep Drawing Res Grp,Deakin Univ,Korean Soc Technol Plastic,Autoform,Posco,Simuserv</t>
  </si>
  <si>
    <t xml:space="preserve">During the running production of automotive body components drifts in the process window is seen causing problems with non-conforming parts. Up until now, these drifts have been counter-acted based on the knowledge and experience of the press line operators. This experience-based process control will however become more troublesome in the future as recycled material grades will undoubtedly present larger in-coil variations in material parameters and effect also the friction conditions from component to component. The following study will present two cases from production of the Volvo XC60. For the two cases, the initial simulations made for the components showed a safe part, but during running production failure occurred suspected to be due to temperature effects in the tribology system. The study will furthermore present updated simulations considering developing thermal effects to replicate the failures, as well as present both standard and thermal simulations of the adjustments made in production.</t>
  </si>
  <si>
    <t xml:space="preserve">[Barlo, A.; Sigvant, M.; Pilthammar, J.] Blekinge Inst Technol, Dept Mech Engn, Karlskrona, Sweden; [Sigvant, M.] AutoForm Engn Sweden AB, Olofstrom, Sweden; [Pilthammar, J.] Volvo Cars Dept 81013 Mfg Technol Dev, Olofstrom, Sweden</t>
  </si>
  <si>
    <t xml:space="preserve">Barlo, A (corresponding author), Blekinge Inst Technol, Dept Mech Engn, Karlskrona, Sweden.</t>
  </si>
  <si>
    <t xml:space="preserve">Alexander.Barlo@bth.se</t>
  </si>
  <si>
    <t xml:space="preserve">Sigvant, Mats/JJG-2577-2023</t>
  </si>
  <si>
    <t xml:space="preserve">Blekinge Institute of Technology - VINNOVA in the Eureka SMART program [2021-03144]; Vinnova [2021-03144] Funding Source: Vinnova</t>
  </si>
  <si>
    <t xml:space="preserve">Blekinge Institute of Technology - VINNOVA in the Eureka SMART program; Vinnova(Vinnova)</t>
  </si>
  <si>
    <t xml:space="preserve">Open Access funding was provided by Blekinge Institute of Technology. This study was also funded by VINNOVA in the Eureka SMART program (grant number 2021-03144).</t>
  </si>
  <si>
    <t xml:space="preserve">10.1088/1757-899X/1307/1/012004</t>
  </si>
  <si>
    <t xml:space="preserve">BX1HZ</t>
  </si>
  <si>
    <t xml:space="preserve">WOS:001245186500004</t>
  </si>
  <si>
    <t xml:space="preserve">Dorner, M; Smite, D; Mendez, D</t>
  </si>
  <si>
    <t xml:space="preserve">Lassenius, C; Madeiral, F; Conte, T; Mannisto, T</t>
  </si>
  <si>
    <t xml:space="preserve">Dorner, Michael; Smite, Darja; Mendez, Daniel</t>
  </si>
  <si>
    <t xml:space="preserve">Only Time Will Tell: Modelling Information Diffusion in Code Review with Time-Varying Hypergraphs</t>
  </si>
  <si>
    <t xml:space="preserve">PROCEEDINGS OF THE16TH ACM/IEEE INTERNATIONAL SYMPOSIUM ON EMPIRICAL SOFTWARE ENGINEERING AND MEASUREMENT, ESEM 2022</t>
  </si>
  <si>
    <t xml:space="preserve">International Symposium on Empirical Software Engineering and Measurement</t>
  </si>
  <si>
    <t xml:space="preserve">16th ACM/IEEE International Symposium on Empirical Software Engineering and Measurement (ESEM)</t>
  </si>
  <si>
    <t xml:space="preserve">SEP 19-23, 2022</t>
  </si>
  <si>
    <t xml:space="preserve">Helsinki, FINLAND</t>
  </si>
  <si>
    <t xml:space="preserve">IEEE,Assoc Comp Machinery,Aalto Univ,Univ Helsinki</t>
  </si>
  <si>
    <t xml:space="preserve">communication network; developer networks; collaboration; communication; topology; time-varying hypergraph; information diffusion; knowledge sharing; code review; simulation; measurement; in-silico experiment</t>
  </si>
  <si>
    <t xml:space="preserve">Background: Modern code review is expected to facilitate knowledge sharing: All relevant information, the collective expertise, and meta-information around the code change and its context become evident, transparent, and explicit in the corresponding code review discussion. The discussion participants can leverage this information in the following code reviews; the information diffuses through the communication network that emerges from code review. Traditional time-aggregated graphs fall short in rendering information diffusion as those models ignore the temporal order of the information exchange: Information can only be passed on if it is available in the first place. Aim: This manuscript presents a novel model based on time-varying hypergraphs for rendering information diffusion that overcomes the inherent limitations of traditional, time-aggregated graph-based models. Method: In an in-silico experiment, we simulate an information diffusion within the internal code review at Microsoft and show the empirical impact of time on a key characteristic of information diffusion: the number of reachable participants. Results: Time-aggregation significantly overestimates the paths of information diffusion available in communication networks and, thus, is neither precise nor accurate for modelling and measuring the spread of information within communication networks that emerge from code review. Conclusion: Our model overcomes the inherent limitations of traditional, static or time-aggregated, graph-based communication models and sheds the first light on information diffusion through code review. We believe that our model can serve as a foundation for understanding, measuring, managing, and improving knowledge sharing in code review in particular and information diffusion in software engineering in general.</t>
  </si>
  <si>
    <t xml:space="preserve">[Dorner, Michael; Smite, Darja; Mendez, Daniel] Blekinge Inst Technol, Karlskrona, Sweden; [Mendez, Daniel] Fortiss GmbH, Munich, Germany</t>
  </si>
  <si>
    <t xml:space="preserve">Blekinge Institute Technology; fortiss</t>
  </si>
  <si>
    <t xml:space="preserve">Dorner, M (corresponding author), Blekinge Inst Technol, Karlskrona, Sweden.</t>
  </si>
  <si>
    <t xml:space="preserve">michael.dorner@bth.se; darja.smite@bth.se; daniel.mendez@bth.se</t>
  </si>
  <si>
    <t xml:space="preserve">Dorner, Michael/ABG-7730-2020</t>
  </si>
  <si>
    <t xml:space="preserve">Dorner, Michael/0000-0001-8879-6450</t>
  </si>
  <si>
    <t xml:space="preserve">KKS Foundation through the SERT project at Blekinge Institute of Technology [2018/010]</t>
  </si>
  <si>
    <t xml:space="preserve">KKS Foundation through the SERT project at Blekinge Institute of Technology</t>
  </si>
  <si>
    <t xml:space="preserve">We thank Dietmar Pfahl for his valuable contributions to the presentation of the paper and Andreas Bauer and Ehsan Zabardast for their feedback which improved the simulation code greatly. We also thank the anonymous reviewers for their careful reading of our manuscript and their many insightful comments and helpful suggestions. This work was supported by the KKS Foundation through the SERT project (research profile grant 2018/010) at Blekinge Institute of Technology.</t>
  </si>
  <si>
    <t xml:space="preserve">1938-6451</t>
  </si>
  <si>
    <t xml:space="preserve">978-1-4503-9427-7</t>
  </si>
  <si>
    <t xml:space="preserve">INT SYMP EMP SOFTWAR</t>
  </si>
  <si>
    <t xml:space="preserve">10.1145/3544902.3546254</t>
  </si>
  <si>
    <t xml:space="preserve">BW3KP</t>
  </si>
  <si>
    <t xml:space="preserve">Green Published, Bronze, Green Submitted</t>
  </si>
  <si>
    <t xml:space="preserve">WOS:001139214400018</t>
  </si>
  <si>
    <t xml:space="preserve">Wohlin, C; Runeson, P</t>
  </si>
  <si>
    <t xml:space="preserve">Wohlin, Claes; Runeson, Per</t>
  </si>
  <si>
    <t xml:space="preserve">Guiding the selection of research methodology in industry-academia collaboration in software engineering</t>
  </si>
  <si>
    <t xml:space="preserve">Research methodology; Selecting research methodology; Design Science; Action Research; Technology Transfer Model; Industry-academia collaboration</t>
  </si>
  <si>
    <t xml:space="preserve">DESIGN SCIENCE; TECHNOLOGY-TRANSFER; FIELD; PRINCIPLES; MODEL</t>
  </si>
  <si>
    <t xml:space="preserve">Background: The literature concerning research methodologies and methods has increased in software engineering in the last decade. However, there is limited guidance on selecting an appropriate research methodology for a given research study or project. Objective: Based on a selection of research methodologies suitable for software engineering research in collaboration between industry and academia, we present, discuss and compare the methodologies aiming to provide guidance on which research methodology to choose in a given situation to ensure successful industry-academia collaboration in research. Method: Three research methodologies were chosen for two main reasons. Design Science and Action Research were selected for their usage in software engineering. We also chose a model emanating from software engineering, i.e., the Technology Transfer Model. An overview of each methodology is provided. It is followed by a discussion and an illustration concerning their use in industry-academia collaborative research. The three methodologies are then compared using a set of criteria as a basis for our guidance. Results: The discussion and comparison of the three research methodologies revealed general similarities and distinct differences. All three research methodologies are easily mapped to the general research process describe-solve-practice, while the main driver behind the formulation of the research methodologies is different. Thus, we guide in selecting a research methodology given the primary research objective for a given research study or project in collaboration between industry and academia. Conclusions: We observe that the three research methodologies have different main objectives and differ in some characteristics, although still having a lot in common. We conclude that it is vital to make an informed decision concerning which research methodology to use. The presentation and comparison aim to guide selecting an appropriate research methodology when conducting research in collaboration between industry and academia.</t>
  </si>
  <si>
    <t xml:space="preserve">[Wohlin, Claes] Blekinge Inst Technol, Karlskrona, Sweden; [Runeson, Per] Lund Univ, Lund, Sweden</t>
  </si>
  <si>
    <t xml:space="preserve">claes.wohlin@bth.se; per.runeson@cs.lth.se</t>
  </si>
  <si>
    <t xml:space="preserve">Runeson, Per/H-5113-2019</t>
  </si>
  <si>
    <t xml:space="preserve">Wohlin, Claes/0000-0003-0460-5253; Runeson, Per/0000-0003-2795-4851</t>
  </si>
  <si>
    <t xml:space="preserve">ELLIIT strategic research area - Swedish Government</t>
  </si>
  <si>
    <t xml:space="preserve">The work is partially supported by a research grant for the ELLIIT strategic research area funded by the Swedish Government. We thank the anonymous reviewers for their valuable feedback. The comments provided helped make the scope clearer and improve the paper.</t>
  </si>
  <si>
    <t xml:space="preserve">10.1016/j.infsof.2021.106678</t>
  </si>
  <si>
    <t xml:space="preserve">UY8FG</t>
  </si>
  <si>
    <t xml:space="preserve">WOS:000701752600002</t>
  </si>
  <si>
    <t xml:space="preserve">Xu, Y; Liu, TQ; Sun, B; Zhang, Y; Khatibi, S; Sun, MX</t>
  </si>
  <si>
    <t xml:space="preserve">Xu, Yuan; Liu, Tongqian; Sun, Bin; Zhang, Yong; Khatibi, Siamak; Sun, Mingxu</t>
  </si>
  <si>
    <t xml:space="preserve">Indoor Vision/INS Integrated Mobile Robot Navigation Using Multimodel-Based Multifrequency Kalman Filter</t>
  </si>
  <si>
    <t xml:space="preserve">MATHEMATICAL PROBLEMS IN ENGINEERING</t>
  </si>
  <si>
    <t xml:space="preserve">In order to further improve positioning accuracy, this paper proposes an indoor vision/INS integrated mobile robot navigation method using multimodel-based multifrequency Kalman filter. Firstly, to overcome the insufficient accuracy of visual data when a robot turns, a novel multimodel integrated scheme has been investigated for the mobile robots with Mecanum wheels which can make fixed point angled turns. Secondly, a multifrequency Kalman filter has been used to fuse the position information from both the inertial navigation system and the visual navigation system, which overcomes the problem that the filtering period of the integrated navigation system is too long. The proposed multimodel multifrequency Kalman filter gives the root mean square error (RMSE) of 0.0184 m in the direction of east and 0.0977 m in north, respectively. The RMSE of visual navigation system is 0.8925 m in the direction of east and 0.9539 m in north, respectively. Experimental results show that the proposed method is effective.</t>
  </si>
  <si>
    <t xml:space="preserve">[Xu, Yuan; Liu, Tongqian; Sun, Bin; Zhang, Yong; Sun, Mingxu] Univ Jinan, Sch Elect Engn, Jinan 250022, Peoples R China; [Khatibi, Siamak] Blekinge Inst Technol, Technol &amp; Aesthet, S-37179 Karlskrona, Sweden</t>
  </si>
  <si>
    <t xml:space="preserve">University of Jinan; Blekinge Institute Technology</t>
  </si>
  <si>
    <t xml:space="preserve">Sun, MX (corresponding author), Univ Jinan, Sch Elect Engn, Jinan 250022, Peoples R China.</t>
  </si>
  <si>
    <t xml:space="preserve">xy_abric@126.com; liutongqian1119@163.com; cse_sunb@ujn.edu.cn; cse_zhangy@ujn.edu.cn; siamak.khatibi@bth.se; cse_sunmx@ujn.edu.cn</t>
  </si>
  <si>
    <t xml:space="preserve">Khatibi, Siamak/0000-0003-4327-117X</t>
  </si>
  <si>
    <t xml:space="preserve">Shandong Key RD Program [2019GGX104026, 2019JZZY021005]; National Natural Science Foundation of China [61803175]</t>
  </si>
  <si>
    <t xml:space="preserve">Shandong Key RD Program; National Natural Science Foundation of China(National Natural Science Foundation of China (NSFC))</t>
  </si>
  <si>
    <t xml:space="preserve">This work was supported in part by the Shandong Key R&amp;D Program under Grants 2019GGX104026 , 2019JZZY021005 and in part by the National Natural Science Foundation of China under Grant 61803175.</t>
  </si>
  <si>
    <t xml:space="preserve">1024-123X</t>
  </si>
  <si>
    <t xml:space="preserve">1563-5147</t>
  </si>
  <si>
    <t xml:space="preserve">MATH PROBL ENG</t>
  </si>
  <si>
    <t xml:space="preserve">Math. Probl. Eng.</t>
  </si>
  <si>
    <t xml:space="preserve">JAN 16</t>
  </si>
  <si>
    <t xml:space="preserve">10.1155/2021/6694084</t>
  </si>
  <si>
    <t xml:space="preserve">Engineering, Multidisciplinary; Mathematics, Interdisciplinary Applications</t>
  </si>
  <si>
    <t xml:space="preserve">Engineering; Mathematics</t>
  </si>
  <si>
    <t xml:space="preserve">QA8JQ</t>
  </si>
  <si>
    <t xml:space="preserve">WOS:000613688800004</t>
  </si>
  <si>
    <t xml:space="preserve">Frattini, J; Junker, M; Unterkalmsteiner, M; Mendez, D</t>
  </si>
  <si>
    <t xml:space="preserve">Frattini, Julian; Junker, Maximilian; Unterkalmsteiner, Michael; Mendez, Daniel</t>
  </si>
  <si>
    <t xml:space="preserve">Automatic Extraction of Cause-Effect-Relations from Requirements Artifacts</t>
  </si>
  <si>
    <t xml:space="preserve">2020 35TH IEEE/ACM INTERNATIONAL CONFERENCE ON AUTOMATED SOFTWARE ENGINEERING (ASE 2020)</t>
  </si>
  <si>
    <t xml:space="preserve">IEEE ACM International Conference on Automated Software Engineering</t>
  </si>
  <si>
    <t xml:space="preserve">35th IEEE/ACM International Conference on Automated Software Engineering (ASE)</t>
  </si>
  <si>
    <t xml:space="preserve">IEEE,Assoc Comp Machinery,IEEE Comp Soc,Monash Univ,NASA Ames Rese Ctr,IEEE Tech Council Software Engn,ACM SIGAI,ACM Special Interest Grp Software Engn,Deakin Univ</t>
  </si>
  <si>
    <t xml:space="preserve">causality extraction; natural language processing; pattern matching; requirements artifacts</t>
  </si>
  <si>
    <t xml:space="preserve">Background: The detection and extraction of causality from natural language sentences have shown great potential in various fields of application. The field of requirements engineering is eligible for multiple reasons: (1) requirements artifacts are primarily written in natural language, (2) causal sentences convey essential context about the subject of requirements, and (3) extracted and formalized causality relations are usable for a (semi-)automatic translation into further artifacts, such as test cases. Objective: We aim at understanding the value of interactive causality extraction based on syntactic criteria for the context of requirements engineering. Method: We developed a prototype of a system for automatic causality extraction and evaluate it by applying it to a set of publicly available requirements artifacts, determining whether the automatic extraction reduces the manual effort of requirements formalization. Result: During the evaluation we analyzed 4457 natural language sentences from 18 requirements documents, 558 of which were causal (12.52%). The best evaluation of a requirements document provided an automatic extraction of 48.57% cause-effect graphs on average, which demonstrates the feasibility of the approach. Limitation: The feasibility of the approach has been proven in theory but lacks exploration of being scaled up for practical use. Evaluating the applicability of the automatic causality extraction for a requirements engineer is left for future research. Conclusion: A syntactic approach for causality extraction is viable for the context of requirements engineering and can aid a pipeline towards an automatic generation of further artifacts from requirements artifacts.</t>
  </si>
  <si>
    <t xml:space="preserve">[Frattini, Julian; Unterkalmsteiner, Michael; Mendez, Daniel] Blekinge Inst Technol, Karlskrona, Sweden; [Junker, Maximilian] Qualicen GmbH, Munich, Germany; [Mendez, Daniel] Fortiss GmbH, Karlskrona, Sweden</t>
  </si>
  <si>
    <t xml:space="preserve">Frattini, J (corresponding author), Blekinge Inst Technol, Karlskrona, Sweden.</t>
  </si>
  <si>
    <t xml:space="preserve">julian.frattini@bth.se; maximilian.junker@qualicen.de; michael.unterkalmsteiner@bth.se; daniel.mendez@bth.se</t>
  </si>
  <si>
    <t xml:space="preserve">Mendez, Daniel/ABA-4579-2021</t>
  </si>
  <si>
    <t xml:space="preserve">Mendez Fernandez, Daniel/0000-0003-0619-6027</t>
  </si>
  <si>
    <t xml:space="preserve">We would like to acknowledge that this work was supported by the KKS foundation through the S.E.R.T. Research Profile project at Blekinge Institute of Technology. We would further like to thank Diego Marmsoler and the reviewers of this paper for their valuable feedback.</t>
  </si>
  <si>
    <t xml:space="preserve">1527-1366</t>
  </si>
  <si>
    <t xml:space="preserve">978-1-4503-6768-4</t>
  </si>
  <si>
    <t xml:space="preserve">IEEE INT CONF AUTOM</t>
  </si>
  <si>
    <t xml:space="preserve">10.1145/3324884.3416549</t>
  </si>
  <si>
    <t xml:space="preserve">Automation &amp; Control Systems; Computer Science, Software Engineering; Engineering, Electrical &amp; Electronic</t>
  </si>
  <si>
    <t xml:space="preserve">Automation &amp; Control Systems; Computer Science; Engineering</t>
  </si>
  <si>
    <t xml:space="preserve">BR4HE</t>
  </si>
  <si>
    <t xml:space="preserve">WOS:000651313500048</t>
  </si>
  <si>
    <t xml:space="preserve">Westphal, F; Grahn, H; Lavesson, N</t>
  </si>
  <si>
    <t xml:space="preserve">Bai, X; Karatzas, D; Lopresti, D</t>
  </si>
  <si>
    <t xml:space="preserve">Westphal, Florian; Grahn, Hakan; Lavesson, Niklas</t>
  </si>
  <si>
    <t xml:space="preserve">Representative Image Selection for Data Efficient Word Spotting</t>
  </si>
  <si>
    <t xml:space="preserve">DOCUMENT ANALYSIS SYSTEMS</t>
  </si>
  <si>
    <t xml:space="preserve">14th IAPR International Workshop on Document Analysis Systems (DAS)</t>
  </si>
  <si>
    <t xml:space="preserve">JUL 26-29, 2020</t>
  </si>
  <si>
    <t xml:space="preserve">IAPR,Meituan,Hanvon,Huawei,TAL</t>
  </si>
  <si>
    <t xml:space="preserve">Word spotting; Sample selection; Graph representation; PHOCNet; Active learning</t>
  </si>
  <si>
    <t xml:space="preserve">This paper compares three different word image representations as base for label free sample selection for word spotting in historical handwritten documents. These representations are a temporal pyramid representation based on pixel counts, a graph based representation, and a pyramidal histogram of characters (PHOC) representation predicted by a PHOCNet trained on synthetic data. We show that the PHOC representation can help to reduce the amount of required training samples by up to 69% depending on the dataset, if it is learned iteratively in an active learning like fashion. While this works for larger datasets containing about 1 700 images, for smaller datasets with 100 images, we find that the temporal pyramid and the graph representation perform better.</t>
  </si>
  <si>
    <t xml:space="preserve">[Westphal, Florian; Grahn, Hakan; Lavesson, Niklas] Blekinge Inst Technol, Karlskrona, Sweden; [Lavesson, Niklas] Jonkoping Univ, Jonkoping, Sweden</t>
  </si>
  <si>
    <t xml:space="preserve">Blekinge Institute Technology; Jonkoping University</t>
  </si>
  <si>
    <t xml:space="preserve">Westphal, F (corresponding author), Blekinge Inst Technol, Karlskrona, Sweden.</t>
  </si>
  <si>
    <t xml:space="preserve">florian.westphal@bth.se; hakan.grahn@bth.se; niklas.lavesson@ju.se</t>
  </si>
  <si>
    <t xml:space="preserve">Grahn, Håkan/G-9720-2011; Lavesson, Niklas/B-3313-2013</t>
  </si>
  <si>
    <t xml:space="preserve">Grahn, Hakan/0000-0001-9947-1088; Westphal, Florian/0000-0002-2161-7371; Lavesson, Niklas/0000-0002-0535-1761</t>
  </si>
  <si>
    <t xml:space="preserve">978-3-030-57058-3; 978-3-030-57057-6</t>
  </si>
  <si>
    <t xml:space="preserve">10.1007/978-3-030-57058-3_27</t>
  </si>
  <si>
    <t xml:space="preserve">Computer Science, Artificial Intelligence; Computer Science, Theory &amp; Methods; Imaging Science &amp; Photographic Technology</t>
  </si>
  <si>
    <t xml:space="preserve">BU2MA</t>
  </si>
  <si>
    <t xml:space="preserve">WOS:000885905800027</t>
  </si>
  <si>
    <t xml:space="preserve">Nabovati, R; Hosseini, M; Ghanaati, M</t>
  </si>
  <si>
    <t xml:space="preserve">Nabovati, Reza; Hosseini, Mojtaba; Ghanaati, Mohammadmehdi</t>
  </si>
  <si>
    <t xml:space="preserve">From solopreneurs to synergists: a bibliometric journey into SME collaboration</t>
  </si>
  <si>
    <t xml:space="preserve">COGENT BUSINESS &amp; MANAGEMENT</t>
  </si>
  <si>
    <t xml:space="preserve">Collaboration; small and medium-sized enterprises (SMEs); inter-organization; cooperation; relationship; networking</t>
  </si>
  <si>
    <t xml:space="preserve">RESEARCH-AND-DEVELOPMENT; RESOURCE-BASED VIEW; HIGH-TECH SMES; OPEN INNOVATION; KNOWLEDGE MANAGEMENT; SUPPLY CHAIN; INTERFIRM COOPERATION; DYNAMIC CAPABILITIES; ABSORPTIVE-CAPACITY; SMALL-BUSINESS</t>
  </si>
  <si>
    <t xml:space="preserve">Collaborations, as a natural selection of Small and Medium-sized Enterprises (SMEs) in the business environment, have been extensively studied. However, the core theoretical underpinnings, as well as recent research directions and themes have not been investigated. This study aims to holistically review the extant body of knowledge pertaining to SME collaboration, thereby clarifying these instances. Drawing upon a corpus of 978 scholarly articles retrieved from the Scopus database, spanning the years 1982 to 2022, this study implements a bibliometric analysis utilizing the VOSviewer software to map the intellectual landscape and discern patterns within the literature. The co-citation analysis depicted four primary theoretical constructs: those pertaining to relationship, open innovation, capability, and performance. The bibliographic coupling analysis depicted the prevailing trends in collaborative endeavors, encompassing supply chain, R&amp;D, coopetition, Industry 4.0, internationalization, and open innovation. Furthermore, the application of co-occurrence analysis facilitated the delineation of five distinct research themes within this domain. The investigation extends to a critical discussion on the prospective orientation and concludes with an examination of the its implications, offering insights for the research, managers, and policymakers.</t>
  </si>
  <si>
    <t xml:space="preserve">[Nabovati, Reza] Linkoping Univ LIU, Linkoping, Sweden; [Hosseini, Mojtaba; Ghanaati, Mohammadmehdi] Blekinge Inst Technol BTH, Karlskrona, Sweden</t>
  </si>
  <si>
    <t xml:space="preserve">Linkoping University; Blekinge Institute Technology</t>
  </si>
  <si>
    <t xml:space="preserve">Ghanaati, M (corresponding author), Blekinge Inst Technol BTH, Karlskrona, Sweden.</t>
  </si>
  <si>
    <t xml:space="preserve">mgh@bth.se</t>
  </si>
  <si>
    <t xml:space="preserve">Nabovati, Reza/0000-0001-6804-2053; Ghanaati, Mohammadmehdi/0009-0005-8777-378X</t>
  </si>
  <si>
    <t xml:space="preserve">2331-1975</t>
  </si>
  <si>
    <t xml:space="preserve">COGENT BUS MANAG</t>
  </si>
  <si>
    <t xml:space="preserve">Cogent Bus. Manag.</t>
  </si>
  <si>
    <t xml:space="preserve">DEC 31</t>
  </si>
  <si>
    <t xml:space="preserve">10.1080/23311975.2024.2399951</t>
  </si>
  <si>
    <t xml:space="preserve">F4Z6S</t>
  </si>
  <si>
    <t xml:space="preserve">WOS:001309919900001</t>
  </si>
  <si>
    <t xml:space="preserve">Usman, M; Badampudi, D; Smith, C; Nayak, H</t>
  </si>
  <si>
    <t xml:space="preserve">Usman, Muhammad; Badampudi, Deepika; Smith, Chris; Nayak, Himansu</t>
  </si>
  <si>
    <t xml:space="preserve">An Ecosystem for the Large-Scale Reuse of Microservices in a Cloud-Native Context</t>
  </si>
  <si>
    <t xml:space="preserve">This article presents an ecosystem that Ericsson developed to systematically practice large- scale reuse of microservices in a cloud- native context. We discuss how various ecosystem aspects facilitated the development and reuse of microservices across Ericsson. We also share lessons learned while developing the ecosystem.</t>
  </si>
  <si>
    <t xml:space="preserve">[Usman, Muhammad; Badampudi, Deepika] Blekinge Inst Technol, Karlskrona, Sweden; [Smith, Chris; Nayak, Himansu] Ericsson AB, S-16440 Stockholm, Sweden</t>
  </si>
  <si>
    <t xml:space="preserve">Usman, M (corresponding author), Blekinge Inst Technol, Karlskrona, Sweden.</t>
  </si>
  <si>
    <t xml:space="preserve">muhammad.usman@bth.se; deepika.badampudi@bth.se; chris.smith@ericsson.com; nayak@ericsson.com</t>
  </si>
  <si>
    <t xml:space="preserve">Knowledge Foundation through the Open Source Inspired Reuse (OSIR) project at the Blekinge Institute of Technology, Sweden [20190081]</t>
  </si>
  <si>
    <t xml:space="preserve">Knowledge Foundation through the Open Source Inspired Reuse (OSIR) project at the Blekinge Institute of Technology, Sweden</t>
  </si>
  <si>
    <t xml:space="preserve">This work was supported by the Knowledge Foundation through the Open Source Inspired Reuse (OSIR) project (Reference 20190081) at the Blekinge Institute of Technology, Sweden.</t>
  </si>
  <si>
    <t xml:space="preserve">10.1109/MS.2022.3167447</t>
  </si>
  <si>
    <t xml:space="preserve">3Z0RY</t>
  </si>
  <si>
    <t xml:space="preserve">WOS:000844129400012</t>
  </si>
  <si>
    <t xml:space="preserve">Unterkalmsteiner, M; Badampudi, D; Britto, R; bin Ali, N</t>
  </si>
  <si>
    <t xml:space="preserve">Unterkalmsteiner, Michael; Badampudi, Deepika; Britto, Ricardo; bin Ali, Nauman</t>
  </si>
  <si>
    <t xml:space="preserve">Help Me to Understand this Commit! - A Vision for Contextualized Code Reviews</t>
  </si>
  <si>
    <t xml:space="preserve">PROCEEDINGS OF THE 2024 FIRST IDE WORKSHOP, IDE 2024</t>
  </si>
  <si>
    <t xml:space="preserve">1st IDE Workshop (IDE)</t>
  </si>
  <si>
    <t xml:space="preserve">APR 20-20, 2024</t>
  </si>
  <si>
    <t xml:space="preserve">Modern code reviews; code understanding; decision-making; support systems</t>
  </si>
  <si>
    <t xml:space="preserve">Background: Modern Code Review (MCR) is a key component for delivering high-quality software and sharing knowledge among developers. Effective reviews require an in-depth understanding of the code and demand from the reviewers to contextualize the change from different perspectives. Aim: While there is a plethora of research on solutions that support developers to understand changed code, we have observed that many provide only narrow, specialized insights and very few aggregate information in a meaningful manner. Therefore, we aim to provide a vision of improving code understanding in MCR. Method: We classified 53 research papers suggesting proposals to improve MCR code understanding. We use this classification, the needs expressed by code reviewers from previous research, and the information we have not found in the literature for extrapolation. Results: We identified four major types of support systems and suggest an environment for contextualized code reviews. Furthermore, we illustrate with a set of scenarios how such an environment would improve the effectiveness of code reviews. Conclusions: Current research focuses mostly on providing narrow support for developers. We outline a vision for how MCR can be improved by using context and reducing the cognitive load on developers. We hope our vision can foster future advancements in development environments.</t>
  </si>
  <si>
    <t xml:space="preserve">[Unterkalmsteiner, Michael; Badampudi, Deepika; Britto, Ricardo; bin Ali, Nauman] Blekinge Inst Technol, Software Engn Res Lab, Karlskrona, Sweden; [Britto, Ricardo] Ericsson AB, Karlskrona, Sweden</t>
  </si>
  <si>
    <t xml:space="preserve">Unterkalmsteiner, M (corresponding author), Blekinge Inst Technol, Software Engn Res Lab, Karlskrona, Sweden.</t>
  </si>
  <si>
    <t xml:space="preserve">michael.unterkalmsteiner@bth.se; deepika.badampudi@bth.se; ricardo.britto@ericsson.com; nauman.ali@bth.se</t>
  </si>
  <si>
    <t xml:space="preserve">ELLIIT; Strategic Research Area within IT and Mobile Communications - Swedish Government; GIST [20220235]; SERT project from the Knowledge Foundation in Sweden</t>
  </si>
  <si>
    <t xml:space="preserve">ELLIIT; Strategic Research Area within IT and Mobile Communications - Swedish Government; GIST; SERT project from the Knowledge Foundation in Sweden</t>
  </si>
  <si>
    <t xml:space="preserve">This work has been supported by ELLIIT; the Strategic Research Area within IT and Mobile Communications, funded by the Swedish Government. The work has also been supported by a research grant for the GIST (reference number 20220235) and SERT project from the Knowledge Foundation in Sweden.</t>
  </si>
  <si>
    <t xml:space="preserve">979-8-4007-0580-9</t>
  </si>
  <si>
    <t xml:space="preserve">10.1145/3643796.3648447</t>
  </si>
  <si>
    <t xml:space="preserve">BX5EM</t>
  </si>
  <si>
    <t xml:space="preserve">WOS:001297920700005</t>
  </si>
  <si>
    <t xml:space="preserve">Wohlin, C; Rainer, A</t>
  </si>
  <si>
    <t xml:space="preserve">Wohlin, Claes; Rainer, Austen</t>
  </si>
  <si>
    <t xml:space="preserve">Is it a case study?-A critical analysis and guidance</t>
  </si>
  <si>
    <t xml:space="preserve">Case study; Guidelines; Citation analysis; Small-scale evaluation; Checklist; Smell indicator</t>
  </si>
  <si>
    <t xml:space="preserve">OPEN SOURCE SOFTWARE; IMPLEMENTATION; MODELS</t>
  </si>
  <si>
    <t xml:space="preserve">The term case study  is not used consistently when describing studies and, most importantly, is not used according to the established definitions. Given the misuse of the term case study , we critically analyse articles that cite case study guidelines and report case studies. We find that only about 50% of the studies labelled case study  are correctly labelled, and about 40% of studies labelled case study  are actually better understood as small-scale evaluations . Based on our experiences conducting the analysis, we formulate support for ensuring and assuring the correct labelling of case studies. We develop a checklist and a self-assessment scheme. The checklist is intended to complement existing definitions and to encourage researchers to use the term case study  correctly. The self-assessment scheme is intended to help the researcher identify when their empirical study is a small-scale evaluation  and, again, encourages researchers to label their studies correctly. Finally, we develop and evaluate a smell indicator to automatically suggest when a reported case study may not actually be a case study. These three instruments have been developed to help ensure and assure that only those studies that are actually case studies are labelled as case study . (C) 2022 The Author(s). Published by Elsevier Inc.</t>
  </si>
  <si>
    <t xml:space="preserve">[Wohlin, Claes] Blekinge Inst Technol, SE-37179 Karlskrona, Sweden; [Rainer, Austen] Queens Univ Belfast, 18 Malone Rd,Comp Sci Bldg, Belfast BT9 5BN, North Ireland</t>
  </si>
  <si>
    <t xml:space="preserve">Blekinge Institute Technology; Queens University Belfast</t>
  </si>
  <si>
    <t xml:space="preserve">Wohlin, C (corresponding author), Blekinge Inst Technol, SE-37179 Karlskrona, Sweden.</t>
  </si>
  <si>
    <t xml:space="preserve">claes.wohlin@bth.se; A.Rainer@qub.ac.uk</t>
  </si>
  <si>
    <t xml:space="preserve">10.1016/j.jss.2022.111395</t>
  </si>
  <si>
    <t xml:space="preserve">3D7PT</t>
  </si>
  <si>
    <t xml:space="preserve">WOS:000829490300010</t>
  </si>
  <si>
    <t xml:space="preserve">Vu, VT; Pettersson, MI; Batra, A; Kaiser, T</t>
  </si>
  <si>
    <t xml:space="preserve">Vu, Viet T.; Pettersson, Mats I.; Batra, Aman; Kaiser, Thomas</t>
  </si>
  <si>
    <t xml:space="preserve">Fourier Transform of SAR Data Cube and 3-D Range Migration Algorithm</t>
  </si>
  <si>
    <t xml:space="preserve">Letter</t>
  </si>
  <si>
    <t xml:space="preserve">To develop a 3-D imaging synthetic aperture radar(SAR) algorithm, a theoretical expression for a Fourier transform of data cube is required. In this article, we introduce a function representing the Fourier transform of 3-D SAR data cube. The function is derived using the method of stationary phase and similar to the one used for 2-D data matrix. For verification and evaluation, a 3-D range migration algorithm using this function for bulk compression is examined. The simulation results based on the parameters of an experimental terahertz indoor SAR testbed show that the algorithm can well focus the 3-D image and, hence, verify the derived function. The image quality assessments such as spatial resolutions and peak sidelobe ratio are used to further evaluate the function and the algorithm. The measured results are compared with the ones provided by a backprojection algorithm.</t>
  </si>
  <si>
    <t xml:space="preserve">[Vu, Viet T.; Pettersson, Mats I.] Blekinge Inst Technol, Karlskrona, Sweden; [Batra, Aman; Kaiser, Thomas] Univ Duisburg Essen, Duisburg, Germany</t>
  </si>
  <si>
    <t xml:space="preserve">Blekinge Institute Technology; University of Duisburg Essen</t>
  </si>
  <si>
    <t xml:space="preserve">viet.thuy.vu@bth.se; mats.pettersson@bth.se; aman.batra@uni-due.de; thomas.kaiser@uni-due.de</t>
  </si>
  <si>
    <t xml:space="preserve">Vu, Viet/JDW-0738-2023; Kaiser, Thomas/IAR-1845-2023; Pettersson, Mats/N-1063-2016</t>
  </si>
  <si>
    <t xml:space="preserve">Batra, Aman/0000-0002-4526-8081; Pettersson, Mats/0000-0002-6643-312X</t>
  </si>
  <si>
    <t xml:space="preserve">Excellence Center at Linkoping-Lund in Information Technology, Sweden (ELLIIT); Deutsche Forschungsgemein schaft (DFG, German Research Foundation) [287022738-TRR196]</t>
  </si>
  <si>
    <t xml:space="preserve">Excellence Center at Linkoping-Lund in Information Technology, Sweden (ELLIIT); Deutsche Forschungsgemein schaft (DFG, German Research Foundation)(German Research Foundation (DFG))</t>
  </si>
  <si>
    <t xml:space="preserve">This work was supported in part by Excellence Center at Linkoping-Lund in Information Technology, Sweden (ELLIIT) and in part by the Deutsche Forschungsgemein schaft (DFG, German Research Foundation) under Project-ID 287022738-TRR196 for associated project S05.</t>
  </si>
  <si>
    <t xml:space="preserve">10.1109/TAES.2021.3134724</t>
  </si>
  <si>
    <t xml:space="preserve">1Y4GG</t>
  </si>
  <si>
    <t xml:space="preserve">WOS:000808099300081</t>
  </si>
  <si>
    <t xml:space="preserve">Chu, TMC; Zepernick, HJ; Duong, TQ</t>
  </si>
  <si>
    <t xml:space="preserve">Chu, Thi My Chinh; Zepernick, Hans-Jurgen; Duong, Trung Q.</t>
  </si>
  <si>
    <t xml:space="preserve">NOMA-Based Full-Duplex UAV Network with K-Means Clustering for Disaster Scenarios</t>
  </si>
  <si>
    <t xml:space="preserve">2022 IEEE 96TH VEHICULAR TECHNOLOGY CONFERENCE (VTC2022-FALL)</t>
  </si>
  <si>
    <t xml:space="preserve">IEEE Vehicular Technology Conference Proceedings</t>
  </si>
  <si>
    <t xml:space="preserve">IEEE 96th Vehicular Technology Conference (VTC-Fall)</t>
  </si>
  <si>
    <t xml:space="preserve">SEP 26-29, 2022</t>
  </si>
  <si>
    <t xml:space="preserve">London, ECUADOR</t>
  </si>
  <si>
    <t xml:space="preserve">UAV; NOMA; full-duplex relay; K-means algorithm; outage probability; sum rate; disaster scenarios.</t>
  </si>
  <si>
    <t xml:space="preserve">LOCALIZATION; CHALLENGES; 5G</t>
  </si>
  <si>
    <t xml:space="preserve">In this paper, we propose and assess the performance of a downlink non-orthogonal multiple access (NOMA)-based full-duplex (FD) unmanned aerial vehicle (UAV) network for disaster scenarios. The K-means algorithm is used to partition the user equipments (UEs) residing in the disaster region into a number of clusters. The UAVs are located at the cluster centers and act as decode-and-forward relays to secure coverage from an operational base station (BS) into the disaster region. The power-domain NOMA used at the BS and the UAVs operating in FD mode improve the system performance in terms of outage probability and sum rate compared to orthogonal multiple access and half-duplex mode. In particular, analytical expressions for the outage probability and sum rate are derived. Numerical results are provided to reveal the impact of system parameters on the performance of the NOMA-based FD UAV network over Nakagami-m fading which in turn illustrate design options for applications in disaster scenarios.</t>
  </si>
  <si>
    <t xml:space="preserve">[Chu, Thi My Chinh; Zepernick, Hans-Jurgen] Blekinge Inst Technol, SE-37179 Karlskrona, Sweden; [Duong, Trung Q.] Queens Univ Belfast, Belfast BT7 1NN, Antrim, North Ireland</t>
  </si>
  <si>
    <t xml:space="preserve">cch@bth.se; hjz@bth.se; trung.q.duong@qub.ac.uk</t>
  </si>
  <si>
    <t xml:space="preserve">Zepernick, Hans-Jürgen/AFJ-2429-2022; Duong, Trung Q./AAI-6708-2020</t>
  </si>
  <si>
    <t xml:space="preserve">2577-2465</t>
  </si>
  <si>
    <t xml:space="preserve">978-1-6654-5468-1</t>
  </si>
  <si>
    <t xml:space="preserve">IEEE VTS VEH TECHNOL</t>
  </si>
  <si>
    <t xml:space="preserve">10.1109/VTC2022-Fall57202.2022.10012723</t>
  </si>
  <si>
    <t xml:space="preserve">Engineering, Electrical &amp; Electronic; Telecommunications; Transportation Science &amp; Technology</t>
  </si>
  <si>
    <t xml:space="preserve">Engineering; Telecommunications; Transportation</t>
  </si>
  <si>
    <t xml:space="preserve">BU6QI</t>
  </si>
  <si>
    <t xml:space="preserve">WOS:000927580600031</t>
  </si>
  <si>
    <t xml:space="preserve">Petersen, K; Molléri, JS</t>
  </si>
  <si>
    <t xml:space="preserve">Ali, R; Kaindl, H; Maciaszek, L</t>
  </si>
  <si>
    <t xml:space="preserve">Petersen, Kai; Molleri, Jefferson Seide</t>
  </si>
  <si>
    <t xml:space="preserve">Preliminary Evaluation of a Survey Checklist in the Context of Evidence-based Software Engineering Education</t>
  </si>
  <si>
    <t xml:space="preserve">ENASE: PROCEEDINGS OF THE 16TH INTERNATIONAL CONFERENCE ON EVALUATION OF NOVEL APPROACHES TO SOFTWARE ENGINEERING</t>
  </si>
  <si>
    <t xml:space="preserve">16th International Conference on Evaluation of Novel Approaches to Software Engineering (ENASE)</t>
  </si>
  <si>
    <t xml:space="preserve">APR 26-27, 2021</t>
  </si>
  <si>
    <t xml:space="preserve">Checklist; Survey; One-group Quasi-experiment; Students</t>
  </si>
  <si>
    <t xml:space="preserve">Background: In order to judge evidence it is important to be able to assess study quality. Checklists are means to objectify the assessment. In an earlier study we proposed and evaluated a checklist for surveys, which was assessed by experts. Objective: (1) To assess whether the use of the checklist enables students with limited experience in research to consistently and accurately assess the quality of a research paper. (2) To elicit qualitative feedback to identify improvements to the checklist. Method: The students reviewed a survey in a one-group posttest-only quasi-experiment using the checklist. In total 13 students participated in the context of the course Evidence-based software engineering as part of the study program Information Systems at Flensburg University of Applied Sciences. Results: In total the students achieved 74% percent of agreement among each other. However, the Kappa values indicated mostly a poor level of agreement considering the classification by Fleiss. In addition, the students were quite inaccurate assessing the questions. Though. they performed well on questions for research objectives and the identification of population. Conclusion: Findings indicate that students do not assess reliably. However, further investigations are needed to substantiate the findings.</t>
  </si>
  <si>
    <t xml:space="preserve">[Petersen, Kai] Univ Appl Sci, Flensburg, Germany; [Petersen, Kai] Blekinge Inst Technol, Karlskrona, Sweden; [Molleri, Jefferson Seide] Simula Metropolitan Ctr Digital Engn, Oslo, Norway</t>
  </si>
  <si>
    <t xml:space="preserve">Molleri, Jefferson/AAY-3288-2020</t>
  </si>
  <si>
    <t xml:space="preserve">Molleri, Jefferson/0000-0001-5629-5256</t>
  </si>
  <si>
    <t xml:space="preserve">978-989-758-508-1</t>
  </si>
  <si>
    <t xml:space="preserve">10.5220/0010496204370444</t>
  </si>
  <si>
    <t xml:space="preserve">BS9SO</t>
  </si>
  <si>
    <t xml:space="preserve">WOS:000783843700046</t>
  </si>
  <si>
    <t xml:space="preserve">Vu, VT; Pettersson, MI; Sjögren, TK</t>
  </si>
  <si>
    <t xml:space="preserve">Vu, Viet T.; Pettersson, Mats, I; Sjogren, Thomas K.</t>
  </si>
  <si>
    <t xml:space="preserve">CHANGE DETECTION AND SIGNATURE CLASSIFICATION FOR SAR GMTI</t>
  </si>
  <si>
    <t xml:space="preserve">IGARSS 2020 - 2020 IEEE INTERNATIONAL GEOSCIENCE AND REMOTE SENSING SYMPOSIUM</t>
  </si>
  <si>
    <t xml:space="preserve">SEP 26-OCT 02, 2020</t>
  </si>
  <si>
    <t xml:space="preserve">Inst Elect &amp; Elect Engineers,Inst Elect &amp; Elect Engineers Geoscience &amp; Remote Sensing Soc</t>
  </si>
  <si>
    <t xml:space="preserve">The pursuit monostatic is a SAR operating mode that requires two SAR data acquisitions separated in short time (seconds) using the same flight tracks and being. In this case, the changes in a SAR scene come mainly from ground moving targets, thus opening up opportunities to detect ground moving targets using SAR change detection methods. The paper introduces a SAR GMTI method that is based on a change detection method in combination with a signature classification. The SAR GMTI method is tested with the pursuit monostatic data acquired by TerraSAR-X and TanDEM-X in 2015.</t>
  </si>
  <si>
    <t xml:space="preserve">[Vu, Viet T.; Pettersson, Mats, I] Blekinge Inst Technol, S-37179 Karlskrona, Sweden; [Sjogren, Thomas K.] Swedish Def Res Agcy, S-58111 Linkoping, Sweden</t>
  </si>
  <si>
    <t xml:space="preserve">Blekinge Institute Technology; Saab Group</t>
  </si>
  <si>
    <t xml:space="preserve">978-1-7281-6374-1</t>
  </si>
  <si>
    <t xml:space="preserve">10.1109/IGARSS39084.2020.9323320</t>
  </si>
  <si>
    <t xml:space="preserve">Computer Science, Artificial Intelligence; Environmental Sciences; Geosciences, Multidisciplinary; Remote Sensing; Optics</t>
  </si>
  <si>
    <t xml:space="preserve">Computer Science; Environmental Sciences &amp; Ecology; Geology; Remote Sensing; Optics</t>
  </si>
  <si>
    <t xml:space="preserve">BR6WH</t>
  </si>
  <si>
    <t xml:space="preserve">WOS:000664335302013</t>
  </si>
  <si>
    <t xml:space="preserve">Rainer, A; Wohlin, C</t>
  </si>
  <si>
    <t xml:space="preserve">Rainer, Austen; Wohlin, Claes</t>
  </si>
  <si>
    <t xml:space="preserve">Case study identification: A trivial indicator outperforms human classifiers</t>
  </si>
  <si>
    <t xml:space="preserve">Case study; Evaluation; Systematic review; Primary study; Smell indicator</t>
  </si>
  <si>
    <t xml:space="preserve">Context: The definition and term case studyare not being applied consistently by software engineering researchers. We previously developed a trivial smell indicatorto help detect the misclassification of primary studies as case studies. Objective: To evaluate the performance of the indicator. Methods: We compare the performance of the indicator against human classifiers for three datasets, two datasets comprising classifications by both authors of systematic literature studies and primary studies, and one dataset comprising only primary-study author classifications. Results: The indicator outperforms the human classifiers for all datasets. Conclusions: The indicator is successful because human classifiers failto properly classify their own, and others', primary studies. Consequently, reviewers of primary studies and authors of systematic literature studies could use the classifier as a sanitycheck for primary studies. Moreover, authors might use the indicator to double-check how they classified a study, as part of their analysis, and prior to submitting their manuscript for publication. We challenge the research community to both beat the indicator, and to improve its ability to identify true case studies.</t>
  </si>
  <si>
    <t xml:space="preserve">[Rainer, Austen] Queens Univ Belfast, 18 Malone Rd,Comp Sci Bldg, Belfast BT9 5BN, Antrim, North Ireland; [Wohlin, Claes] Blekinge Inst Technol, SE-37179 Karlskrona, Sweden</t>
  </si>
  <si>
    <t xml:space="preserve">Queens University Belfast; Blekinge Institute Technology</t>
  </si>
  <si>
    <t xml:space="preserve">10.1016/j.infsof.2023.107252</t>
  </si>
  <si>
    <t xml:space="preserve">MAY 2023</t>
  </si>
  <si>
    <t xml:space="preserve">P8FO1</t>
  </si>
  <si>
    <t xml:space="preserve">WOS:001052976000001</t>
  </si>
  <si>
    <t xml:space="preserve">Tkachuk, RV; Ilie, D; Robert, R; Kebande, V; Tutschku, K</t>
  </si>
  <si>
    <t xml:space="preserve">Lopez, D; Montpetit, MJ; Cerroni, W; DiMauro, M; Borylo, P</t>
  </si>
  <si>
    <t xml:space="preserve">Tkachuk, Roman-Valentyn; Ilie, Dragos; Robert, Remi; Kebande, Victor; Tutschku, Kurt</t>
  </si>
  <si>
    <t xml:space="preserve">On the Performance of Consensus Mechanisms in Privacy-Enabled Decentralized Peer-to-Peer Renewable Energy Marketplace</t>
  </si>
  <si>
    <t xml:space="preserve">2023 26TH CONFERENCE ON INNOVATION IN CLOUDS, INTERNET AND NETWORKS AND WORKSHOPS, ICIN</t>
  </si>
  <si>
    <t xml:space="preserve">International Conference on Intelligence in Next Generation Networks</t>
  </si>
  <si>
    <t xml:space="preserve">26th Conference on Innovation in Clouds, Internet and Networks and Workshops (ICIN) - Distributed Intelligence across Network and Edge-to-Cloud Continuum</t>
  </si>
  <si>
    <t xml:space="preserve">MAR 07-09, 2023</t>
  </si>
  <si>
    <t xml:space="preserve">Aivanc Sch Technol Business &amp; Soc Format Initiale, Paris, FRANCE</t>
  </si>
  <si>
    <t xml:space="preserve">IEEE,IEEE Commun Soc,Huawei,Nokia,Gandi.net,DNAC</t>
  </si>
  <si>
    <t xml:space="preserve">Aivanc Sch Technol Business &amp; Soc Format Initiale</t>
  </si>
  <si>
    <t xml:space="preserve">Renewable Energy Marketplace; Blockchain Technology; Peer-To-Peer Energy Trading; Hyperledger Besu; Data Privacy</t>
  </si>
  <si>
    <t xml:space="preserve">This work defines a decentralized blockchain-based peer-to-peer (P2P) energy marketplace which addresses actors' privacy and the performance of consensus mechanisms. The defined marketplace utilizes private permissioned Ethereumbased blockchain client Hyperledger Besu (HB) and its smart contracts to automate the P2P trade settlement process. Also, to make the marketplace compliant with energy trade regulations, it includes the regulator actor, which manages the issue and generation of guarantees of origin and certifies the renewable energy sources used to generate traded electricity. Finally, the proposed marketplace incorporates privacy-preserving features, allowing it to generate private transactions and store them within a designated group of actors. Performance evaluation results of HBbased marketplace with three main consensus mechanisms for private networks, i. e., Clique, IBFT 2.0, and QBFT, demonstrate a lower throughput than another popular private permissioned blockchain platform Hyperledger Fabric (HF). However, the lower throughput is a side effect of the Byzantine Fault Tolerant characteristics of HB's consensus mechanisms, i. e., IBFT 2.0 and QBFT, which provide increased security compared to HF's Crash Fault Tolerant consensus RAFT.</t>
  </si>
  <si>
    <t xml:space="preserve">[Tkachuk, Roman-Valentyn; Ilie, Dragos; Kebande, Victor; Tutschku, Kurt] Blekinge Inst Technol, Dept Comp Sci, Karlskrona, Sweden; [Robert, Remi] Ericsson Res, Stockholm, Sweden</t>
  </si>
  <si>
    <t xml:space="preserve">Tkachuk, RV (corresponding author), Blekinge Inst Technol, Dept Comp Sci, Karlskrona, Sweden.</t>
  </si>
  <si>
    <t xml:space="preserve">roman-valentyn.tkachuk@bth.se; dragos.ilie@bth.se; remi.robert@ericsson.com; victor.kebande@bth.se; kurt.tutschku@bth.se</t>
  </si>
  <si>
    <t xml:space="preserve">Ilie, Dragos/AHE-6100-2022; R. Kebande, Victor/F-3934-2019; Tutschku, Kurt/B-4310-2013</t>
  </si>
  <si>
    <t xml:space="preserve">Tutschku, Kurt/0000-0003-4814-4428; Tkachuk, Roman-Valentyn/0000-0001-5458-5241</t>
  </si>
  <si>
    <t xml:space="preserve">Swedish Knowledge Foundation; Affarsverken Energi AB (Karlskrona, Sweden); Ericsson AB (Stockholm, Sweden)</t>
  </si>
  <si>
    <t xml:space="preserve">Swedish Knowledge Foundation; Affarsverken Energi AB (Karlskrona, Sweden); Ericsson AB (Stockholm, Sweden)(Ericsson)</t>
  </si>
  <si>
    <t xml:space="preserve">The work was partly sponsored by the Swedish Knowledge Foundation through the project Symphony - Supply-and-Demand-based Service Exposure using Robust Distributed Concepts where project partners are Ericsson AB (Stockholm, Sweden) and Affarsverken Energi AB (Karlskrona, Sweden).</t>
  </si>
  <si>
    <t xml:space="preserve">2162-3414</t>
  </si>
  <si>
    <t xml:space="preserve">979-8-3503-9804-5</t>
  </si>
  <si>
    <t xml:space="preserve">INT CONF INTELL NEXT</t>
  </si>
  <si>
    <t xml:space="preserve">10.1109/ICIN56760.2023.10073510</t>
  </si>
  <si>
    <t xml:space="preserve">Computer Science, Artificial Intelligence; Computer Science, Hardware &amp; Architecture; Computer Science, Theory &amp; Methods; Telecommunications</t>
  </si>
  <si>
    <t xml:space="preserve">BV2KK</t>
  </si>
  <si>
    <t xml:space="preserve">WOS:001006975300031</t>
  </si>
  <si>
    <t xml:space="preserve">Braunerhjelm, P</t>
  </si>
  <si>
    <t xml:space="preserve">Braunerhjelm, Pontus</t>
  </si>
  <si>
    <t xml:space="preserve">Rethinking stabilization policies; Including supply-side measures and entrepreneurial processes</t>
  </si>
  <si>
    <t xml:space="preserve">SMALL BUSINESS ECONOMICS</t>
  </si>
  <si>
    <t xml:space="preserve">Crisis; Stabilization policies; Supply side; Incentives; Entrepreneurs</t>
  </si>
  <si>
    <t xml:space="preserve">EXPECTATIONS; CRISIS</t>
  </si>
  <si>
    <t xml:space="preserve">Traditional macroeconomic stabilization policies seek to moderate swings in economic activity through measures that primarily augment aggregate demand. Such measures are, however, inadequate in mitigating the comprehensive effects of crisis such as the COVID-19, which affects both the demand and supply sides of the economy. Moreover, monetary policies are presently close to a liquidity trap combined with weakened transmission links to the real economy. Fiscal policies have been reactivated, albeit in an ad hoc and experimental manner. Based on a literature review and the policy responses following the COVID-19 crisis, the objective is to present a modified and extended framework for stabilization policies. In particular, the importance of microeconomic supply-side measures that promote entrepreneurial processes and knowledge-upgrading efforts are emphasized. Furthermore, a coherent realigning of policies at the micro- and macro-levels is argued to enhance the potential for long-term growth and to facilitate the restructuring of an economy that normally follows a crisis. Plain English Summary The COVID-19 crisis makes traditional stabilization policies obsolete. Reinstate the market and redirect policy from interest rates and unconditional state support toward providing employees and firms with adequate knowledge for future challenges. Traditional crises policies seek to moderate swings in economic activity by primarily lowering interest rates and increase governmental expenditure to stimulate demand and economic activity. However, the effectiveness of both of these measures has been questioned, in particular, further reductions in already extremely low-interest rates. The present COVID-19 crisis has highlighted the importance of taking firms, entrepreneurs, trade, etc., into account, i.e., the supply side of the economy. It is argued that traditional policies should partly be replaced by measures targeting entrepreneurial processes, firm growth, innovation, and knowledge upgrading. Corporate taxes should be used to increase firms' crisis resilience, increase investment, and encourage start-ups, while state support should be conditioned on employees engaging in knowledge upgrading. Hence, the main conclusion of this study is that such redirection of policies will more effectively level out swings in the business cycle, increase the potential for long-term growth, and make it easier for employees and firms to adjust to new economic conditions.</t>
  </si>
  <si>
    <t xml:space="preserve">[Braunerhjelm, Pontus] KTH Royal Inst Technol, Swedish Entrepreneurship Forum, Stockholm, Sweden; [Braunerhjelm, Pontus] Blekinge Inst Technol, Stockholm, Sweden; [Braunerhjelm, Pontus] KTH Royal Inst Technol, Swedish Entrepreneurship Forum, Karlskrona, Sweden; [Braunerhjelm, Pontus] Blekinge Inst Technol, Karlskrona, Sweden</t>
  </si>
  <si>
    <t xml:space="preserve">Royal Institute of Technology; Blekinge Institute Technology; Royal Institute of Technology; Blekinge Institute Technology</t>
  </si>
  <si>
    <t xml:space="preserve">Braunerhjelm, P (corresponding author), KTH Royal Inst Technol, Swedish Entrepreneurship Forum, Stockholm, Sweden.;Braunerhjelm, P (corresponding author), Blekinge Inst Technol, Stockholm, Sweden.;Braunerhjelm, P (corresponding author), KTH Royal Inst Technol, Swedish Entrepreneurship Forum, Karlskrona, Sweden.;Braunerhjelm, P (corresponding author), Blekinge Inst Technol, Karlskrona, Sweden.</t>
  </si>
  <si>
    <t xml:space="preserve">pontus.braunerhjelm@entreprenorskapsforum.se</t>
  </si>
  <si>
    <t xml:space="preserve">Royal Institute of Technology</t>
  </si>
  <si>
    <t xml:space="preserve">Royal Institute of Technology(Spanish Government)</t>
  </si>
  <si>
    <t xml:space="preserve">Open access funding provided by Royal Institute of Technology.</t>
  </si>
  <si>
    <t xml:space="preserve">0921-898X</t>
  </si>
  <si>
    <t xml:space="preserve">1573-0913</t>
  </si>
  <si>
    <t xml:space="preserve">SMALL BUS ECON</t>
  </si>
  <si>
    <t xml:space="preserve">Small Bus. Econ. Group</t>
  </si>
  <si>
    <t xml:space="preserve">10.1007/s11187-021-00520-6</t>
  </si>
  <si>
    <t xml:space="preserve">AUG 2021</t>
  </si>
  <si>
    <t xml:space="preserve">Business; Economics; Management</t>
  </si>
  <si>
    <t xml:space="preserve">YQ3EW</t>
  </si>
  <si>
    <t xml:space="preserve">WOS:000680780300001</t>
  </si>
  <si>
    <t xml:space="preserve">Dahl, M; Holmgren, J; Fredriksson, H; Laksman, E</t>
  </si>
  <si>
    <t xml:space="preserve">Dahl, Mattias; Holmgren, Johan; Fredriksson, Henrik; Laksman, Efraim</t>
  </si>
  <si>
    <t xml:space="preserve">Significant Route Identification using Daily 24-hour Traffic Flows</t>
  </si>
  <si>
    <t xml:space="preserve">2020 IEEE 23RD INTERNATIONAL CONFERENCE ON INTELLIGENT TRANSPORTATION SYSTEMS (ITSC)</t>
  </si>
  <si>
    <t xml:space="preserve">IEEE International Conference on Intelligent Transportation Systems-ITSC</t>
  </si>
  <si>
    <t xml:space="preserve">23rd IEEE International Conference on Intelligent Transportation Systems (ITSC)</t>
  </si>
  <si>
    <t xml:space="preserve">SEP 20-23, 2020</t>
  </si>
  <si>
    <t xml:space="preserve">Simulation and Modeling; Travel Behavior Under ITS</t>
  </si>
  <si>
    <t xml:space="preserve">ORIGIN-DESTINATION MATRIX; LOCATIONS; NETWORK</t>
  </si>
  <si>
    <t xml:space="preserve">Traffic flow estimates play a key role in traffic network management and planning of transportation networks. Commonly it is the average daily traffic (ADT) flow for different road segments that constitute the data. This paper shows how an advanced and detailed analysis based on hourly flow measurements over the day can contribute to a deeper understanding of how hourly flows together reflect the vehicles' routes. The proposed method identifies the shortest travel time paths between all possible origins and destinations in a transportation network, and thereafter it identifies the most significant routes in the network by performing statistical tests. For this purpose, the paper presents a mathematical model, a vehicle simulator based on this model, and a statistical framework that is able to find the most probable underlying routes. The paper contains a real test scenario based on 24-hour traffic flows (hour by hour) to demonstrate the applicability of the method.</t>
  </si>
  <si>
    <t xml:space="preserve">[Dahl, Mattias; Fredriksson, Henrik; Laksman, Efraim] Blekinge Inst Technol, Dept Math &amp; Nat Sci, S-37179 Karlskrona, Sweden; [Holmgren, Johan] Malmo Univ, Dept Comp Sci &amp; Media Technol, S-20506 Malmo, Sweden</t>
  </si>
  <si>
    <t xml:space="preserve">Blekinge Institute Technology; Malmo University</t>
  </si>
  <si>
    <t xml:space="preserve">Dahl, M (corresponding author), Blekinge Inst Technol, Dept Math &amp; Nat Sci, S-37179 Karlskrona, Sweden.</t>
  </si>
  <si>
    <t xml:space="preserve">mattias.dahl@bth.se; johan.holmgren@mau.se; henrik.fredriksson@bth.se</t>
  </si>
  <si>
    <t xml:space="preserve">Dahl, Mattias/AAE-8091-2022; Holmgren, Johan/J-1041-2014</t>
  </si>
  <si>
    <t xml:space="preserve">Fredriksson, Henrik/0009-0007-0868-9868</t>
  </si>
  <si>
    <t xml:space="preserve">Swedish Transport Agency; Swedish Transport Administration</t>
  </si>
  <si>
    <t xml:space="preserve">This work was supported by the Swedish Transport Agency and the Swedish Transport Administration.</t>
  </si>
  <si>
    <t xml:space="preserve">2153-0009</t>
  </si>
  <si>
    <t xml:space="preserve">978-1-7281-4149-7</t>
  </si>
  <si>
    <t xml:space="preserve">IEEE INT C INTELL TR</t>
  </si>
  <si>
    <t xml:space="preserve">10.1109/itsc45102.2020.9294400</t>
  </si>
  <si>
    <t xml:space="preserve">Engineering, Electrical &amp; Electronic; Transportation Science &amp; Technology</t>
  </si>
  <si>
    <t xml:space="preserve">Engineering; Transportation</t>
  </si>
  <si>
    <t xml:space="preserve">BS0GS</t>
  </si>
  <si>
    <t xml:space="preserve">WOS:000682770701062</t>
  </si>
  <si>
    <t xml:space="preserve">Conventional SAR Change Detection Using Methods for Non-conventional SAR</t>
  </si>
  <si>
    <t xml:space="preserve">2020 IEEE INTERNATIONAL RADAR CONFERENCE (RADAR)</t>
  </si>
  <si>
    <t xml:space="preserve">IEEE International Radar Conference (RADAR)</t>
  </si>
  <si>
    <t xml:space="preserve">APR 28-30, 2020</t>
  </si>
  <si>
    <t xml:space="preserve">IEEE,IEEE Signal Proc Soc,APS,IEEE GRSS,IEEE Aerosp &amp; Elect Syst Soc,MTT S</t>
  </si>
  <si>
    <t xml:space="preserve">Conventional SAR refers to SAR systems with small fractional bandwidth and short relative aperture whereas non-conventional SAR refers to SAR systems with large fractional bandwidth and long relative aperture. A large number of change detection methods has been developed for non-conventional SAR that can provide high detection probability and low false alarm rate. A research question is that whether these change detection methods are available for conventional SAR or not. In this study, we will try to answer this research question by applying a change detection method developed for non-conventional SAR system to conventional SAR system.</t>
  </si>
  <si>
    <t xml:space="preserve">[Vu, Viet T.; Pettersson, Mats, I] Blekinge Inst Technol, S-37179 Karlskrona, Sweden; [Sjogren, Thomas K.] Swedish Def Res Agcy, S-58330 Linkoping, Sweden</t>
  </si>
  <si>
    <t xml:space="preserve">viet.thuy.vu@bth.se; thomas.sjogren@foi.se</t>
  </si>
  <si>
    <t xml:space="preserve">978-1-7281-6813-5</t>
  </si>
  <si>
    <t xml:space="preserve">10.1109/radar42522.2020.9114554</t>
  </si>
  <si>
    <t xml:space="preserve">BQ5ZP</t>
  </si>
  <si>
    <t xml:space="preserve">WOS:000609822500069</t>
  </si>
  <si>
    <t xml:space="preserve">ENHANCING CONVENTIONAL SAR CHANGE DETECTION PERFORMANCE WITH APODIZATION</t>
  </si>
  <si>
    <t xml:space="preserve">Change detection; SAR; TerraSAR-X/TanDEM-X; CARABAS</t>
  </si>
  <si>
    <t xml:space="preserve">Conventional SAR refers to systems with small fractional bandwidth and short relative aperture whereas non-conventional SAR refers to systems with large fractional bandwidth and long relative aperture. The change detection methods developed for non-conventional SAR have been shown to be applicable to conventional SAR systems. However, the differences in characteristics of non-conventional and conventional SAR, especially spatial resolutions, degrade the change detection performance and cause some difficulties in evaluating change detection results when applying these methods to conventional SAR. SAR apodization, the effects of SAR apodization on change detection performance and change detection evaluation are investigated in this study.</t>
  </si>
  <si>
    <t xml:space="preserve">10.1109/IGARSS39084.2020.9323427</t>
  </si>
  <si>
    <t xml:space="preserve">WOS:000664335302010</t>
  </si>
  <si>
    <t xml:space="preserve">Silva, L; Unterkalmsteiner, M; Wnuk, K</t>
  </si>
  <si>
    <t xml:space="preserve">Silva, Lakmal; Unterkalmsteiner, Michael; Wnuk, Krzysztof</t>
  </si>
  <si>
    <t xml:space="preserve">Towards identifying and minimizing customer-facing documentation debt</t>
  </si>
  <si>
    <t xml:space="preserve">2023 ACM/IEEE INTERNATIONAL CONFERENCE ON TECHNICAL DEBT, TECHDEBT</t>
  </si>
  <si>
    <t xml:space="preserve">6th ACM/IEEE International Conference on Technical Debt (TechDebt)</t>
  </si>
  <si>
    <t xml:space="preserve">Documentation Debt; Technical Debt; Automation</t>
  </si>
  <si>
    <t xml:space="preserve">Background: Software documentation often struggles to catch up with the pace of software evolution. The lack of correct, complete, and up-to-date documentation results in an increasing number of documentation defects which could introduce delays in integrating software systems. In our previous study on a bug analysis tool called MultiDimEr, we provided evidence that documentation-related defects contribute to a significant number of bug reports. Aims: First, we want to identify documentation defect types contributing to documentation defects and thereby identifying documentation debt. Secondly, we aim to find pragmatic solutions to minimize most common documentation defects to pay off the documentation debt in the long run. Method: We investigated documentation defects related to an industrial software system. First, we looked at the types of different documentation and associated bug reports. We categorized the defects according to an existing documentation defect taxonomy. Results: Based on a sample of 101 defects, we found that a majority of defects are caused by documentation defects falling into the Information Content (What) category (86). Within this category, the documentation defect types Erroneous code examples (23), Missing documentation (35), and Outdated content (19) contributed to most of the documentation defects. We propose to adapt two solutions to mitigate these types of documentation defects. Conclusions: In practice, documentation debt can easily go undetected since a large share of resources and focus is dedicated to deliver high-quality software. This study provides evidence that documentation debt can contribute to increase in maintenance costs due to the number of documentation defects. We suggest to adapt two main solutions to tackle documentation debt by implementing (i) Dynamic Documentation Generation (DDG) and/or (ii) Automated Documentation Testing (ADT), which are both based on defining a single and robust information source for documentation.</t>
  </si>
  <si>
    <t xml:space="preserve">[Silva, Lakmal; Unterkalmsteiner, Michael; Wnuk, Krzysztof] Blekinge Inst Technol, Dept Software Engn, Karlskrona, Sweden; [Silva, Lakmal] Ericsson AB, Karlskrona, Sweden</t>
  </si>
  <si>
    <t xml:space="preserve">Silva, L (corresponding author), Blekinge Inst Technol, Dept Software Engn, Karlskrona, Sweden.;Silva, L (corresponding author), Ericsson AB, Karlskrona, Sweden.</t>
  </si>
  <si>
    <t xml:space="preserve">lakmal.silva@bth.se; michael.unterkalmsteiner@bth.se; krzysztof.wnuk@bth.se</t>
  </si>
  <si>
    <t xml:space="preserve">Silva, Ruwan/C-5872-2019</t>
  </si>
  <si>
    <t xml:space="preserve">Silva, Ruwan/0000-0002-5027-9316</t>
  </si>
  <si>
    <t xml:space="preserve">979-8-3503-1194-5</t>
  </si>
  <si>
    <t xml:space="preserve">10.1109/TechDebt59074.2023.00015</t>
  </si>
  <si>
    <t xml:space="preserve">BV5OS</t>
  </si>
  <si>
    <t xml:space="preserve">WOS:001051233000009</t>
  </si>
  <si>
    <t xml:space="preserve">Zabardast, E; Bennin, KE; Gonzalez-Huerta, J</t>
  </si>
  <si>
    <t xml:space="preserve">Zabardast, Ehsan; Bennin, Kwabena Ebo; Gonzalez-Huerta, Javier</t>
  </si>
  <si>
    <t xml:space="preserve">Further investigation of the survivability of code technical debt items</t>
  </si>
  <si>
    <t xml:space="preserve">bugs; code smells; code technical debt items; survivability; vulnerabilities</t>
  </si>
  <si>
    <t xml:space="preserve">SMELLS; SOFTWARE; MANAGEMENT</t>
  </si>
  <si>
    <t xml:space="preserve">Context: Technical debt (TD) discusses the negative impact of sub-optimal decisions to cope with the need-for-speed in software development. Code technical debt items (TDI) are atomic elements of TD that can be observed in code artifacts. Empirical results on open-source systems demonstrated how code-smells, which are just one type of TDIs, are introduced and survive during release cycles. However, little is known about whether the results on the survivability of code-smells hold for other types of code TDIs (i.e., bugs and vulnerabilities) and in industrial settings. Goal: Understanding the survivability of code TDIs by conducting an empirical study analyzing two industrial cases and 31 open-source systems from Apache Foundation. Method: We analyzed 133,670 code TDIs (35,703 from the industrial systems) detected by SonarQube (in 193,196 commits) to assess their survivability using survivability models. Results: In general, code TDIs tend to remain and linger for long periods in open-source systems, whereas they are removed faster in industrial systems. Code TDIs that survive over a certain threshold tend to remain much longer, which confirms previous results. Our results also suggest that bugs tend to be removed faster, while code smells and vulnerabilities tend to survive longer.</t>
  </si>
  <si>
    <t xml:space="preserve">[Zabardast, Ehsan; Gonzalez-Huerta, Javier] Blekinge Inst Technol, Software Engn Res Lab SERL, Campus Karlskrona,Valhallavge 1, Blekinge, Sweden; [Bennin, Kwabena Ebo] Wageningen Univ &amp; Res, Informat Technol Grp, Wageningen, Netherlands</t>
  </si>
  <si>
    <t xml:space="preserve">Blekinge Institute Technology; Wageningen University &amp; Research</t>
  </si>
  <si>
    <t xml:space="preserve">Zabardast, E (corresponding author), Blekinge Inst Technol, Software Engn Res Lab SERL, Campus Karlskrona,Valhallavge 1, Blekinge, Sweden.</t>
  </si>
  <si>
    <t xml:space="preserve">ehsan.zabardast@bth.se</t>
  </si>
  <si>
    <t xml:space="preserve">Gonzalez-Huerta, Javier/0000-0003-1350-7030; Bennin, Kwabena/0000-0001-9140-9271; Zabardast, Ehsan/0000-0002-1729-5154</t>
  </si>
  <si>
    <t xml:space="preserve">KK foundation through the SHADE KK-Hog project [2017/0176]; Research Profile project SERT under Blekinge Institute of Technology, SERL Sweden [2018/010]</t>
  </si>
  <si>
    <t xml:space="preserve">KK foundation through the SHADE KK-Hog project; Research Profile project SERT under Blekinge Institute of Technology, SERL Sweden</t>
  </si>
  <si>
    <t xml:space="preserve">This research was supported by the KK foundation through the SHADE KK-Hog project under grant 2017/0176 and Research Profile project SERT under grant 2018/010 at Blekinge Institute of Technology, SERL Sweden.</t>
  </si>
  <si>
    <t xml:space="preserve">e2425</t>
  </si>
  <si>
    <t xml:space="preserve">10.1002/smr.2425</t>
  </si>
  <si>
    <t xml:space="preserve">YW3RG</t>
  </si>
  <si>
    <t xml:space="preserve">WOS:000740993400001</t>
  </si>
  <si>
    <t xml:space="preserve">Bratt, C; Sroufe, R; Broman, G</t>
  </si>
  <si>
    <t xml:space="preserve">Bratt, Cecilia; Sroufe, Robert; Broman, Goran</t>
  </si>
  <si>
    <t xml:space="preserve">Implementing Strategic Sustainable Supply Chain Management</t>
  </si>
  <si>
    <t xml:space="preserve">case study; organizational learning; strategic sustainable development; sustainable supply chain management; sustainability</t>
  </si>
  <si>
    <t xml:space="preserve">SOCIAL SUSTAINABILITY; DYNAMIC CAPABILITIES; FRAMEWORK; INTEGRATION; PROCUREMENT; KNOWLEDGE; TRUST</t>
  </si>
  <si>
    <t xml:space="preserve">Despite increasing business interest in sustainability in general and in sustainable supply chain management (SSCM), the ability to increase suppliers' ecological and social performance is generally insufficient for many companies. In this study, we outline an implementation process model for sustainable supply chain management. We do so by synthesizing insights from a review of the sustainable supply chain management and organizational learning literature and a case study with a company aspiring to become a global leader in sustainable lighting. By combining these insights, we find that successful implementation of sustainable supply chain management requires sustainability to be anchored in a company's vision and integrated into all functions. We also argue that organizational learning, especially learning with external stakeholders such as suppliers, an operational definition of socioecological sustainability among stakeholders, and procedural support for the cocreation of strategic plans for change are vital for achieving a truly sustainable supply chain. This definition and cocreation allow for attention to be directed toward strategic ecological and social practices, along with the joint handling of tradeoffs and economic considerations among stakeholders. As we build a foundation for an SSCM implementation process model, we use a science-based framework for strategic sustainable development. We call for more action-based research to uncover the complex nature of sustainable supply chain management, as there are unique challenges and dynamic relationships in every supply chain.</t>
  </si>
  <si>
    <t xml:space="preserve">[Bratt, Cecilia; Broman, Goran] Blekinge Inst Technol, Fac Engn, Dept Strateg Sustainable Dev, S-37179 Karlskrona, Sweden; [Sroufe, Robert] Duquesne Univ, Donahue Sch Business, Management Dept, MBA Sustainable Business Practices Program, Pittsburgh, PA 15238 USA</t>
  </si>
  <si>
    <t xml:space="preserve">Blekinge Institute Technology; Duquesne University</t>
  </si>
  <si>
    <t xml:space="preserve">Sroufe, R (corresponding author), Duquesne Univ, Donahue Sch Business, Management Dept, MBA Sustainable Business Practices Program, Pittsburgh, PA 15238 USA.</t>
  </si>
  <si>
    <t xml:space="preserve">cecilia.bratt@bth.se; sroufer@duq.edu; cecilia.bratt@bth.se</t>
  </si>
  <si>
    <t xml:space="preserve">Sroufe, Robert/D-6161-2016</t>
  </si>
  <si>
    <t xml:space="preserve">Sroufe, Robert/0000-0002-7903-9180</t>
  </si>
  <si>
    <t xml:space="preserve">Financial support from the Knowledge Foundation in Sweden is gratefully acknowledged. The authors sincerely thank the industrial research partner, interviewees, and workshop participants.</t>
  </si>
  <si>
    <t xml:space="preserve">10.3390/su13158132</t>
  </si>
  <si>
    <t xml:space="preserve">TW2EJ</t>
  </si>
  <si>
    <t xml:space="preserve">WOS:000682220000001</t>
  </si>
  <si>
    <t xml:space="preserve">Nass, M; Alégroth, E; Feldt, R</t>
  </si>
  <si>
    <t xml:space="preserve">Nass, Michel; Alegroth, Emil; Feldt, Robert</t>
  </si>
  <si>
    <t xml:space="preserve">Why many challenges with GUI test automation (will) remain</t>
  </si>
  <si>
    <t xml:space="preserve">System testing; GUI testing; Test automation; Systematic literature review</t>
  </si>
  <si>
    <t xml:space="preserve">Context: Automated testing is ubiquitous in modern software development and used to verify requirement conformance on all levels of system abstraction, including the system's graphical user interface (GUI). GUIbased test automation, like other automation, aims to reduce the cost and time for testing compared to alternative, manual approaches. Automation has been successful in reducing costs for other forms of testing (like unit- or integration testing) in industrial practice. However, we have not yet seen the same convincing results for automated GUI-based testing, which has instead been associated with multiple technical challenges. Furthermore, the software industry has struggled with some of these challenges for more than a decade with what seems like only limited progress. Objective: This systematic literature review takes a longitudinal perspective on GUI test automation challenges by identifying them and then investigating why the field has been unable to mitigate them for so many years. Method: The review is based on a final set of 49 publications, all reporting empirical evidence from practice or industrial studies. Statements from the publications are synthesized, based on a thematic coding, into 24 challenges related to GUI test automation. Results: The most reported challenges were mapped chronologically and further analyzed to determine how they and their proposed solutions have evolved over time. This chronological mapping of reported challenges shows that four of them have existed for almost two decades. Conclusion: Based on the analysis, we discuss why the key challenges with GUI-based test automation are still present and why some will likely remain in the future. For others, we discuss possible ways of how the challenges can be addressed. Further research should focus on finding solutions to the identified technical challenges with GUI-based test automation that can be resolved or mitigated. However, in parallel, we also need to acknowledge and try to overcome non-technical challenges.</t>
  </si>
  <si>
    <t xml:space="preserve">[Nass, Michel] Blekinge Inst Technol, H SERL, Karlskrona, Sweden; [Alegroth, Emil; Feldt, Robert] Blekinge Inst Technol, P SERL, Karlskrona, Sweden; [Feldt, Robert] Chalmers Univ Technol, Gothenburg, Sweden</t>
  </si>
  <si>
    <t xml:space="preserve">Blekinge Institute Technology; Blekinge Institute Technology; Chalmers University of Technology</t>
  </si>
  <si>
    <t xml:space="preserve">Nass, M (corresponding author), Blekinge Inst Technol, H SERL, Karlskrona, Sweden.</t>
  </si>
  <si>
    <t xml:space="preserve">michel.nass@bth.se; emil.alegroth@bth.se; robert.feldt@chalmers.se</t>
  </si>
  <si>
    <t xml:space="preserve">Nass, Michel/0000-0002-8569-2290</t>
  </si>
  <si>
    <t xml:space="preserve">KS foundation, Sweden through the S.E.R.T. Research Profile project at Blekinge Institute of Technology</t>
  </si>
  <si>
    <t xml:space="preserve">10.1016/j.infsof.2021.106625</t>
  </si>
  <si>
    <t xml:space="preserve">TI1GV</t>
  </si>
  <si>
    <t xml:space="preserve">WOS:000672531500005</t>
  </si>
  <si>
    <t xml:space="preserve">Sala, R; Bertoni, M; Pirola, F; Pezzotta, G</t>
  </si>
  <si>
    <t xml:space="preserve">Sala, Roberto; Bertoni, Marco; Pirola, Fabiana; Pezzotta, Giuditta</t>
  </si>
  <si>
    <t xml:space="preserve">Data-based decision-making in maintenance service delivery: the D3M framework</t>
  </si>
  <si>
    <t xml:space="preserve">JOURNAL OF MANUFACTURING TECHNOLOGY MANAGEMENT</t>
  </si>
  <si>
    <t xml:space="preserve">Maintenance; Decision-making; Continuous improvement; Service operations; Servitization</t>
  </si>
  <si>
    <t xml:space="preserve">PRODUCT; MANAGEMENT; KNOWLEDGE; SYSTEMS; TRANSFORMATION; METHODOLOGY; OPERATIONS; SELECTION; STRATEGY; DESIGN</t>
  </si>
  <si>
    <t xml:space="preserve">PurposeThis paper aims to present a dual-perspective framework for maintenance service delivery that should be used by manufacturing companies to structure and manage their maintenance service delivery process, using aggregated historical and real-time data to improve operational decision-making. The framework, built for continuous improvement, allows the exploitation of maintenance data to improve the knowledge of service processes and machines.Design/methodology/approachThe Dual-perspective, data-based decision-making process for maintenance delivery (D3M) framework development and test followed a qualitative approach based on literature reviews and semi-structured interviews. The pool of companies interviewed was expanded from the development to the test stage to increase its applicability and present additional perspectives.FindingsThe interviews confirmed that manufacturing companies are interested in exploiting the data generated in the use phase to improve operational decision-making in maintenance service delivery. Feedback to improve the framework methods and tools was collected, as well as suggestions for the introduction of new ones according to the companies' necessities.Originality/valueThe paper presents a novel framework addressing the data-based decision-making process for maintenance service delivery. The D3M framework can be used by manufacturing companies to structure their maintenance service delivery process and improve their knowledge of machines and service processes.</t>
  </si>
  <si>
    <t xml:space="preserve">[Sala, Roberto; Pirola, Fabiana; Pezzotta, Giuditta] Univ Bergamo, Dept Management Informat &amp; Prod Engn, Bergamo, Italy; [Bertoni, Marco] Blekinge Inst Technol, Dept Mech Engn, Karlskrona, Sweden</t>
  </si>
  <si>
    <t xml:space="preserve">University of Bergamo; Blekinge Institute Technology</t>
  </si>
  <si>
    <t xml:space="preserve">Sala, R (corresponding author), Univ Bergamo, Dept Management Informat &amp; Prod Engn, Bergamo, Italy.</t>
  </si>
  <si>
    <t xml:space="preserve">roberto.sala@unibg.it</t>
  </si>
  <si>
    <t xml:space="preserve">; Sala, Roberto/D-8617-2017; Bertoni, Marco/P-6226-2014; Pezzotta, Giuditta/AAF-2297-2021</t>
  </si>
  <si>
    <t xml:space="preserve">Pirola, Fabiana/0000-0003-4633-7568; Sala, Roberto/0000-0001-7671-6927; Bertoni, Marco/0000-0002-5076-3300; Pezzotta, Giuditta/0000-0001-7983-8356</t>
  </si>
  <si>
    <t xml:space="preserve">EMERALD GROUP PUBLISHING LTD</t>
  </si>
  <si>
    <t xml:space="preserve">BINGLEY</t>
  </si>
  <si>
    <t xml:space="preserve">HOWARD HOUSE, WAGON LANE, BINGLEY BD16 1WA, W YORKSHIRE, ENGLAND</t>
  </si>
  <si>
    <t xml:space="preserve">1741-038X</t>
  </si>
  <si>
    <t xml:space="preserve">1758-7786</t>
  </si>
  <si>
    <t xml:space="preserve">J MANUF TECHNOL MANA</t>
  </si>
  <si>
    <t xml:space="preserve">J. Manuf. Technol. Manag.</t>
  </si>
  <si>
    <t xml:space="preserve">APR 29</t>
  </si>
  <si>
    <t xml:space="preserve">10.1108/JMTM-08-2020-0301</t>
  </si>
  <si>
    <t xml:space="preserve">Engineering, Industrial; Engineering, Manufacturing; Management</t>
  </si>
  <si>
    <t xml:space="preserve">Engineering; Business &amp; Economics</t>
  </si>
  <si>
    <t xml:space="preserve">ZI6JE</t>
  </si>
  <si>
    <t xml:space="preserve">WOS:000761724400001</t>
  </si>
  <si>
    <t xml:space="preserve">Dellkvist, H; Dallora, AL; Christiansen, L; Skär, L</t>
  </si>
  <si>
    <t xml:space="preserve">Dellkvist, Helen; Dallora, Ana Luiza; Christiansen, Line; Skar, Lisa</t>
  </si>
  <si>
    <t xml:space="preserve">The use of a digital life story to support person-centred care of older adults with dementia: A scoping review</t>
  </si>
  <si>
    <t xml:space="preserve">DIGITAL HEALTH</t>
  </si>
  <si>
    <t xml:space="preserve">Digital life story; life story; person-centred care; residential care; scoping review</t>
  </si>
  <si>
    <t xml:space="preserve">COMMUNICATION SUPPORT; PEOPLE; REMINISCENCE; TECHNOLOGIES; INDIVIDUALS; EXPERIENCES; MEMORY; HOMES; WORK; ME</t>
  </si>
  <si>
    <t xml:space="preserve">Introduction A life story (LS) is a tool healthcare professionals (HCPs) use to help older adults with dementia preserve their identities by sharing their stories. Applied health technology can be considered a niche within welfare technology. Combining technology and nursing, such as using life stories in digital form, may support person-centred care and allow HCPs to see the person behind the disease.Objective The study's objective was to summarise and describe the use of life stories in digital form in the daily care of older adults with dementia.Methods A scoping review was conducted in five stages. Database searches were conducted in Cinahl, PubMed, Scopus, Web of Science, and Google Scholar; 31 articles were included. A conventional qualitative content analysis of the collected data was conducted.Results The qualitative analysis resulted in three categories: (1) benefits for older adults, (2) influence on HCPs' work, and (3) obstacles to implementing a digital LS in daily care.Conclusion Older adults with dementia can receive person-centred care through a digital LS based on their wishes. A digital LS can enable symmetric communication and serve as an intergenerational communication tool. It can be used to handle behavioural symptoms. Using a digital LS in the later stages of dementia may differ from using it earlier in dementia. However, it may compensate for weakening abilities in older adults by enhancing social interaction.</t>
  </si>
  <si>
    <t xml:space="preserve">[Dellkvist, Helen; Dallora, Ana Luiza; Christiansen, Line] Blekinge Inst Technol, Dept Hlth, Karlskrona, Sweden; [Skar, Lisa] Kristianstad Univ, Fac Hlth Sci, Kristianstad, Sweden; [Dellkvist, Helen] Blekinge Inst Technol, S-37179 Karlskrona, Sweden</t>
  </si>
  <si>
    <t xml:space="preserve">Blekinge Institute Technology; Kristianstad University; Blekinge Institute Technology</t>
  </si>
  <si>
    <t xml:space="preserve">Dellkvist, H (corresponding author), Blekinge Inst Technol, S-37179 Karlskrona, Sweden.</t>
  </si>
  <si>
    <t xml:space="preserve">helen.dellkvist@bth.se</t>
  </si>
  <si>
    <t xml:space="preserve">Christiansen, Line/AFL-6657-2022</t>
  </si>
  <si>
    <t xml:space="preserve">Dellkvist, Helen/0000-0002-9261-4784; Skar, Lisa/0000-0002-5731-2799</t>
  </si>
  <si>
    <t xml:space="preserve">Blekinge Tekniska Hgskola; Swedish National Graduate School on Ageing and Health</t>
  </si>
  <si>
    <t xml:space="preserve">We thank the Swedish National Graduate School on Ageing and Health for supporting the learning process.</t>
  </si>
  <si>
    <t xml:space="preserve">SAGE PUBLICATIONS LTD</t>
  </si>
  <si>
    <t xml:space="preserve">1 OLIVERS YARD, 55 CITY ROAD, LONDON EC1Y 1SP, ENGLAND</t>
  </si>
  <si>
    <t xml:space="preserve">2055-2076</t>
  </si>
  <si>
    <t xml:space="preserve">DIGIT HEALTH</t>
  </si>
  <si>
    <t xml:space="preserve">Digit. Health</t>
  </si>
  <si>
    <t xml:space="preserve">10.1177/20552076241241231</t>
  </si>
  <si>
    <t xml:space="preserve">Health Care Sciences &amp; Services; Health Policy &amp; Services; Public, Environmental &amp; Occupational Health; Medical Informatics</t>
  </si>
  <si>
    <t xml:space="preserve">Health Care Sciences &amp; Services; Public, Environmental &amp; Occupational Health; Medical Informatics</t>
  </si>
  <si>
    <t xml:space="preserve">LN0B1</t>
  </si>
  <si>
    <t xml:space="preserve">WOS:001187351500001</t>
  </si>
  <si>
    <t xml:space="preserve">Vu, VT; Ivanenko, Y; Pettersson, M; Batra, A; Kaiser, T</t>
  </si>
  <si>
    <t xml:space="preserve">Vu, Viet Thuy; Ivanenko, Yevhen; Pettersson, Mats, I; Batra, Aman; Kaiser, Thomas</t>
  </si>
  <si>
    <t xml:space="preserve">3D Hyper-accurate Localization in Indoor Environment for Mobile Equipment</t>
  </si>
  <si>
    <t xml:space="preserve">6G; FMCW radar; localization; backprojection</t>
  </si>
  <si>
    <t xml:space="preserve">A solution for the three-dimensional (3D) hyper-accurate localization in indoor environment for mobile equipment problem can be based on radar systems. Mobile equipment with an integrated radar system is known as a joint radar-communication (JRC) system or a joint communication and sensing (JCAS) system. The paper proposes an approach for 3D hyper-accurate localization in indoor environment without modifications of cellular network infrastructure. The simulations and experiments show the feasibility of the proposal.</t>
  </si>
  <si>
    <t xml:space="preserve">[Vu, Viet Thuy; Ivanenko, Yevhen; Pettersson, Mats, I] Blekinge Inst Technol, Karlskrona, Sweden; [Batra, Aman; Kaiser, Thomas] Univ Duisburg Essen, Duisburg, Germany</t>
  </si>
  <si>
    <t xml:space="preserve">viet.thuy.vu@bth.se; yevhen.ivanenko@bth.se; aman.batra@uni-due.de; thomas.kaiser@uni-due.de</t>
  </si>
  <si>
    <t xml:space="preserve">Crafoord Foundation, Sweden [20230898]; Deutsche Forschungsgemeinschaft (DFG, German Research Foundation) [287022738 TRR 196]</t>
  </si>
  <si>
    <t xml:space="preserve">Crafoord Foundation, Sweden; Deutsche Forschungsgemeinschaft (DFG, German Research Foundation)(German Research Foundation (DFG))</t>
  </si>
  <si>
    <t xml:space="preserve">This work was supported by the Crafoord Foundation, Sweden, (Crafoordska stiftelsen) under Project 20230898 and the Deutsche Forschungsgemeinschaft (DFG, German Research Foundation) Project-ID 287022738 TRR 196 for associated project S05.</t>
  </si>
  <si>
    <t xml:space="preserve">10.1109/ICCE62051.2024.10634739</t>
  </si>
  <si>
    <t xml:space="preserve">WOS:001327716100125</t>
  </si>
  <si>
    <t xml:space="preserve">Backman, M; Karlsson, C</t>
  </si>
  <si>
    <t xml:space="preserve">Backman, Mikaela; Karlsson, Charlie</t>
  </si>
  <si>
    <t xml:space="preserve">Ageing places: convergence and the role of the foreign population</t>
  </si>
  <si>
    <t xml:space="preserve">REGIONAL STUDIES</t>
  </si>
  <si>
    <t xml:space="preserve">ageing; location; international migration; convergence</t>
  </si>
  <si>
    <t xml:space="preserve">ECONOMIC-GROWTH; MIGRATION; IMPACT; FUTURE; CITIES; SEGREGATION; DEPENDENCE; AMENITIES; DYNAMICS; WELFARE</t>
  </si>
  <si>
    <t xml:space="preserve">Using data for over four decades, we examine the ageing of Swedish municipalities and if there has been convergence or divergence across time and space, where we differentiate across the urban-rural hierarchy. As migration is claimed to be a moderating factor in the ageing of places, we assess how the share of immigrants relates to ageing patterns. Our findings show that the share of older individuals increases in more peripheral localities and that there has been convergence across municipalities. However, the share of foreign population is negatively related to the ageing profile of a place.</t>
  </si>
  <si>
    <t xml:space="preserve">[Backman, Mikaela; Karlsson, Charlie] Jonkoping Int Business Sch, Ctr Entrepreneurship &amp; Spatial Econ CEnSE, Jonkoping, Sweden; [Karlsson, Charlie] Blekinge Inst Technol, Karlskrona, Sweden</t>
  </si>
  <si>
    <t xml:space="preserve">Jonkoping University; Blekinge Institute Technology</t>
  </si>
  <si>
    <t xml:space="preserve">Backman, M (corresponding author), Jonkoping Int Business Sch, Ctr Entrepreneurship &amp; Spatial Econ CEnSE, Jonkoping, Sweden.</t>
  </si>
  <si>
    <t xml:space="preserve">mikaela.backman@ju.se</t>
  </si>
  <si>
    <t xml:space="preserve">Karlsson, Charlie/JQP-0947-2023</t>
  </si>
  <si>
    <t xml:space="preserve">Karlsson, Charlie/0000-0002-1315-9753</t>
  </si>
  <si>
    <t xml:space="preserve">Marianne and Marcus Wallenbergs Foundation, Sweden [MMW 2018.0049]</t>
  </si>
  <si>
    <t xml:space="preserve">Marianne and Marcus Wallenbergs Foundation, Sweden</t>
  </si>
  <si>
    <t xml:space="preserve">The authors are grateful for the financial support from the Marianne and Marcus Wallenbergs Foundation, Sweden [grant number MMW 2018.0049], for the project grant Ageing and Entrepreneurship'.</t>
  </si>
  <si>
    <t xml:space="preserve">0034-3404</t>
  </si>
  <si>
    <t xml:space="preserve">1360-0591</t>
  </si>
  <si>
    <t xml:space="preserve">REG STUD</t>
  </si>
  <si>
    <t xml:space="preserve">Reg. Stud.</t>
  </si>
  <si>
    <t xml:space="preserve">MAY 3</t>
  </si>
  <si>
    <t xml:space="preserve">10.1080/00343404.2023.2228347</t>
  </si>
  <si>
    <t xml:space="preserve">Economics; Environmental Studies; Geography; Regional &amp; Urban Planning</t>
  </si>
  <si>
    <t xml:space="preserve">Business &amp; Economics; Environmental Sciences &amp; Ecology; Geography; Public Administration</t>
  </si>
  <si>
    <t xml:space="preserve">NL3Q5</t>
  </si>
  <si>
    <t xml:space="preserve">WOS:001043581800001</t>
  </si>
  <si>
    <t xml:space="preserve">Olsson, O</t>
  </si>
  <si>
    <t xml:space="preserve">Olsson, Ola</t>
  </si>
  <si>
    <t xml:space="preserve">Backer behaviors - changing investment dynamics in equity crowdfunding markets</t>
  </si>
  <si>
    <t xml:space="preserve">BALTIC JOURNAL OF MANAGEMENT</t>
  </si>
  <si>
    <t xml:space="preserve">Equity crowdfunding; Backer behaviors; Investment dynamics; Investment uncertainty; Collective attention effects</t>
  </si>
  <si>
    <t xml:space="preserve">COMMUNICATION; CROWD</t>
  </si>
  <si>
    <t xml:space="preserve">PurposeThis study aims to establish the shape of investment dynamics in equity crowdfunding to better understand backer behavior.Design/methodology/approachThis study provides insights into when backers invest in successful funding campaigns. It uses t-tests to compare differences in means between observation windows during successful funding campaigns. It is based on 4,938 transactions from 61 campaigns, focusing on the first and last tail ends.FindingsIn contrast to previous findings, the current investment dynamics seem more U-shaped than L-shaped. This supports previous findings about a strong start but also suggests a late collective attention effect. The strength is higher at the first tail end. However, differences in the later tail ends are statistically significant and emphasize the presence of late investment activities, especially in crowded or less complex campaigns.Practical implicationsThese findings emphasize the importance of signaling during the entire funding window. This encourages platforms to invest in user-friendly functionalities that guide entrepreneurs and help backers when investing in successful campaigns.Originality/valueThis study improves the understanding of backer behavior and suggests changing investment dynamics in equity crowdfunding. In addition, this pattern contrasts with previous findings on dynamic collective attention effects in rich digitally informative markets, implying two attention effects when uncertainty is high.</t>
  </si>
  <si>
    <t xml:space="preserve">[Olsson, Ola] Blekinge Inst Technol, Dept Ind Econ, Karlskrona, Sweden; [Olsson, Ola] Kristianstad Univ, Dept Business, Kristianstad, Sweden</t>
  </si>
  <si>
    <t xml:space="preserve">Olsson, O (corresponding author), Blekinge Inst Technol, Dept Ind Econ, Karlskrona, Sweden.;Olsson, O (corresponding author), Kristianstad Univ, Dept Business, Kristianstad, Sweden.</t>
  </si>
  <si>
    <t xml:space="preserve">ola.olsson@hkr.se</t>
  </si>
  <si>
    <t xml:space="preserve">Olsson, Ola/0000-0001-8861-5656</t>
  </si>
  <si>
    <t xml:space="preserve">Management and IT (MIT), Uppsala, Sweden; Governance, Regulation, Internationalization and Performance (GRIP), Kristianstad, Sweden</t>
  </si>
  <si>
    <t xml:space="preserve">This research was partly funded by the research school Management and IT (MIT), Uppsala, Sweden, and the research environment Governance, Regulation, Internationalization and Performance (GRIP), Kristianstad, Sweden.</t>
  </si>
  <si>
    <t xml:space="preserve">1746-5265</t>
  </si>
  <si>
    <t xml:space="preserve">1746-5273</t>
  </si>
  <si>
    <t xml:space="preserve">BALT J MANAG</t>
  </si>
  <si>
    <t xml:space="preserve">Balt. J. Manag.</t>
  </si>
  <si>
    <t xml:space="preserve">APR 21</t>
  </si>
  <si>
    <t xml:space="preserve">10.1108/BJM-06-2022-0210</t>
  </si>
  <si>
    <t xml:space="preserve">E6XM0</t>
  </si>
  <si>
    <t xml:space="preserve">WOS:000976948900001</t>
  </si>
  <si>
    <t xml:space="preserve">Wälitalo, L; Callaghan, E; Robèrt, KH; Broman, G</t>
  </si>
  <si>
    <t xml:space="preserve">Walitalo, Lisa; Callaghan, Edith; Robert, Karl-Henrik; Broman, Göran</t>
  </si>
  <si>
    <t xml:space="preserve">Understanding governance barriers and enablers for municipal and regional transition towards sustainability-Presenting a comprehensive diagnostic tool based on six case studies in Sweden</t>
  </si>
  <si>
    <t xml:space="preserve">GEO-GEOGRAPHY AND ENVIRONMENT</t>
  </si>
  <si>
    <t xml:space="preserve">barriers and enablers; diagnostic tool; municipalities and regions; strategic sustainable development; sustainability transition</t>
  </si>
  <si>
    <t xml:space="preserve">STRATEGIC THINKING; MANAGEMENT; FRAMEWORK; DRIVERS</t>
  </si>
  <si>
    <t xml:space="preserve">Municipal and regional leaders' achievements for synchronised sustainability transitions are still not enough. Systemic, systematic and strategic cross-sectoral collaboration and co-creation are needed. However, sectors isolated in silos leads to suboptimal measures and strategies, and a reductionist view on what hinders and enables joint action towards full sustainability. Consequently, methodological support for addressing the coordinative challenge is often not asked for. This study investigates the observed reductionist perspective as foundation for developing enhanced methodological support for strategic sustainable development (SSD) and further aimed to gain insight into how leaders can be better supported to understand their current reality of barriers and enablers for cross-sectoral SSD work and to prototype such support. Results from fieldwork with leaders in six municipalities and regions suggest that both frequency and depth of barriers and enablers in relation to elements for SSD are insufficient. Nine categories were identified and combined with SSD core elements into a diagnostic tool.</t>
  </si>
  <si>
    <t xml:space="preserve">[Walitalo, Lisa; Callaghan, Edith; Robert, Karl-Henrik; Broman, Göran] Blekinge Inst Technol, Dept Strateg Sustainable Dev, Karlskrona, Sweden; [Callaghan, Edith] Acadia Univ, Fred C Manning Sch Business, Wolfville, NS, Canada</t>
  </si>
  <si>
    <t xml:space="preserve">Blekinge Institute Technology; Acadia University</t>
  </si>
  <si>
    <t xml:space="preserve">Wälitalo, L (corresponding author), Blekinge Inst Technol, Dept Strateg Sustainable Dev, Karlskrona, Sweden.</t>
  </si>
  <si>
    <t xml:space="preserve">lisa.walitalo@bth.se</t>
  </si>
  <si>
    <t xml:space="preserve">Hudiksvall municipality; Karlskrona municipality; Nybro municipality; Oskarshamn municipality; Region Blekinge; Region Jink ipings laens; Ronneby municipality; The Association for Swedish Eco-municipalities; The Government of aland; Torsas municipality; Vaestervik municipality; ESPON 2020 Cooperation Programme</t>
  </si>
  <si>
    <t xml:space="preserve">2054-4049</t>
  </si>
  <si>
    <t xml:space="preserve">GEO-GEOGR ENVIRON</t>
  </si>
  <si>
    <t xml:space="preserve">Geo-Geogr. Environ.</t>
  </si>
  <si>
    <t xml:space="preserve">e00118</t>
  </si>
  <si>
    <t xml:space="preserve">10.1002/geo2.118</t>
  </si>
  <si>
    <t xml:space="preserve">Geography</t>
  </si>
  <si>
    <t xml:space="preserve">9G4QB</t>
  </si>
  <si>
    <t xml:space="preserve">WOS:000938138200001</t>
  </si>
  <si>
    <t xml:space="preserve">Smite, D; Moe, NB; Tkalich, A; Hanssen, GK; Nydal, K; Sandbæk, JN; Aamo, HW; Hagaseth, AO; Bekke, SA; Holte, M</t>
  </si>
  <si>
    <t xml:space="preserve">Smite, Darja; Moe, Nils Brede; Tkalich, Anastasiia; Hanssen, Geir Kjetil; Nydal, Kristina; Sandbaek, Jenny Nokleberg; Aamo, Hedda Wasskog; Hagaseth, Ada Olsdatter; Bekke, Scott Aleksander; Holte, Malin</t>
  </si>
  <si>
    <t xml:space="preserve">Half-Empty Offices in Flexible Work Arrangements: Why Are Employees Not Returning?</t>
  </si>
  <si>
    <t xml:space="preserve">Remote work; Work from home; WFH; Hybrid workplace</t>
  </si>
  <si>
    <t xml:space="preserve">Although the forced working from home during the pandemic crisis seem to have ended, many knowledge workers choose to continue working predominantly from home as a partial or permanent practice. Related studies show that employees of companies from various industries, diverse in size and location, prefer to alter working in the office with working at home, coined as hybrid or flexible working arrangements. As a result, offices remain empty, managers are confused, and organizational leaders do not know what to do with the often-expensive rental contracts. In this short paper, we investigate the employee presence in the offices in two software companies and dive deeper into the reasons behind the preferences to work remotely, and practices that help to attract employees back into the offices. The latter are based on the qualitative analysis of interviews and survey responses. Our findings suggest that between the fall of 2021 and the summer of 2022, the offices were half-empty and that, on average, the daily office presence varies between 13-30%. The peaks of office presence in both companies are on Wednesdays, reaching up to 50% during weeks with low virus spread in one company, and in the spring months in 2022 in the other company. The reasons for remote work include behavioral and practical motivations, factors related to office equipment and facilities, and the nature of the work tasks.</t>
  </si>
  <si>
    <t xml:space="preserve">[Smite, Darja; Moe, Nils Brede; Tkalich, Anastasiia; Hanssen, Geir Kjetil; Nydal, Kristina; Sandbaek, Jenny Nokleberg; Aamo, Hedda Wasskog; Hagaseth, Ada Olsdatter; Bekke, Scott Aleksander; Holte, Malin] SINTEF Digital, Trondheim, Norway; [Smite, Darja; Moe, Nils Brede] Blekinge Inst Technol, Karlskrona, Sweden</t>
  </si>
  <si>
    <t xml:space="preserve">SINTEF; Blekinge Institute Technology</t>
  </si>
  <si>
    <t xml:space="preserve">Smite, D (corresponding author), SINTEF Digital, Trondheim, Norway.;Smite, D (corresponding author), Blekinge Inst Technol, Karlskrona, Sweden.</t>
  </si>
  <si>
    <t xml:space="preserve">darja.smite@bth.se; nils.b.moe@sintef.no; anastasiia.tkalich@sintef.no; geir.k.hanssen@sintef.no; hedda.aamo@live.no; malin@byremoholte.no</t>
  </si>
  <si>
    <t xml:space="preserve">Bekke, Scott/ITV-9608-2023; Tkalich, Anastasiia/LMP-3329-2024; Moe, Nils/AAD-8183-2021</t>
  </si>
  <si>
    <t xml:space="preserve">Moe, Nils Brede/0000-0003-2669-0778; Hanssen, Geir Kjetil/0000-0003-2718-6637; Tkalich, Anastasiia/0000-0001-7391-4194</t>
  </si>
  <si>
    <t xml:space="preserve">Norwegian Research Council [321477, 309344]</t>
  </si>
  <si>
    <t xml:space="preserve">Norwegian Research Council(Research Council of Norway)</t>
  </si>
  <si>
    <t xml:space="preserve">We thank Knowit AS and Sparebank 1 Dev for their engagement in our research, and the Norwegian Research Council for funding the research through the projects Transformit (grant number 321477) and 10xTeams (grant number 309344).</t>
  </si>
  <si>
    <t xml:space="preserve">10.1007/978-3-031-21388-5_18</t>
  </si>
  <si>
    <t xml:space="preserve">WOS:000897035000018</t>
  </si>
  <si>
    <t xml:space="preserve">Vinholi, JG; Palm, BG; Silva, D; Machado, R; Pettersson, M</t>
  </si>
  <si>
    <t xml:space="preserve">Vinholi, Joao G.; Palm, Bruna G.; Silva, Danilo; Machado, Renato; Pettersson, Mats, I</t>
  </si>
  <si>
    <t xml:space="preserve">Change Detection Based on Convolutional Neural Networks Using Stacks of Wavelength-Resolution Synthetic Aperture Radar Images</t>
  </si>
  <si>
    <t xml:space="preserve">IEEE TRANSACTIONS ON GEOSCIENCE AND REMOTE SENSING</t>
  </si>
  <si>
    <t xml:space="preserve">Synthetic aperture radar; Radar polarimetry; Convolutional neural networks; Monitoring; Detection algorithms; Complexity theory; Ultra wideband technology; CARABAS-II; classification; convolutional neural network (CNN); deep learning; remote sensing; semantic segmentation</t>
  </si>
  <si>
    <t xml:space="preserve">SAR CHANGE DETECTION; URBAN AREAS; CLASSIFICATION; TARGETS; MODEL</t>
  </si>
  <si>
    <t xml:space="preserve">This article presents two supervised change detection algorithms (CDAs) based on convolutional neural networks (CNNs) that use stacks of coregistered wavelength-resolution (WR) synthetic aperture radar (SAR) images to detect changes in an image under monitoring. The additional information of a scene of interest provided by SAR image stacks can be explored to enhance the performance of CDAs. In particular, stacks of images with similar statistics can be obtained for ultrawideband (UWB) very high-frequency (VHF) SAR systems, as they produce images highly stable in time. The proposed CDAs can be summed up into four stages: difference image (DI) formation, semantic segmentation, clustering, and change classification. The CNN-GSP algorithm is based on a ground scene prediction (GSP) image, which is used as a reference to form a DI. A CNN-based model then analyzes the DI. The CNN-MDI algorithm feeds multiple DIs with identical monitored images to a CNN-based model, which will concurrently analyze their features. Tests with CARABAS-II data show that the proposed CDAs can outperform other state-of-the-art algorithms that also use stacks of WR-SAR images. Beyond that, the proposed algorithms outperformed a CNN-based CDA that does not use image stacks, which shows that CNN-based algorithms can use the additional information provided by stacks of SAR images to reduce false alarm occurrences while increasing the probability of detection of changes.</t>
  </si>
  <si>
    <t xml:space="preserve">[Vinholi, Joao G.; Palm, Bruna G.; Machado, Renato] Aeronaut Inst Technol ITA, Dept Telecommun, BR-12228900 Sao Jose Dos Campos, Brazil; [Palm, Bruna G.; Pettersson, Mats, I] Blekinge Inst Technol BTH, Dept Math &amp; Nat Sci, S-37179 Karlskrona, Sweden; [Silva, Danilo] Fed Univ Santa Catarina UFSC, Dept Elect &amp; Elect Engn, BR-88040900 Florianopolis, SC, Brazil</t>
  </si>
  <si>
    <t xml:space="preserve">Vinholi, JG (corresponding author), Aeronaut Inst Technol ITA, Dept Telecommun, BR-12228900 Sao Jose Dos Campos, Brazil.</t>
  </si>
  <si>
    <t xml:space="preserve">jgvinholi@gmail.com; bruna.palm@bth.se; danilo.silva@ufsc.br; rmachado@ita.br</t>
  </si>
  <si>
    <t xml:space="preserve">Vinholi, João/ABH-2310-2021; Machado, Renato/P-8515-2018; G. Palm, Bruna/AAZ-4107-2021; Pettersson, Mats/N-1063-2016; Silva, Danilo/F-6747-2012</t>
  </si>
  <si>
    <t xml:space="preserve">Machado, Renato/0000-0003-0856-5391; Vinholi, Joao Gabriel/0000-0002-7887-3018; G. Palm, Bruna/0000-0003-0423-9927; Pettersson, Mats/0000-0002-6643-312X; Silva, Danilo/0000-0001-6290-7968</t>
  </si>
  <si>
    <t xml:space="preserve">Coordenacao de Aperfeicoamento de Pessoal de Nivel Superior-Brazil (CAPES-Brazil) [001]; Swedish-Brazilian Research and Innovation Centre (CISB); Brazilian National Council for Scientific and Technological Development (CNPq-Brazil); Brazilian Institute of Data Science (BI0S) [2020/09838-0]</t>
  </si>
  <si>
    <t xml:space="preserve">Coordenacao de Aperfeicoamento de Pessoal de Nivel Superior-Brazil (CAPES-Brazil)(Coordenacao de Aperfeicoamento de Pessoal de Nivel Superior (CAPES)); Swedish-Brazilian Research and Innovation Centre (CISB); Brazilian National Council for Scientific and Technological Development (CNPq-Brazil)(Conselho Nacional de Desenvolvimento Cientifico e Tecnologico (CNPQ)); Brazilian Institute of Data Science (BI0S)</t>
  </si>
  <si>
    <t xml:space="preserve">This work was supported in part by the Coordenacao de Aperfeicoamento de Pessoal de Nivel Superior-Brazil (CAPES-Brazil) Finance Code 001 (Pro-Defesa IV), in part by the Swedish-Brazilian Research and Innovation Centre (CISB), in part by the Brazilian National Council for Scientific and Technological Development (CNPq-Brazil), and in part by the Brazilian Institute of Data Science (BI0S) under Grant 2020/09838-0.</t>
  </si>
  <si>
    <t xml:space="preserve">0196-2892</t>
  </si>
  <si>
    <t xml:space="preserve">1558-0644</t>
  </si>
  <si>
    <t xml:space="preserve">IEEE T GEOSCI REMOTE</t>
  </si>
  <si>
    <t xml:space="preserve">IEEE Trans. Geosci. Remote Sensing</t>
  </si>
  <si>
    <t xml:space="preserve">10.1109/TGRS.2022.3211010</t>
  </si>
  <si>
    <t xml:space="preserve">5Q8HQ</t>
  </si>
  <si>
    <t xml:space="preserve">WOS:000874066100016</t>
  </si>
  <si>
    <t xml:space="preserve">Tuvesson, H; Andersson, EK</t>
  </si>
  <si>
    <t xml:space="preserve">Tuvesson, Hanna; Andersson, Ewa K.</t>
  </si>
  <si>
    <t xml:space="preserve">Registered nurse preceptors' perceptions of changes in the organisation of clinical placements in psychiatric care for undergraduate nursing students: A mixed-methods study</t>
  </si>
  <si>
    <t xml:space="preserve">Mental health care; Clinical placement; Undergraduate nurse education; Preceptorship</t>
  </si>
  <si>
    <t xml:space="preserve">LEARNING-ENVIRONMENT; EXPERIENCES; EDUCATION; SUPERVISION; ATTITUDES; WORKING; MODELS; IMPACT; TIME</t>
  </si>
  <si>
    <t xml:space="preserve">Aim: The aim of this study was to investigate the perceptions of registered nurse (RN) preceptors working in psychiatric care concerning the organisation of clinical placements and their own preceptor role with undergraduate nursing students. Background: Clinical placements play a central role in undergraduate nursing education, and it is crucial that psychiatric care clinical placements are of high quality. Methods: The RNs' perceptions before and after the introduction of changes in the organisation of clinical placements were compared. A total of 103 surveys with quantitative and qualitative data were returned, from 59 RN preceptors at baseline and 44 RN preceptors at follow-up. Data were analysed with non-parametrical statistics and qualitative content analysis. Results: The majority of RN preceptors perceived the changes to have been beneficial, but there was still a desire for the students to have more time in their psychiatric care clinical placements according to the RN preceptors. At follow-up, significantly more RN preceptors perceived that they had an intentional pedagogical foundation for their precepting. Conclusions: We conclude that the changes introduced into the clinical placement are beneficial, but there is still need for further improvement in relation to the amount of time student nurses spend in psychiatric clinical placements and in the opportunities provided for RN preceptors to attend preceptor preparation courses.</t>
  </si>
  <si>
    <t xml:space="preserve">[Tuvesson, Hanna; Andersson, Ewa K.] Linnaeus Univ, Fac Hlth &amp; Life Sci, SE-35195 Vaxjo, Sweden; [Andersson, Ewa K.] Blekinge Inst Technol, Dept Hlth, SE-37971 Karlskrona, Sweden</t>
  </si>
  <si>
    <t xml:space="preserve">Linnaeus University; Blekinge Institute Technology</t>
  </si>
  <si>
    <t xml:space="preserve">Tuvesson, H (corresponding author), Linnaeus Univ, Fac Hlth &amp; Life Sci, SE-35195 Vaxjo, Sweden.</t>
  </si>
  <si>
    <t xml:space="preserve">hanna.tuvesson@lnu.se</t>
  </si>
  <si>
    <t xml:space="preserve">10.1016/j.nepr.2021.103245</t>
  </si>
  <si>
    <t xml:space="preserve">WR5UU</t>
  </si>
  <si>
    <t xml:space="preserve">WOS:000714565000001</t>
  </si>
  <si>
    <t xml:space="preserve">Ludwig-Barbosa, V; Sievert, T; Carlström, A; Pettersson, MI; Vu, VT; Rasch, J</t>
  </si>
  <si>
    <t xml:space="preserve">Ludwig-Barbosa, Vinicius; Sievert, Thomas; Carlstrom, Anders; Pettersson, Mats I.; Vu, Viet T.; Rasch, Joel</t>
  </si>
  <si>
    <t xml:space="preserve">Supervised Detection of Ionospheric Scintillation in Low-Latitude Radio Occultation Measurements</t>
  </si>
  <si>
    <t xml:space="preserve">remote sensing; radio occultation; ionosphere; scintillation; support vector machine</t>
  </si>
  <si>
    <t xml:space="preserve">ELECTRON-DENSITY PROFILES; F-REGION IRREGULARITIES; PHASE SCREEN MODEL; GHZ SCINTILLATIONS; POWER SPECTRA; SATELLITE; GPS/MET; VHF; ATMOSPHERE; ERROR</t>
  </si>
  <si>
    <t xml:space="preserve">Global Navigation Satellite System (GNSS) Radio Occultation (RO) has provided high-quality atmospheric data assimilated in Numerical Weather Prediction (NWP) models and climatology studies for more than 20 years. In the satellite-satellite GNSS-RO geometry, the measurements are susceptible to ionospheric scintillation depending on the solar and geomagnetic activity, seasons, geographical location and local time. This study investigates the application of the Support Vector Machine (SVM) algorithm in developing an automatic detection model of F-layer scintillation in GNSS-RO measurements using power spectral density (PSD). The model is intended for future analyses on the influence of space weather and solar activity on RO data products over long time periods. A novel data set of occultations is used to train the SVM algorithm. The data set is composed of events at low latitudes on 15-20 March 2015 (St. Patrick's Day geomagnetic storm, high solar flux) and 14-19 May 2018 (quiet period, low solar flux). A few conditional criteria were first applied to a total of 5340 occultations to define a set of 858 scintillation candidates. Models were trained with scintillation indices and PSDs as training features and were either linear or Gaussian kernel. The investigations also show that besides the intensity PSD, the (excess) phase PSD has a positive contribution in increasing the detection of true positives.</t>
  </si>
  <si>
    <t xml:space="preserve">[Ludwig-Barbosa, Vinicius; Sievert, Thomas; Pettersson, Mats I.; Vu, Viet T.] Blekinge Inst Technol, Dept Math &amp; Nat Sci, S-37179 Karlskrona, Sweden; [Carlstrom, Anders] RUAG Space AB, S-40515 Gothenburg, Sweden; [Rasch, Joel] Molflow, S-41101 Gothenburg, Sweden</t>
  </si>
  <si>
    <t xml:space="preserve">vinicius.ludwig.barbosa@bth.se; thomas.sievert@bth.se; anders.carlstrom@ruag.com; mats.pettersson@bth.se; viet.thuy.vu@bth.se; joel.rasch@molflow.com</t>
  </si>
  <si>
    <t xml:space="preserve">Sievert, Thomas/0000-0002-2856-6140; Pettersson, Mats/0000-0002-6643-312X; Carlstrom, Anders/0000-0002-0620-7825; Ludwig Barbosa, Vinicius/0000-0002-7769-8641</t>
  </si>
  <si>
    <t xml:space="preserve">Swedish National Space Agency (Rymdstyrelsen) under the National Space Technology Research Programme (NRFP)</t>
  </si>
  <si>
    <t xml:space="preserve">This research was funded by Swedish National Space Agency (Rymdstyrelsen) under the National Space Technology Research Programme (NRFP), round 4.</t>
  </si>
  <si>
    <t xml:space="preserve">10.3390/rs13091690</t>
  </si>
  <si>
    <t xml:space="preserve">SC6BD</t>
  </si>
  <si>
    <t xml:space="preserve">WOS:000650753100001</t>
  </si>
  <si>
    <t xml:space="preserve">Britto, R; Smite, D; Damm, LO; Börstler, J</t>
  </si>
  <si>
    <t xml:space="preserve">Britto, Ricardo; Smite, Darja; Damm, Lars-Ola; Borstler, Jurgen</t>
  </si>
  <si>
    <t xml:space="preserve">Evaluating and strategizing the onboarding of software developers in large-scale globally distributed projects</t>
  </si>
  <si>
    <t xml:space="preserve">Onboarding; Global Software Engineering; Large-scale software development</t>
  </si>
  <si>
    <t xml:space="preserve">ORGANIZATIONAL COMMITMENT; TEAM PERFORMANCE; SOCIALIZATION; NEWCOMERS; EXPERIENCES; CHALLENGES; OUTCOMES</t>
  </si>
  <si>
    <t xml:space="preserve">The combination of scale and distribution in software projects makes the onboarding of new developers problematic. To the best of our knowledge, there is no research on the relationship between onboarding strategies and the performance evolution of newcomers in large-scale, globally distributed projects. Furthermore, there are no approaches to support the development of strategies to systematically onboard developers. In this paper, we address these gaps by means of an industrial case study. We identified that the following aspects seem to be related to the observed onboarding results: the distance to mentors, the formal training approach used, the allocation of large and distributed tasks in the early stages of the onboarding process, and team instability. We conclude that onboarding must be planned well ahead and should consider avoiding the aspects mentioned above. Based on the results of this investigation, we propose a process to strategize and evaluate onboarding. To develop the process, we used business process modeling. We conducted a static validation of the proposed process utilizing interviews with experts. The static validation of the process indicates that it can help companies to deal with the challenges associated with the onboarding of newcomers through more systematic, effective, and repeatable onboarding strategies. (C) 2020 Elsevier Inc. All rights reserved.</t>
  </si>
  <si>
    <t xml:space="preserve">[Britto, Ricardo; Damm, Lars-Ola] Ericsson AB, S-37173 Karlskrona, Sweden; [Britto, Ricardo; Smite, Darja; Borstler, Jurgen] Blekinge Inst Technol BTH, Dept Software Engn DIPT, S-37179 Karlskrona, Sweden</t>
  </si>
  <si>
    <t xml:space="preserve">Britto, R (corresponding author), Blekinge Inst Technol BTH, Dept Software Engn DIPT, S-37179 Karlskrona, Sweden.</t>
  </si>
  <si>
    <t xml:space="preserve">ricardo.britto@ericsson.com; darja.smite@ericsson.com; lars-ola.damm@ericsson.com; jurgen.borstler@bth.se</t>
  </si>
  <si>
    <t xml:space="preserve">Swedish Knowledge Foundation under the KK-Hog grant [2009/0249]</t>
  </si>
  <si>
    <t xml:space="preserve">Swedish Knowledge Foundation under the KK-Hog grant</t>
  </si>
  <si>
    <t xml:space="preserve">This research was funded by the Swedish Knowledge Foundation under the KK-Hog grant 2009/0249 and is a part of the TEDD research project. The authors are very thankful to Ericsson and all the company employees involved in and being sincerely interested in our research.</t>
  </si>
  <si>
    <t xml:space="preserve">10.1016/j.jss.2020.110699</t>
  </si>
  <si>
    <t xml:space="preserve">NL6FO</t>
  </si>
  <si>
    <t xml:space="preserve">WOS:000567509300006</t>
  </si>
  <si>
    <t xml:space="preserve">Carlsson, L; Callaghan, E; Broman, G</t>
  </si>
  <si>
    <t xml:space="preserve">Carlsson, Liesel; Callaghan, Edith; Broman, Goran</t>
  </si>
  <si>
    <t xml:space="preserve">Assessing Community Contributions to Sustainable Food Systems: Dietitians Leverage Practice, Process and Paradigms</t>
  </si>
  <si>
    <t xml:space="preserve">SYSTEMIC PRACTICE AND ACTION RESEARCH</t>
  </si>
  <si>
    <t xml:space="preserve">Sustainable food systems; Sustainable diets; Dietitians; Indicators; Assessment; Community; Framework for strategic sustainable development; Cultural adaptation template; Delphi inquiry method</t>
  </si>
  <si>
    <t xml:space="preserve">DELPHI TECHNIQUE; INDICATORS; SECURITY; PERSPECTIVES; AGRICULTURE; FRAMEWORK; LITERACY; THINKING; POLICY</t>
  </si>
  <si>
    <t xml:space="preserve">Food systems are not sustainable, and efforts to address this are paralyzed by the complex networks of food system actors and factors that interact across sectoral and geographic scales. Actions at the community level can positively contribute toward globally sustainable food systems (SFS). Assessing such contributions has two central challenges: 1) a lack of methods that support alignment between communities and across scales, balanced against the need to involve the community in developing relevant indicators; and 2) the absence of adequate, fine grained data relevant to the community. Addressing these two challenges, this paper illustrates a proposed procedure that supports community engagement with, and assessment of, their contributions. Engaged by a community of Canadian dietitians, researchers used the Delphi Inquiry method, guided by the Framework for Strategic Sustainable Development, to address the first challenge, and causal loop diagrams informed by the Cultural Adaptation Template to address the second. Indicators were developed for dietitian-identified actions and outcomes for SFS. Modeling indicator interactions provide insight into how some actions are influenced by and reinforce the value placed on SFS within the professional cultural paradigm, as well as priority areas for action and measurement. Process-oriented assessment is useful in the context of partial and subjective understandings of a dynamic system, and supports continual adjustment in action. This article offers theoretical and practical insight for community engagement in addressing some of the systemic challenges in food systems. It accommodates community-based knowledge, applies process-indicators, and emphasizes the importance of cultural paradigms as a driving force of community-level actions, and overall system change. Under current conditions, facilitating SFS literacy among dietitians can amplify adaptations for broader SFS development.</t>
  </si>
  <si>
    <t xml:space="preserve">[Carlsson, Liesel; Callaghan, Edith; Broman, Goran] Blekinge Inst Technol, Dept Strateg Sustainable Dev, Karlskrona, Sweden; [Carlsson, Liesel] Acadia Univ, Sch Nutr &amp; Dietet, Wolfville, NS, Canada; [Callaghan, Edith] Acadia Univ, Fred C Manning Sch Business, Wolfville, NS, Canada</t>
  </si>
  <si>
    <t xml:space="preserve">Blekinge Institute Technology; Acadia University; Acadia University</t>
  </si>
  <si>
    <t xml:space="preserve">Carlsson, L (corresponding author), Blekinge Inst Technol, Dept Strateg Sustainable Dev, Karlskrona, Sweden.;Carlsson, L (corresponding author), Acadia Univ, Sch Nutr &amp; Dietet, Wolfville, NS, Canada.</t>
  </si>
  <si>
    <t xml:space="preserve">liesel.carlsson@acaidiau.ca</t>
  </si>
  <si>
    <t xml:space="preserve">Carlsson, Liesel/0000-0001-8857-9608</t>
  </si>
  <si>
    <t xml:space="preserve">Blekinge Institute of Technology; VINNOVA (Swedish Governmental Agency for Innovation Systems); Acadia University Research Fund; International Confederation of Dietetics Associations</t>
  </si>
  <si>
    <t xml:space="preserve">Blekinge Institute of Technology; VINNOVA (Swedish Governmental Agency for Innovation Systems)(Vinnova); Acadia University Research Fund; International Confederation of Dietetics Associations</t>
  </si>
  <si>
    <t xml:space="preserve">Open access funding provided by Blekinge Institute of Technology. The authors gratefully acknowledge financial support from VINNOVA (Swedish Governmental Agency for Innovation Systems), Acadia University Research Fund and Blekinge Institute of Technology, as well as the International Confederation of Dietetics Associations.</t>
  </si>
  <si>
    <t xml:space="preserve">SPRINGER/PLENUM PUBLISHERS</t>
  </si>
  <si>
    <t xml:space="preserve">233 SPRING ST, NEW YORK, NY 10013 USA</t>
  </si>
  <si>
    <t xml:space="preserve">1094-429X</t>
  </si>
  <si>
    <t xml:space="preserve">1573-9295</t>
  </si>
  <si>
    <t xml:space="preserve">SYST PRACT ACT RES</t>
  </si>
  <si>
    <t xml:space="preserve">Syst. Pract. Action Res.</t>
  </si>
  <si>
    <t xml:space="preserve">10.1007/s11213-020-09547-4</t>
  </si>
  <si>
    <t xml:space="preserve">OCT 2020</t>
  </si>
  <si>
    <t xml:space="preserve">WI6FM</t>
  </si>
  <si>
    <t xml:space="preserve">WOS:000578591200001</t>
  </si>
  <si>
    <t xml:space="preserve">Martins, LEG; Gorschek, T</t>
  </si>
  <si>
    <t xml:space="preserve">Martins, Luiz Eduardo G.; Gorschek, Tony</t>
  </si>
  <si>
    <t xml:space="preserve">Requirements Engineering for Safety-Critical Systems: An Interview Study with Industry Practitioners</t>
  </si>
  <si>
    <t xml:space="preserve">IEEE TRANSACTIONS ON SOFTWARE ENGINEERING</t>
  </si>
  <si>
    <t xml:space="preserve">Safety; Companies; Requirements engineering; Software; Certification; Interviews; Unified modeling language; Requirements; specification; software and system safety; requirements engineering; safety critical systems; software engineering; SCS</t>
  </si>
  <si>
    <t xml:space="preserve">SOFTWARE; DESIGN; VALIDATION; MODEL</t>
  </si>
  <si>
    <t xml:space="preserve">We have conducted in-depth interviews with experienced practitioners in the Safety-Critical Systems (SCS) domain in order to investigate several aspects related to requirements specification and safety analysis for SCS. We interviewed 19 practitioners from eleven SCS companies in different domains with the intention of verifying which approaches they use day-to-day, and what their perceptions are in relation to the approaches used to elicit, analyze, specify and validate safety requirements. The aim of this study is to obtain an in-depth understanding of how requirements engineering is carried out in companies that develop SCS.</t>
  </si>
  <si>
    <t xml:space="preserve">[Martins, Luiz Eduardo G.] Univ Fed Sao Paulo, Inst Sci &amp; Technol, Sao Jose Dos Campos 12231280, Brazil; [Gorschek, Tony] Blekinge Inst Technol, Sch Comp, Karlskrona 37179, Sweden</t>
  </si>
  <si>
    <t xml:space="preserve">Universidade Federal de Sao Paulo (UNIFESP); Blekinge Institute Technology</t>
  </si>
  <si>
    <t xml:space="preserve">Martins, LEG (corresponding author), Univ Fed Sao Paulo, Inst Sci &amp; Technol, Sao Jose Dos Campos 12231280, Brazil.</t>
  </si>
  <si>
    <t xml:space="preserve">legmartins@unifesp.br; tony.gorschek@bth.se</t>
  </si>
  <si>
    <t xml:space="preserve">Gorschek, Tony/E-3445-2013; Martins, Luiz/AAL-7679-2020</t>
  </si>
  <si>
    <t xml:space="preserve">Federal University of Sao Paulo (UNIFESP); Brazilian research agency CNPq -Conselho Nacional de Desenvolvimento Cientifico e Tecnologico [249059/2013-04]; Knowledge Foundation in Sweden [20140218]</t>
  </si>
  <si>
    <t xml:space="preserve">Federal University of Sao Paulo (UNIFESP); Brazilian research agency CNPq -Conselho Nacional de Desenvolvimento Cientifico e Tecnologico(Conselho Nacional de Desenvolvimento Cientifico e Tecnologico (CNPQ)); Knowledge Foundation in Sweden</t>
  </si>
  <si>
    <t xml:space="preserve">This work was partially funded by the Federal University of Sao Paulo (UNIFESP), and the Brazilian research agency CNPq -Conselho Nacional de Desenvolvimento Cientifico e Tecnologico - under grant agreement no. 249059/2013-04. The work is partially supported by a research grant for the ORION project (reference number 20140218) from The Knowledge Foundation in Sweden.</t>
  </si>
  <si>
    <t xml:space="preserve">0098-5589</t>
  </si>
  <si>
    <t xml:space="preserve">1939-3520</t>
  </si>
  <si>
    <t xml:space="preserve">IEEE T SOFTWARE ENG</t>
  </si>
  <si>
    <t xml:space="preserve">IEEE Trans. Softw. Eng.</t>
  </si>
  <si>
    <t xml:space="preserve">APR 1</t>
  </si>
  <si>
    <t xml:space="preserve">10.1109/TSE.2018.2854716</t>
  </si>
  <si>
    <t xml:space="preserve">Computer Science, Software Engineering; Engineering, Electrical &amp; Electronic</t>
  </si>
  <si>
    <t xml:space="preserve">LI5MK</t>
  </si>
  <si>
    <t xml:space="preserve">WOS:000529529700001</t>
  </si>
  <si>
    <t xml:space="preserve">Tkachuk, RV; Ilie, D; Tutschku, K; Robert, R</t>
  </si>
  <si>
    <t xml:space="preserve">Tkachuk, Roman-Valentyn; Ilie, Dragos; Tutschku, Kurt; Robert, Remi</t>
  </si>
  <si>
    <t xml:space="preserve">A Survey on Blockchain-Based Telecommunication Services Marketplaces</t>
  </si>
  <si>
    <t xml:space="preserve">Blockchains; Business; Distributed ledger; Communications technology; Proposals; Internet of Things; Telecommunication services; Digital marketplace; telecommunication services marketplace; blockchain technology; communication service provider; distributed ledger technology</t>
  </si>
  <si>
    <t xml:space="preserve">MANAGEMENT; ARCHITECTURE; MECHANISMS; IDENTITY; SYSTEM; TRUST; REAL</t>
  </si>
  <si>
    <t xml:space="preserve">Digital marketplaces were created recently to accelerate the delivery of applications and services to customers. Their appealing feature is to activate and dynamize the demand, supply, and development of digital goods, applications, or services. By being an intermediary between producer and consumer, the primary business model for a marketplace is to charge the producer with a commission on the amount paid by the consumer. However, most of the time, the commission is dictated by the marketplace facilitator itself and creates an imbalance in value distribution, where producer and consumer sides suffer monetarily. In order to eliminate the need for a centralized entity between the producer and consumer, a blockchain-based decentralized digital marketplace concept was introduced. It provides marketplace actors with the tools to perform business transactions in a trusted manner and without the need for an intermediary. In this work, we provide a survey on Telecommunication Services Marketplaces (TSMs) which employ blockchain technology as the main trust enabling entity in order to avoid any intermediaries. We provide an overview of scientific and industrial proposals on the blockchain-based online digital marketplaces at large, and TSMs in particular. We consider in this study the notion of telecommunication services as any service enabling the capability for information transfer and, increasingly, information processing provided to a group of users by a telecommunications system. We discuss the main standardization activities around the concepts of TSMs and provide particular use-cases for the TSM business transactions such as SLA settlement. Also, we provide insights into the main foundational services provided by the TSM, as well as a survey of the scientific and industrial proposals for such services. Finally, a prospect for future developments is given.</t>
  </si>
  <si>
    <t xml:space="preserve">[Tkachuk, Roman-Valentyn; Ilie, Dragos; Tutschku, Kurt] Blekinge Inst Technol, Dept Comp Sci, S-37435 Karlshamn, Sweden; [Robert, Remi] Ericsson Res, S-16483 Stockholm, Sweden</t>
  </si>
  <si>
    <t xml:space="preserve">Tkachuk, RV (corresponding author), Blekinge Inst Technol, Dept Comp Sci, S-37435 Karlshamn, Sweden.</t>
  </si>
  <si>
    <t xml:space="preserve">roman-valentyn.tkachuk@bth.se; dragos.ilie@bth.se; kurt.tutschku@bth.se; remi.robert@ericsson.com</t>
  </si>
  <si>
    <t xml:space="preserve">Ilie, Dragos/AHE-6100-2022; Tutschku, Kurt/B-4310-2013</t>
  </si>
  <si>
    <t xml:space="preserve">Tkachuk, Roman-Valentyn/0000-0001-5458-5241; Robert, Remi/0000-0003-1724-9796; Tutschku, Kurt/0000-0003-4814-4428; Ilie, Dragos/0000-0001-8453-447X</t>
  </si>
  <si>
    <t xml:space="preserve">The work was partly sponsored by the Swedish Knowledge Foundation through the project Symphony - Supply-and-Demand-based Service Exposure using Robust Distributed Concepts. The project partners in Symphony are Ericsson AB (Stockholm, Sweden) and Affarsverken Energi AB (Karlskrona, Sweden). The associate editor coordinating the review of this article and approving it for publication was B. Stiller.</t>
  </si>
  <si>
    <t xml:space="preserve">10.1109/TNSM.2021.3123680</t>
  </si>
  <si>
    <t xml:space="preserve">ZR5XP</t>
  </si>
  <si>
    <t xml:space="preserve">WOS:000767855700018</t>
  </si>
  <si>
    <t xml:space="preserve">Berglund-Snodgrass, L</t>
  </si>
  <si>
    <t xml:space="preserve">Berglund-Snodgrass, Lina</t>
  </si>
  <si>
    <t xml:space="preserve">Risk and Approaches to Risk-Taking in Testbed Planning</t>
  </si>
  <si>
    <t xml:space="preserve">PLANNING PRACTICE AND RESEARCH</t>
  </si>
  <si>
    <t xml:space="preserve">Risk; risk-taking; urban experimentation; urban planning; testbed-planning</t>
  </si>
  <si>
    <t xml:space="preserve">SMART CITIES; INNOVATION; CITY; GOVERNANCE; UNCERTAINTY</t>
  </si>
  <si>
    <t xml:space="preserve">Urban experimentation and testbed planning have emerged as a response for developing solutions to contemporary urban challenges and constitute designated spaces of risk-taking. They represent strategic attempts at reimagining, influencing and even altering urban futures through the specific focus of being open to surprises and the unexpected. The aim of this article is to conceptualize risk in testbed planning and analyze risk and urban planning approaches to risk-taking. By using mobility experiments in five Nordic municipalities, it is shown that three approaches to risk prevail with regard to different loci of risk in testbed planning. These three approaches are minimizing and shifting responsibilities for individual risk, minimizing and shifting organizational risks and refusing political risks.</t>
  </si>
  <si>
    <t xml:space="preserve">[Berglund-Snodgrass, Lina] Blekinge Inst Technol, Dept Spatial Planning, Karlskrona, Sweden; [Berglund-Snodgrass, Lina] Swedish Knowledge Ctr Publ Transport, K2, Lund, Sweden</t>
  </si>
  <si>
    <t xml:space="preserve">Berglund-Snodgrass, L (corresponding author), Blekinge Inst Technol, Dept Spatial Planning, Karlskrona, Sweden.;Berglund-Snodgrass, L (corresponding author), Swedish Knowledge Ctr Publ Transport, K2, Lund, Sweden.</t>
  </si>
  <si>
    <t xml:space="preserve">lina.berglund-snodgrass@bth.se</t>
  </si>
  <si>
    <t xml:space="preserve">Berglund-Snodgrass, Lina/HHM-9569-2022</t>
  </si>
  <si>
    <t xml:space="preserve">Berglund-Snodgrass, Lina/0000-0003-3003-0457</t>
  </si>
  <si>
    <t xml:space="preserve">Swedish Energy Association [46230-1]</t>
  </si>
  <si>
    <t xml:space="preserve">Swedish Energy Association</t>
  </si>
  <si>
    <t xml:space="preserve">This research has been conducted with support from the Swedish Energy Association [Pilots for transforming the transport sector through energy-efficient buildings: project number: 46230-1].</t>
  </si>
  <si>
    <t xml:space="preserve">0269-7459</t>
  </si>
  <si>
    <t xml:space="preserve">1360-0583</t>
  </si>
  <si>
    <t xml:space="preserve">PLAN PRACT RES</t>
  </si>
  <si>
    <t xml:space="preserve">Plan. Pract. Res.</t>
  </si>
  <si>
    <t xml:space="preserve">e1992942</t>
  </si>
  <si>
    <t xml:space="preserve">10.1080/02697459.2021.1992942</t>
  </si>
  <si>
    <t xml:space="preserve">Regional &amp; Urban Planning</t>
  </si>
  <si>
    <t xml:space="preserve">Public Administration</t>
  </si>
  <si>
    <t xml:space="preserve">YL9OV</t>
  </si>
  <si>
    <t xml:space="preserve">WOS:000711258900001</t>
  </si>
  <si>
    <t xml:space="preserve">Wassie, G; Ding, JG; Wondie, Y</t>
  </si>
  <si>
    <t xml:space="preserve">Wassie, Getahun; Ding, Jianguo; Wondie, Yihenew</t>
  </si>
  <si>
    <t xml:space="preserve">Detecting and Predicting Models for QoS Optimization in SDN</t>
  </si>
  <si>
    <t xml:space="preserve">JOURNAL OF COMPUTER NETWORKS AND COMMUNICATIONS</t>
  </si>
  <si>
    <t xml:space="preserve">deep learning; elephant flows; QoS; SDN</t>
  </si>
  <si>
    <t xml:space="preserve">Recently, deep learning algorithms and software-defined networking technologies enabled traffic management to be more controllable in IP networking and mobile Internet to yield quality services to subscribers. Quality of service (QoS) needs more effort to optimize QoS performance. More specifically, elephant flow management is a critical task that needs further research since its heavy hit behavior leads to high CPU utilization, packet drops, high latency, packet overflow, and network congestion problems. For this purpose, we focused on elephant flow management since elephant flows are big flows that hinder good service delivery (QoS) on demand. Hence, elephant flow detection and early prediction techniques optimize QoS. In this regard, we employed DNN and CNN deep learning models to detect elephant flows, and the random forest model predicts elephant flows in the SDN. As a result of our experiments, the findings reveal that deep learning algorithms within the Ryu controller significantly outperform in detecting and predicting performance in order to yield good network throughput. This solution proves to be significant for QoS optimization in data centers.</t>
  </si>
  <si>
    <t xml:space="preserve">[Wassie, Getahun] Addis Ababa Univ, IP Networking &amp; Mobile Internet, Addis Ababa, Ethiopia; [Ding, Jianguo] Blekinge Inst Technol, Dept Comp Sci, Karlskrona, Sweden; [Wondie, Yihenew] Addis Ababa Univ, Dept Elect &amp; Comp Engn, Addis Ababa, Ethiopia</t>
  </si>
  <si>
    <t xml:space="preserve">Addis Ababa University; Blekinge Institute Technology; Addis Ababa University</t>
  </si>
  <si>
    <t xml:space="preserve">Ding, JG (corresponding author), Blekinge Inst Technol, Dept Comp Sci, Karlskrona, Sweden.</t>
  </si>
  <si>
    <t xml:space="preserve">getahunws12@gmail.com; jianguo.ding@bth.se; yihenew.wondie@aait.edu.et</t>
  </si>
  <si>
    <t xml:space="preserve">Ding, Jianguo/B-5748-2008</t>
  </si>
  <si>
    <t xml:space="preserve">Wondie, Yihenew/0000-0003-4802-360X; Ding, Jianguo/0000-0002-8927-0968</t>
  </si>
  <si>
    <t xml:space="preserve">2090-7141</t>
  </si>
  <si>
    <t xml:space="preserve">2090-715X</t>
  </si>
  <si>
    <t xml:space="preserve">J COMPUT NETW COMMUN</t>
  </si>
  <si>
    <t xml:space="preserve">J. Comput. Netw. Commun.</t>
  </si>
  <si>
    <t xml:space="preserve">OCT 28</t>
  </si>
  <si>
    <t xml:space="preserve">10.1155/2024/3073388</t>
  </si>
  <si>
    <t xml:space="preserve">L4Y9K</t>
  </si>
  <si>
    <t xml:space="preserve">WOS:001350799600001</t>
  </si>
  <si>
    <t xml:space="preserve">Bryant, J; Ayers, J; Missimer, M</t>
  </si>
  <si>
    <t xml:space="preserve">Bryant, Jayne; Ayers, James; Missimer, Merlina</t>
  </si>
  <si>
    <t xml:space="preserve">What transforms? - Transformative learning in a sustainability leadership master's program</t>
  </si>
  <si>
    <t xml:space="preserve">INTERNATIONAL JOURNAL OF SUSTAINABILITY IN HIGHER EDUCATION</t>
  </si>
  <si>
    <t xml:space="preserve">Sustainability leadership; ESD; Transformative learning theory; Transformation; Typology</t>
  </si>
  <si>
    <t xml:space="preserve">KEY COMPETENCES; EDUCATION; FRAMEWORK; PEDAGOGY</t>
  </si>
  <si>
    <t xml:space="preserve">PurposeTransformative learning and leadership are key leverage points for supporting society's transition towards sustainability. The purpose of this study was to identify the outcomes of transformational learning within an international sustainability leadership master's program in Sweden. The study also prototypes a typology for transformative learning (TTL) in the context of sustainability leadership education. Design/methodology/approachAlumni spanning 15 cohorts provided answers to a survey, and the responses were used to identify the outcomes of the program. Graduates were asked to describe what transformed for them through the program. Empirical data was coded prototyping the use of the TTL in sustainability education context. FindingsGraduates of the Master's in Strategic Leadership towards Sustainability program, described transformation with regards to their Self-in-relation to Others and the World, their Self-knowledge, sense of Empowerment/Responsibility; their Worldview became More Comprehensive or Complex, and they gained New Awareness/New Understandings which transformed their Worldview. Many described transformations in their general Ways of Being in the world. Findings suggest the TTL learning as a good basis for analysis in the education for sustainable development (ESD) context. Suggestions for the TTL include further development of the process that articulates the relational, interdependent and perhaps a priori relationships between elements that transform. Research limitations/implicationsThis study presents the outcomes of transformational learning within an international sustainability leadership master's program. It prototypes the use of a TTL within the ESD context using empirical data. This combination provides practical insights to a dynamic, often theoretical and hard to articulate process. Originality/valueThis study presents the outcomes of transformational learning within an international sustainability leadership master's program. It prototypes the use of a TTL in the ESD context and assesses the outcomes of a sustainability leadership program using empirical data. This combination provides practical insights to a dynamic, often theoretical and hard to articulate process.</t>
  </si>
  <si>
    <t xml:space="preserve">[Bryant, Jayne; Ayers, James; Missimer, Merlina] Blekinge Inst Technol, Dept Strateg Sustainable Dev, Karlskrona, Sweden; [Bryant, Jayne] Curtin Univ, Perth, WA, Australia</t>
  </si>
  <si>
    <t xml:space="preserve">Blekinge Institute Technology; Curtin University</t>
  </si>
  <si>
    <t xml:space="preserve">Bryant, J (corresponding author), Blekinge Inst Technol, Dept Strateg Sustainable Dev, Karlskrona, Sweden.;Bryant, J (corresponding author), Curtin Univ, Perth, WA, Australia.</t>
  </si>
  <si>
    <t xml:space="preserve">jayne.bryant@bth.se; james.ayers@bth.se; merlina.missimer@bth.se</t>
  </si>
  <si>
    <t xml:space="preserve">1467-6370</t>
  </si>
  <si>
    <t xml:space="preserve">1758-6739</t>
  </si>
  <si>
    <t xml:space="preserve">INT J SUST HIGHER ED</t>
  </si>
  <si>
    <t xml:space="preserve">Int. J. Sustain. High. Educ.</t>
  </si>
  <si>
    <t xml:space="preserve">JUN 5</t>
  </si>
  <si>
    <t xml:space="preserve">10.1108/IJSHE-03-2022-0086</t>
  </si>
  <si>
    <t xml:space="preserve">Green &amp; Sustainable Science &amp; Technology; Education &amp; Educational Research</t>
  </si>
  <si>
    <t xml:space="preserve">Science &amp; Technology - Other Topics; Education &amp; Educational Research</t>
  </si>
  <si>
    <t xml:space="preserve">I2QW1</t>
  </si>
  <si>
    <t xml:space="preserve">WOS:001001290600001</t>
  </si>
  <si>
    <t xml:space="preserve">MultiDimEr : A Multi-Dimensional bug analyzEr</t>
  </si>
  <si>
    <t xml:space="preserve">INTERNATIONAL CONFERENCE ON TECHNICAL DEBT 2022 (TECHDEBT 2022)</t>
  </si>
  <si>
    <t xml:space="preserve">5th International Conference on Technical Debt (TechDebt)</t>
  </si>
  <si>
    <t xml:space="preserve">MAY 17-18, 2022</t>
  </si>
  <si>
    <t xml:space="preserve">Pittsburgh, PA</t>
  </si>
  <si>
    <t xml:space="preserve">Assoc Comp Machinery,IEEE Comp Soc</t>
  </si>
  <si>
    <t xml:space="preserve">technical debt; bug analysis; bug visualization; tool support; software maintenance; bug management</t>
  </si>
  <si>
    <t xml:space="preserve">PREDICTION</t>
  </si>
  <si>
    <t xml:space="preserve">Background: Bugs and bug management consumes a significant amount of time and effort from software development organizations. A reduction in bugs can significantly improve the capacity for new feature development. Aims: We categorize and visualize dimensions of bug reports to identify accruing technical debt. This evidence can serve practitioners and decision makers not only as an argumentative basis for steering improvement efforts, but also as a starting point for root cause analysis, reducing overall bug inflow. Method: We implemented a tool, MultiDimEr, that analyzes and visualizes bug reports. The tool was implemented and evaluated at Ericsson. Results: We present our preliminary findings using the MultiDimEr for bug analysis, where we successfully identified components generating most of the bugs and bug trends within certain components. Conclusions: By analyzing the dimensions provided by MultiDimEr, we show that classifying and visualizing bug reports in different dimensions can stimulate discussions around bug hot spots as well as validating the accuracy of manually entered bug report attributes used in technical debt measurements such as fault slip through.</t>
  </si>
  <si>
    <t xml:space="preserve">[Silva, Lakmal; Unterkalmsteiner, Michael; Wnuk, Krzysztof] Blekinge Inst Technol, Karlskrona, Sweden; [Silva, Lakmal] Ericsson AB, Stockholm, Sweden</t>
  </si>
  <si>
    <t xml:space="preserve">Silva, L (corresponding author), Blekinge Inst Technol, Karlskrona, Sweden.;Silva, L (corresponding author), Ericsson AB, Stockholm, Sweden.</t>
  </si>
  <si>
    <t xml:space="preserve">10.1145/3524843.3528099</t>
  </si>
  <si>
    <t xml:space="preserve">Business, Finance; Computer Science, Interdisciplinary Applications; Computer Science, Software Engineering</t>
  </si>
  <si>
    <t xml:space="preserve">BT8DA</t>
  </si>
  <si>
    <t xml:space="preserve">WOS:000852810000009</t>
  </si>
  <si>
    <t xml:space="preserve">Sjogren, TK; Vu, VT; Pettersson, MI; Gustavsson, A</t>
  </si>
  <si>
    <t xml:space="preserve">Sjogren, Thomas K.; Vu, Viet T.; Pettersson, Mats, I; Gustavsson, A.</t>
  </si>
  <si>
    <t xml:space="preserve">Change Detection for Monostatic Pursuit SAR GMTI-Theories and Experimental Results</t>
  </si>
  <si>
    <t xml:space="preserve">Synthetic aperture radar; Radar polarimetry; Extraterrestrial measurements; Orbits; Focusing; Doppler effect; Azimuth; Change detection; ground moving target indication (GMTI); pursuit mode; synthetic aperture radar (SAR)</t>
  </si>
  <si>
    <t xml:space="preserve">MOVING TARGETS</t>
  </si>
  <si>
    <t xml:space="preserve">Monostatic pursuit refers to the operating mode formed by two monostatic synthetic aperture radar (SAR) systems that follow an identical orbit with a separation in a time of several seconds. The detected changes between SAR scenes with several seconds of time difference are most likely the changes caused by ground moving targets. Hence, this operating mode opens an opportunity to detect ground moving targets by SAR change detection methods. This article investigates this possibility to detect ground moving targets using change detection and to combine change detection and ground moving target indication (GMTI) for GMTI. In this combination, a GMTI method will help to classify the detected changes obtained with a change detection method. Some GMTI results are provided in the article based on the measurements in the monostatic pursuit mode with deployed targets, conducted by TerraSAR-X and TanDEM-X in Sweden in early 2015.</t>
  </si>
  <si>
    <t xml:space="preserve">[Sjogren, Thomas K.; Gustavsson, A.] Swedish Def Res Agcy, S-58330 Linkoping, Sweden; [Vu, Viet T.; Pettersson, Mats, I] Blekinge Inst Technol, S-37179 Karlskrona, Sweden</t>
  </si>
  <si>
    <t xml:space="preserve">Saab Group; Blekinge Institute Technology</t>
  </si>
  <si>
    <t xml:space="preserve">thomas.sjogren@foi.se; viet.thuy.vu@bth.se; mats.pettersson@bth.se; anders.gustavsson@foi.se</t>
  </si>
  <si>
    <t xml:space="preserve">Sjogren, Thomas/0000-0002-9663-5902; Pettersson, Mats/0000-0002-6643-312X</t>
  </si>
  <si>
    <t xml:space="preserve">10.1109/TGRS.2022.3206867</t>
  </si>
  <si>
    <t xml:space="preserve">5D7CP</t>
  </si>
  <si>
    <t xml:space="preserve">WOS:000865095100004</t>
  </si>
  <si>
    <t xml:space="preserve">Sievert, T; Rasch, J; Carlström, A; Barbosa, VL; Pettersson, MI; Vu, V</t>
  </si>
  <si>
    <t xml:space="preserve">Sievert, Thomas; Rasch, Joel; Carlstrom, Anders; Ludwig Barbosa, Vinicius; Pettersson, Mats I.; Vu, Viet</t>
  </si>
  <si>
    <t xml:space="preserve">Using A Sliding Window Phase Matching Method for Imaging of GNSS Radio Occultation Signals</t>
  </si>
  <si>
    <t xml:space="preserve">radio occultation; GNSS; radio-holographic analysis; phase matching</t>
  </si>
  <si>
    <t xml:space="preserve">ATMOSPHERE</t>
  </si>
  <si>
    <t xml:space="preserve">Global Navigation Satellite System Radio Occultation (GNSS-RO) is a technique used to sound the atmosphere and derive vertical profiles of refractivity. Signals from GNSS satellites are received in a low-Earth orbit, and they are then processed to produce bending angle profiles, from which meteorological parameters can be retrieved. Generating two-dimensional images in the form of spectrograms from GNSS-RO signals is commonly done to, for instance, investigate reflections or estimate signal quality in the lower troposphere. This is typically implemented using, e.g., the Short-Time Fourier Transform (STFT) to produce a time-frequency representation that is subsequently transformed to bending angle (BA) and impact height (IH) coordinates by non-linear mapping. In this paper, we propose an alternative method based on a straightforward extension of the Phase Matching (PM) operator to produce two-dimensional spectral images in the BA-IH domain by applying a sliding window. This Sliding Window Phase Matching (SWPM) method generates the spectral amplitude on an arbitrary grid in BA and IH, e.g., along the coordinate axes. To illustrate, we show both SWPM and STFT methods applied to operational MetOp-A data. For SWPM we use a constant window in the BA-dimension, whereas for STFT we use a conventional constant time window. We show that the SWPM method produces the same result as STFT when the same window length is used for both methods. The sample points in impact parameter and bending angle are those generated by and the main advantage is that SWPM offers the user a convenient way to freely sample the BA-IH space. The cost for this is processing time that is somewhat longer than implementations based on the Fast Fourier Transform, such as the STFT method.</t>
  </si>
  <si>
    <t xml:space="preserve">[Sievert, Thomas; Ludwig Barbosa, Vinicius; Pettersson, Mats I.; Vu, Viet] Blekinge Inst Technol, Dept Math &amp; Nat Sci, S-37179 Karlskrona, Sweden; [Rasch, Joel] Molflow, S-41101 Gothenburg, Sweden; [Carlstrom, Anders] RUAG Space AB, S-40515 Gothenburg, Sweden</t>
  </si>
  <si>
    <t xml:space="preserve">Sievert, T (corresponding author), Blekinge Inst Technol, Dept Math &amp; Nat Sci, S-37179 Karlskrona, Sweden.</t>
  </si>
  <si>
    <t xml:space="preserve">thomas.sievert@bth.se; joel.rasch@molflow.com; anders.carlstrom@ruag.com; vinicius.ludwig.barbosa@bth.se; mats.pettersson@bth.se; viet.thuy.vu@bth.se</t>
  </si>
  <si>
    <t xml:space="preserve">Carlstrom, Anders/0000-0002-0620-7825; Sievert, Thomas/0000-0002-2856-6140; Pettersson, Mats/0000-0002-6643-312X; Ludwig Barbosa, Vinicius/0000-0002-7769-8641</t>
  </si>
  <si>
    <t xml:space="preserve">10.3390/rs13050970</t>
  </si>
  <si>
    <t xml:space="preserve">QW2UI</t>
  </si>
  <si>
    <t xml:space="preserve">WOS:000628509700001</t>
  </si>
  <si>
    <t xml:space="preserve">Palm, BG; Bayer, FM; Javadi, S; Vu, VT; Pettersson, MI</t>
  </si>
  <si>
    <t xml:space="preserve">Palm, Bruna G.; Bayer, Fabio M.; Javadi, Saleh; Vu, Viet T.; Pettersson, Mats I.</t>
  </si>
  <si>
    <t xml:space="preserve">Inflated Rayleigh Regression Model for High Dynamic Magnitude SAR Image Modeling</t>
  </si>
  <si>
    <t xml:space="preserve">Data models; Radar polarimetry; Synthetic aperture radar; Vectors; Biological system modeling; Mathematical models; Standards; Random variables; Radar imaging; Predictive models; High magnitude pixels; inflated Rayleigh distribution; null pixel values; regression model; synthetic aperture radar (SAR) images</t>
  </si>
  <si>
    <t xml:space="preserve">This letter introduces a novel regression model structure for the inflated Rayleigh distribution, which effectively models high dynamic amplitude pixel values in synthetic aperture radar (SAR) images. The proposed model estimates the mean of inflated Rayleigh distribution signals by a structure that includes a set of regressors and a link function. The inflated Rayleigh distribution combines the Rayleigh and a degenerate distribution, assigning nonnull probability specifically for observed values equal to zero. Null pixel values in amplitude SAR images can be randomly distributed within the image, especially in low-intensity areas; a model capable of incorporating these values is essential to avoid changes in image statistics. Extensive evaluations are conducted using simulated and real SAR images to validate the proposed model, specifically focusing on ground-type detection in high dynamic amplitude pixel values scenarios. The performance of the proposed inflated Rayleigh regression model is compared with traditional Gaussian-based regression models, excelling in terms of ground-type detection in an SAR image obtained from the ICEYE radar.</t>
  </si>
  <si>
    <t xml:space="preserve">[Palm, Bruna G.; Javadi, Saleh; Vu, Viet T.; Pettersson, Mats I.] Blekinge Inst Technol, Dept Math &amp; Nat Sci, S-37179 Karlskrona, Sweden; [Bayer, Fabio M.] Univ Fed Santa Maria, Dept Estat, BR-97105900 Santa Maria, Brazil; [Bayer, Fabio M.] Univ Fed Santa Maria, LACESM, BR-97105900 Santa Maria, Brazil</t>
  </si>
  <si>
    <t xml:space="preserve">Blekinge Institute Technology; Universidade Federal de Santa Maria (UFSM); Universidade Federal de Santa Maria (UFSM)</t>
  </si>
  <si>
    <t xml:space="preserve">Palm, BG (corresponding author), Blekinge Inst Technol, Dept Math &amp; Nat Sci, S-37179 Karlskrona, Sweden.</t>
  </si>
  <si>
    <t xml:space="preserve">bruna.palm@bth.se; bayer@ufsm.br; saleh.javadi@bth.se; viet.vu@bth.se; mats.pettersson@bth.se</t>
  </si>
  <si>
    <t xml:space="preserve">G. Palm, Bruna/AAZ-4107-2021; Bayer, Fábio/G-4513-2012</t>
  </si>
  <si>
    <t xml:space="preserve">G. Palm, Bruna/0000-0003-0423-9927; Mariano Bayer, Fabio/0000-0002-1464-0805</t>
  </si>
  <si>
    <t xml:space="preserve">Conselho Nacional de Desenvolvimento Cientifico e Tecnologico (CNPq); Fundacao de Amparo a Pesquisa doEstado do Rio Grande do Sul (FAPERGS), Brazil</t>
  </si>
  <si>
    <t xml:space="preserve">Conselho Nacional de Desenvolvimento Cientifico e Tecnologico (CNPq)(Conselho Nacional de Desenvolvimento Cientifico e Tecnologico (CNPQ)); Fundacao de Amparo a Pesquisa doEstado do Rio Grande do Sul (FAPERGS), Brazil(Fundacao de Amparo a Ciencia e Tecnologia do Estado do Rio Grande do Sul (FAPERGS))</t>
  </si>
  <si>
    <t xml:space="preserve">Thiswork was supported in part by the Conselho Nacional de Desenvolvimento Cientifico e Tecnologico (CNPq) and the Fundacao de Amparo a Pesquisa doEstado do Rio Grande do Sul (FAPERGS), Brazil.</t>
  </si>
  <si>
    <t xml:space="preserve">10.1109/LGRS.2024.3482091</t>
  </si>
  <si>
    <t xml:space="preserve">K8D0K</t>
  </si>
  <si>
    <t xml:space="preserve">WOS:001346122100008</t>
  </si>
  <si>
    <t xml:space="preserve">Implementing sustainability in product portfolio development through digitalization and a game-based approach*</t>
  </si>
  <si>
    <t xml:space="preserve">Strategic sustainable development; Gamification; Serious game; Sustainable product development; Sustainability assessment method; Digital tool</t>
  </si>
  <si>
    <t xml:space="preserve">CIRCULAR ECONOMY; ENVIRONMENTAL PERFORMANCE; SOFTWARE PLATFORM; SERIOUS GAME; ECO-DESIGN; GAMIFICATION; MANAGEMENT; INDUSTRY; IMPACT; TOOLS</t>
  </si>
  <si>
    <t xml:space="preserve">The aim of this research is to explore if and how digitalization and a game-based approach can improve the usability and implementation of sustainable design methods and tools in a product development process. Based on semi-systematic literature review, advantages and limitations of digitalization and game-based approaches in this context were identified. A previously developed method that guides the implementation of a strategic sustainability perspective in product portfolio development, was then selected and elements of digitalization and game-based approaches were incorporated in its four building blocks: double-flow scenario modeling, sustainability assessment, market success assessment, and portfolio development. The resulting prototype of this method was further adapted after feedback gathered through expert interviews and then tested in workshops with industry and academia. It was found that digitalization was especially useful for the scenario simulation, data management, and automatic visualization of results, while the benefits of the game-based approach were enhanced motivation, collaboration, and co-design of results and solutions. At the same time, drawbacks were discovered, for example related to decreased transparency of how results are calculated, overuse of visualization and extrinsic rewards, leading to lack of clarity and trust in the results. In conclusion, there are synergies between digitalization and game-based approaches that can improve the usability of sustainable design methods and tools, but extensive testing is recommended to avoid pitfalls that can lead to opposite effects. Moreover, recommendations were identified for how to include digitalization and a game-based approach, for example, to enable integration with other tools, maintenance and constant update, to explore the benefits of team-based assessments and collaboration, to add diversity and customization, and to link the game to the user's context, application, expectations and requirements.</t>
  </si>
  <si>
    <t xml:space="preserve">[Villamil, Carolina; Schulte, Jesko; Hallstedt, Sophie] BTH Blekinge Inst Technol, Blekinge Inst Technol, Dept Strateg Sustainable Dev, Valhallavagen 1, S-37141 Karlskrona, Sweden; [Hallstedt, Sophie] Chalmers Univ Technol, Dept Ind &amp; Mat Sci, Div Prod Dev, Chalmersplatsen 4, Gothenburg, Sweden</t>
  </si>
  <si>
    <t xml:space="preserve">Blekinge Institute Technology; Chalmers University of Technology</t>
  </si>
  <si>
    <t xml:space="preserve">Villamil, C (corresponding author), BTH Blekinge Inst Technol, Blekinge Inst Technol, Dept Strateg Sustainable Dev, Valhallavagen 1, S-37141 Karlskrona, Sweden.</t>
  </si>
  <si>
    <t xml:space="preserve">dcv@bth.se; jesko.schulte@bth.se; sophie.hallstedt@bth.se</t>
  </si>
  <si>
    <t xml:space="preserve">Swedish Knowledge Foundation [20180159]; Vinnova, Sweden's innovation agency [2020-04163]; Swedish Research Council [2020-04163] Funding Source: Swedish Research Council; Vinnova [2020-04163] Funding Source: Vinnova</t>
  </si>
  <si>
    <t xml:space="preserve">Swedish Knowledge Foundation; Vinnova, Sweden's innovation agency(Vinnova); Swedish Research Council(Swedish Research Council); Vinnova(Vinnova)</t>
  </si>
  <si>
    <t xml:space="preserve">The authors are deeply thankful for the financial support from the Swedish Knowledge Foundation (grant number 20180159) and from Vinnova, Sweden's innovation agency (grant numbers 2020-04163) . Sincere thanks also to the experts and workshop participants for their valuable feedback. We are equally grateful to Guillermo Solano for his advice to improve the method prototype.</t>
  </si>
  <si>
    <t xml:space="preserve">10.1016/j.spc.2023.07.002</t>
  </si>
  <si>
    <t xml:space="preserve">P0TA2</t>
  </si>
  <si>
    <t xml:space="preserve">WOS:001047838400001</t>
  </si>
  <si>
    <t xml:space="preserve">Ivanenko, Y; Vu, VT; Batra, A; Kaiser, T; Pettersson, MI</t>
  </si>
  <si>
    <t xml:space="preserve">Ivanenko, Yevhen; Vu, Viet T.; Batra, Aman; Kaiser, Thomas; Pettersson, Mats, I</t>
  </si>
  <si>
    <t xml:space="preserve">Interpolation Methods with Phase Control for Backprojection of Complex-Valued SAR Data</t>
  </si>
  <si>
    <t xml:space="preserve">complex-valued SAR data interpolation; complex SAR interpolation; THz SAR; backprojection; GBP</t>
  </si>
  <si>
    <t xml:space="preserve">Time-domain backprojection algorithms are widely used in state-of-the-art synthetic aperture radar (SAR) imaging systems that are designed for applications where motion error compensation is required. These algorithms include an interpolation procedure, under which an unknown SAR range-compressed data parameter is estimated based on complex-valued SAR data samples and backprojected into a defined image plane. However, the phase of complex-valued SAR parameters estimated based on existing interpolators does not contain correct information about the range distance between the SAR imaging system and the given point of space in a defined image plane, which affects the quality of reconstructed SAR scenes. Thus, a phase-control procedure is required. This paper introduces extensions of existing linear, cubic, and sinc interpolation algorithms to interpolate complex-valued SAR data, where the phase of the interpolated SAR data value is controlled through the assigned a priori known range time that is needed for a signal to reach the given point of the defined image plane and return back. The efficiency of the extended algorithms is tested at the Nyquist rate on simulated and real data at THz frequencies and compared with existing algorithms. In comparison to the widely used nearest-neighbor interpolation algorithm, the proposed extended algorithms are beneficial from the lower computational complexity perspective, which is directly related to the offering of smaller memory requirements for SAR image reconstruction at THz frequencies.</t>
  </si>
  <si>
    <t xml:space="preserve">[Ivanenko, Yevhen; Vu, Viet T.; Pettersson, Mats, I] Blekinge Inst Technol, Dept Math &amp; Nat Sci, S-37179 Karlskrona, Sweden; [Batra, Aman; Kaiser, Thomas] Univ Duisburg Essen, Inst Digital Signal Proc, D-47057 Duisburg, Germany</t>
  </si>
  <si>
    <t xml:space="preserve">yevhen.ivanenko@bth.se; viet.thuy.vu@bth.se; aman.batra@uni-due.de; thomas.kaiser@uni-due.de; mats.pettersson@bth.se</t>
  </si>
  <si>
    <t xml:space="preserve">Pettersson, Mats/0000-0002-6643-312X; Ivanenko, Yevhen/0000-0002-3928-6064; Batra, Aman/0000-0002-4526-8081</t>
  </si>
  <si>
    <t xml:space="preserve">ELLIIT research environment under the project Multistatic High-resolution Sensing at THz [A17]; Deutsche Forschungsgemeinschaft (DFG, German Research Foundation) [287022738 TRR 196, S05]</t>
  </si>
  <si>
    <t xml:space="preserve">ELLIIT research environment under the project Multistatic High-resolution Sensing at THz; Deutsche Forschungsgemeinschaft (DFG, German Research Foundation)(German Research Foundation (DFG))</t>
  </si>
  <si>
    <t xml:space="preserve">This work was supported by the ELLIIT research environment under the project Multistatic High-resolution Sensing at THz, Project-ID A17, and by the Deutsche Forschungsgemeinschaft (DFG, German Research Foundation), Project-ID 287022738 TRR 196 for associated project S05.</t>
  </si>
  <si>
    <t xml:space="preserve">10.3390/s22134941</t>
  </si>
  <si>
    <t xml:space="preserve">2V0BJ</t>
  </si>
  <si>
    <t xml:space="preserve">WOS:000823517300001</t>
  </si>
  <si>
    <t xml:space="preserve">Smite, D; Moe, NB; Gonzalez-Huerta, J</t>
  </si>
  <si>
    <t xml:space="preserve">Smite, Darja; Moe, Nils Brede; Gonzalez-Huerta, Javier</t>
  </si>
  <si>
    <t xml:space="preserve">Overcoming cultural barriers to being agile in distributed teams</t>
  </si>
  <si>
    <t xml:space="preserve">Culture; Cultural Barriers; Agile; DevOps; Distributed Agile Teams</t>
  </si>
  <si>
    <t xml:space="preserve">SOFTWARE; MANAGEMENT; DISTANCE; CONTEXT</t>
  </si>
  <si>
    <t xml:space="preserve">Context: Agile methods in offshored projects have become increasingly popular. Yet, many companies have found that the use of agile methods in coordination with companies located outside the regions of early agile adopters remains challenging. India has received particular attention as the leading destination of offshoring contracts due to significant cultural differences between sides of such contracts. Alarming differences are primarily rooted in the hierarchical business culture of Indian organizations and related command-and-control management behavior styles. Objective: In this study, we attempt to understand whether cultural barriers persist in distributed projects in which Indian engineers work with a more empowering Swedish management, and if so, how to overcome them. The present work is an invited extension of a conference paper. Method: We performed a multiple-case study in a mature agile company located in Sweden and a more hierarchical Indian vendor. We collected data from five group interviews with a total of 34 participants and five workshops with 96 participants in five distributed DevOps teams, including 36 Indian members, whose preferred behavior in different situations we surveyed. Results: We identified twelve cultural barriers, six of which were classified as impediments to agile software development practices, and report on the manifestation of these barriers in five DevOps teams. Finally, we put forward recommendations to overcome the identified barriers and emphasize the importance of cultural training, especially when onboarding new team members. Conclusions: Our findings confirm previously reported behaviors rooted in cultural differences that impede the adoption of agile approaches in offshore collaborations, and identify new barriers not previously reported. In contrast to the existing opinion that cultural characteristics are rigid and unchanging, we found that some barriers present at the beginning of the studied collaboration disappeared over time. Many offshore members reported behaving similarly to their onshore colleagues.</t>
  </si>
  <si>
    <t xml:space="preserve">[Smite, Darja; Moe, Nils Brede; Gonzalez-Huerta, Javier] Blekinge Inst Technol, Karlskrona, Sweden; [Smite, Darja; Moe, Nils Brede] SINTEF ICT, Trondheim, Norway</t>
  </si>
  <si>
    <t xml:space="preserve">Smite, D (corresponding author), Blekinge Inst Technol, Karlskrona, Sweden.</t>
  </si>
  <si>
    <t xml:space="preserve">Darja.Smite@bth.se; Nils.B.Moe@bth.se; Javier.Gonzalez.Huerta@bth.se</t>
  </si>
  <si>
    <t xml:space="preserve">Gonzalez-Huerta, Javier/V-4258-2019; Moe, Nils/AAD-8183-2021</t>
  </si>
  <si>
    <t xml:space="preserve">GoLD project; ScaleWise project; Swedish Knowledge Foundation under the KK-Hog grant [2016/0191, 2019/0087]; A-team project; Research Council of Norway [267704]</t>
  </si>
  <si>
    <t xml:space="preserve">GoLD project; ScaleWise project; Swedish Knowledge Foundation under the KK-Hog grant; A-team project; Research Council of Norway(Research Council of Norway)</t>
  </si>
  <si>
    <t xml:space="preserve">This research was funded by the GoLD and ScaleWise projects and the Swedish Knowledge Foundation under the KK-Hog grants 2016/0191 and 2019/0087, and by the A-team project and the Research Council of Norway through grant 267704.</t>
  </si>
  <si>
    <t xml:space="preserve">10.1016/j.infsof.2021.106612</t>
  </si>
  <si>
    <t xml:space="preserve">WOS:000672531500012</t>
  </si>
  <si>
    <t xml:space="preserve">Improving Web Element Localization by Using a Large Language Model</t>
  </si>
  <si>
    <t xml:space="preserve">SOFTWARE TESTING VERIFICATION &amp; RELIABILITY</t>
  </si>
  <si>
    <t xml:space="preserve">GUI testing; large language models; test automation; test case robustness; web element locators</t>
  </si>
  <si>
    <t xml:space="preserve">Web-based test automation heavily relies on accurately finding web elements. Traditional methods compare attributes but do not grasp the context and meaning of elements and words. The emergence of large language models (LLMs) like GPT-4, which can show human-like reasoning abilities on some tasks, offers new opportunities for software engineering and web element localization. This paper introduces and evaluates VON Similo LLM, an enhanced web element localization approach. Using an LLM, it selects the most likely web element from the top-ranked ones identified by the existing VON Similo method, ideally aiming to get closer to human-like selection accuracy. An experimental study was conducted using 804 web element pairs from 48 real-world web applications. We measured the number of correctly identified elements as well as the execution times, comparing the effectiveness and efficiency of VON Similo LLM against the baseline algorithm. In addition, motivations from the LLM were recorded and analysed for 140 instances. VON Similo LLM demonstrated improved performance, reducing failed localizations from 70 to 40 (out of 804), a 43% reduction. Despite its slower execution time and additional costs of using the GPT-4 model, the LLM's human-like reasoning showed promise in enhancing web element localization. LLM technology can enhance web element localization in GUI test automation, reducing false positives and potentially lowering maintenance costs. However, further research is necessary to fully understand LLMs' capabilities, limitations and practical use in GUI testing. This study introduces VON Similo LLM, which combines the precision of the VON Similo algorithm with the language understanding and reasoning abilities of large language models (LLMs) to improve web element localization in GUI-based software testing. It ranks web elements using VON Similo, selects the top 10 and uses the LLM to identify the element most similar to the target, enhancing accuracy through understanding element context and properties in a human-like manner. image</t>
  </si>
  <si>
    <t xml:space="preserve">[Nass, Michel] Blekinge Inst Technol, H SERL, Karlskrona, Sweden; [Alegroth, Emil; Feldt, Robert] Blekinge Inst Technol, P SERL, Karlskrona, Sweden; [Feldt, Robert] Chalmers Univ Technol, Software Engn, Gothenburg, Sweden</t>
  </si>
  <si>
    <t xml:space="preserve">michel.nass@bth.se</t>
  </si>
  <si>
    <t xml:space="preserve">Swedish Scientific Council [2015-04913]</t>
  </si>
  <si>
    <t xml:space="preserve">Swedish Scientific Council</t>
  </si>
  <si>
    <t xml:space="preserve">This work was supported by the KKS foundation through the S.E.R.T. Research Profile project at Blekinge Institute of Technology. Robert Feldt has also been supported by the Swedish Scientific Council (No. 2015-04913, 'Basing Software Testing on Information Theory').</t>
  </si>
  <si>
    <t xml:space="preserve">0960-0833</t>
  </si>
  <si>
    <t xml:space="preserve">1099-1689</t>
  </si>
  <si>
    <t xml:space="preserve">SOFTW TEST VERIF REL</t>
  </si>
  <si>
    <t xml:space="preserve">Softw. Test. Verif. Reliab.</t>
  </si>
  <si>
    <t xml:space="preserve">10.1002/stvr.1893</t>
  </si>
  <si>
    <t xml:space="preserve">AUG 2024</t>
  </si>
  <si>
    <t xml:space="preserve">J4C7O</t>
  </si>
  <si>
    <t xml:space="preserve">WOS:001290853000001</t>
  </si>
  <si>
    <t xml:space="preserve">Arachchige, TK; Ickin, S; Abghari, S; Boeva, V</t>
  </si>
  <si>
    <t xml:space="preserve">Arachchige, Tharuka Kasthuri; Ickin, Selim; Abghari, Shahrooz; Boeva, Veselka</t>
  </si>
  <si>
    <t xml:space="preserve">Clients Behavior Monitoring in Federated Learning via Eccentricity Analysis</t>
  </si>
  <si>
    <t xml:space="preserve">Federated Learning; Eccentricity Analysis; Neural Networks; Client Behavior Monitoring</t>
  </si>
  <si>
    <t xml:space="preserve">The success of Federated Learning (FL) hinges upon the active participation and contributions of edge devices as they collaboratively train a global model while preserving data privacy. Understanding the behavior of individual clients within the FL framework is essential for enhancing model performance, ensuring system reliability, and protecting data privacy. However, analyzing client behavior poses a significant challenge due to the decentralized nature of FL, the variety of participating devices, and the complex interplay between client models throughout the training process. This research proposes a novel approach based on eccentricity analysis to address the challenges associated with understanding the different clients' behavior in the federation. We study how the eccentricity analysis can be applied to monitor the clients' behaviors through the training process by assessing the eccentricity metrics of clients' local models and clients' data representation in the global model. The Kendall ranking method is used for evaluating the correlations between the defined eccentricity metrics and the clients' benefit from the federation and influence on the federation, respectively. Our initial experiments on a publicly available data set demonstrate that the defined eccentricity measures can provide valuable information for monitoring the clients' behavior and eventually identify clients with deviating behavioral patterns.</t>
  </si>
  <si>
    <t xml:space="preserve">[Arachchige, Tharuka Kasthuri; Abghari, Shahrooz; Boeva, Veselka] Blekinge Inst Technol, Karlskrona, Sweden; [Ickin, Selim] Ericsson AB, Stockholm, Sweden</t>
  </si>
  <si>
    <t xml:space="preserve">Arachchige, TK (corresponding author), Blekinge Inst Technol, Karlskrona, Sweden.</t>
  </si>
  <si>
    <t xml:space="preserve">tak@bth.se; selim.ickin@ericsson.com; sab@bth.se; vbx@bth.se</t>
  </si>
  <si>
    <t xml:space="preserve">Ickin, Selim/G-2939-2014; Abghari, Shahrooz/ADU-1546-2022; Boeva, Veselka/IAP-9371-2023</t>
  </si>
  <si>
    <t xml:space="preserve">This research is funded partly by the Knowledge Foundation, Sweden, through the Human-Centered Intelligent Realities (HINTS) Profile Project (contract 20220068).</t>
  </si>
  <si>
    <t xml:space="preserve">10.1109/EAIS58494.2024.10569103</t>
  </si>
  <si>
    <t xml:space="preserve">WOS:001261404700006</t>
  </si>
  <si>
    <t xml:space="preserve">On the performance and scalability of consensus mechanisms in privacy-enabled decentralized renewable energy marketplace</t>
  </si>
  <si>
    <t xml:space="preserve">ANNALS OF TELECOMMUNICATIONS</t>
  </si>
  <si>
    <t xml:space="preserve">Renewable energy marketplace; Blockchain technology; Peer-to-peer energy trading; Hyperledger Besu; Data privacy</t>
  </si>
  <si>
    <t xml:space="preserve">Renewable energy sources were introduced as an alternative to fossil fuel sources to make electricity generation cleaner. However, today's renewable energy markets face a number of limitations, such as inflexible pricing models and inaccurate consumption information. These limitations can be addressed with a decentralized marketplace architecture. Such architecture requires a mechanism to guarantee that all marketplace operations are executed according to predefined rules and regulations. One of the ways to establish such a mechanism is blockchain technology. This work defines a decentralized blockchain-based peer-to-peer (P2P) energy marketplace which addresses actors' privacy and the performance of consensus mechanisms. The defined marketplace utilizes private permissioned Ethereum-based blockchain client Hyperledger Besu (HB) and its smart contracts to automate the P2P trade settlement process. Also, to make the marketplace compliant with energy trade regulations, it includes the regulator actor, which manages the issue and consumption of guarantees of origin and certifies the renewable energy sources used to generate traded electricity. Finally, the proposed marketplace incorporates privacy-preserving features, allowing it to generate private transactions and store them within a designated group of actors. Performance evaluation results of HB-based marketplace with three main consensus mechanisms for private networks, i.e., Clique, IBFT 2.0, and QBFT, demonstrate a lower throughput than another popular private permissioned blockchain platform Hyperledger Fabric (HF). However, the lower throughput is a side effect of the Byzantine Fault Tolerant characteristics of HB's consensus mechanisms, i.e., IBFT 2.0 and QBFT, which provide increased security compared to HF's Crash Fault Tolerant consensus RAFT.</t>
  </si>
  <si>
    <t xml:space="preserve">Blekinge Institute of Technology; Swedish Knowledge Foundation</t>
  </si>
  <si>
    <t xml:space="preserve">Open access funding provided by Blekinge Institute of Technology. The work was partly sponsored by the Swedish Knowledge Foundation through the project Symphony-Supply-and-Demand-based Service Exposure using Robust Distributed Concepts.</t>
  </si>
  <si>
    <t xml:space="preserve">SPRINGER INT PUBL AG</t>
  </si>
  <si>
    <t xml:space="preserve">0003-4347</t>
  </si>
  <si>
    <t xml:space="preserve">1958-9395</t>
  </si>
  <si>
    <t xml:space="preserve">ANN TELECOMMUN</t>
  </si>
  <si>
    <t xml:space="preserve">Ann. Telecommun.</t>
  </si>
  <si>
    <t xml:space="preserve">10.1007/s12243-023-00973-8</t>
  </si>
  <si>
    <t xml:space="preserve">SEP 2023</t>
  </si>
  <si>
    <t xml:space="preserve">NL9C7</t>
  </si>
  <si>
    <t xml:space="preserve">WOS:001057000900001</t>
  </si>
  <si>
    <t xml:space="preserve">Baghdari, S; Oeinert, J</t>
  </si>
  <si>
    <t xml:space="preserve">Baghdari, Samaneh; oeinert, Johan</t>
  </si>
  <si>
    <t xml:space="preserve">Pure semisimple and Kothe group rings</t>
  </si>
  <si>
    <t xml:space="preserve">COMMUNICATIONS IN ALGEBRA</t>
  </si>
  <si>
    <t xml:space="preserve">Group ring; Kothe ring; pure semisimple</t>
  </si>
  <si>
    <t xml:space="preserve">In this article, we provide a complete characterization of abelian group rings which are Kothe rings. We also provide characterizations of (possibly non-abelian) group rings over division rings which are Kothe rings, both in characteristic zero and in prime characteristic, and prove a Maschke type result for pure semisimplicity of group rings. Furthermore, we illustrate our results by several examples.Communicated by Eric Jespers</t>
  </si>
  <si>
    <t xml:space="preserve">[Baghdari, Samaneh] Isfahan Univ Technol, Dept Math, Esfahan, Iran; [oeinert, Johan] Blekinge Inst Technol, Dept Math &amp; Nat Sci, Karlskrona, Sweden; [oeinert, Johan] Blekinge Inst Technol, Dept Math &amp; Nat Sci, SE-37179 Karlskrona, Sweden</t>
  </si>
  <si>
    <t xml:space="preserve">Isfahan University of Technology; Blekinge Institute Technology; Blekinge Institute Technology</t>
  </si>
  <si>
    <t xml:space="preserve">Oeinert, J (corresponding author), Blekinge Inst Technol, Dept Math &amp; Nat Sci, SE-37179 Karlskrona, Sweden.</t>
  </si>
  <si>
    <t xml:space="preserve">0092-7872</t>
  </si>
  <si>
    <t xml:space="preserve">1532-4125</t>
  </si>
  <si>
    <t xml:space="preserve">COMMUN ALGEBRA</t>
  </si>
  <si>
    <t xml:space="preserve">Commun. Algebr.</t>
  </si>
  <si>
    <t xml:space="preserve">10.1080/00927872.2023.2172179</t>
  </si>
  <si>
    <t xml:space="preserve">C3HT2</t>
  </si>
  <si>
    <t xml:space="preserve">WOS:000948849600001</t>
  </si>
  <si>
    <t xml:space="preserve">Zabardast, E; Frattini, J; Gonzalez-Huerta, J; Mendez, D; Gorschek, T; Wnuk, K</t>
  </si>
  <si>
    <t xml:space="preserve">Zabardast, Ehsan; Frattini, Julian; Gonzalez-Huerta, Javier; Mendez, Daniel; Gorschek, Tony; Wnuk, Krzysztof</t>
  </si>
  <si>
    <t xml:space="preserve">Assets in Software Engineering: What are they after all?</t>
  </si>
  <si>
    <t xml:space="preserve">Assets; Asset management; Software artefacts; Asset degradation; Technical debt</t>
  </si>
  <si>
    <t xml:space="preserve">During the development and maintenance of software-intensive products or services, we depend on various artefacts. Some of those artefacts, we deem central to the feasibility of a project and the product's final quality. Typically, these central artefacts are referred to as assets. However, despite their central role in the software development process, little thought is yet invested into what eventually characterises as an asset, often resulting in many terms and underlying concepts being mixed and used inconsistently. A precise terminology of assets and related concepts, such as asset degradation, are crucial for setting up a new generation of cost-effective software engineering practices. In this position paper, we critically reflect upon the notion of assets in software engineering. As a starting point, we define the terminology and concepts of assets and extend the reasoning behind them. We explore assets' characteristics and discuss what asset degradation is as well as its various types and the implications that asset degradation might bring for the planning, realisation, and evolution of software-intensive products and services over time. We aspire to contribute to a more standardised definition of assets in software engineering and foster research endeavours and their practical dissemination in a common, more unified direction. (c) 2022 The Authors. Published by Elsevier Inc. This is an open access article under the CC BY license (http://creativecommons.org/licenses/by/4.0/).</t>
  </si>
  <si>
    <t xml:space="preserve">[Zabardast, Ehsan; Frattini, Julian; Gonzalez-Huerta, Javier; Mendez, Daniel; Gorschek, Tony; Wnuk, Krzysztof] Blekinge Inst Technol, Software Engn Res Lab SERL, Campus Karlskrona,Valhallavagen 1, Karlskrona, Sweden; [Mendez, Daniel; Gorschek, Tony] Fortiss GmbH, Guerickestr 25, D-80805 Munich, Germany</t>
  </si>
  <si>
    <t xml:space="preserve">Zabardast, E (corresponding author), Blekinge Inst Technol, Software Engn Res Lab SERL, Campus Karlskrona,Valhallavagen 1, Karlskrona, Sweden.</t>
  </si>
  <si>
    <t xml:space="preserve">ehsan.zabardast@bth.se; julian.frattini@bth.se; javier.gonzalez.huerta@bth.se; daniel.mendez@bth.se; tony.gorschek@bth.se; krzysztof.wnuk@bth.se</t>
  </si>
  <si>
    <t xml:space="preserve">Gorschek, Tony/E-3445-2013; Zabardast, Ehsan/AAZ-8119-2021; Mendez, Daniel/ABA-4579-2021; Gonzalez-Huerta, Javier/V-4258-2019</t>
  </si>
  <si>
    <t xml:space="preserve">Mendez Fernandez, Daniel/0000-0003-0619-6027; Zabardast, Ehsan/0000-0002-1729-5154; Frattini, Julian/0000-0003-3995-6125</t>
  </si>
  <si>
    <t xml:space="preserve">10.1016/j.jss.2022.111485</t>
  </si>
  <si>
    <t xml:space="preserve">D3TQ8</t>
  </si>
  <si>
    <t xml:space="preserve">WOS:000967989300022</t>
  </si>
  <si>
    <t xml:space="preserve">Smite, D; Tkalich, A; Moe, NB; Papatheocharous, E; Klotins, E; Buvik, MP</t>
  </si>
  <si>
    <t xml:space="preserve">Smite, Darja; Tkalich, Anastasiia; Moe, Nils Brede; Papatheocharous, Efi; Klotins, Eriks; Buvik, Marte Pettersen</t>
  </si>
  <si>
    <t xml:space="preserve">Changes in perceived productivity of software engineers during COVID-19 pandemic: The voice of evidence</t>
  </si>
  <si>
    <t xml:space="preserve">COVID-19; Perceived productivity; Performance; Work-from-home; WFH; Surveys; Empirical study</t>
  </si>
  <si>
    <t xml:space="preserve">Background: The COVID-19 pandemic triggered a natural experiment of an unprecedented scale as companies closed their offices and sent employees to work from home. Many managers were concerned that their engineers would not be able to work effectively from home, or lack the motivation to do so, and that they would lose control and not even notice when things go wrong. As many companies announced their post-COVID permanent remote-work or hybrid home/office policies, the question of what can be expected from software engineers who work from home becomes more and more relevant. Aims: To understand the nature of home telework we analyze the evidence of perceived changes in productivity comparing office work before the pandemic with the work from home during the pandemic from thirteen empirical surveys of practitioners. Method: We analyzed data from six corporate surveys conducted in four Scandinavian companies combined with the results of seven published surveys studying the perceived changes in productivity in industrial settings. In addition, we sought explanations for the variation in perceived productivity among the engineers from the studied companies through the qualitative analysis of open-ended questions and interviews. Results: Combined results of 7686 data points suggest that though on average perceived productivity has not changed significantly, there are developers who report being more productive, and developers being less productive when working from home. Positively affected individuals in some surveys form large groups of respondents (up to 50%) and mention benefiting from a better organization of work, increased flexibility and focus. Yet, there are equally large groups of negatively affected respondents (up to 51%) who complain about the challenges related to remote teamwork and collaboration, as well as emotional issues, distractions and poor home office environment and equipment. Finally, positive trends are found in longitudinal surveys, i.e., developers' productivity in the later months of the pandemic show better results than those in the earlier months. Conclusions: We conclude that behind the average no changelays a large variation of experiences, which means that the work from home might not be for everyone. Yet, a longitudinal analysis of the surveys is encouraging, as it shows that the more pessimistic results might be influenced by the initial experiences of an unprecedented crisis. At the end, we put forward the lessons learned during the pandemic that can inspire the new post-pandemic work policies. (c) 2021 The Authors. Published by Elsevier Inc. This is an open access article under the CC BY license (http://creativecommons.org/licenses/by/4.0/).</t>
  </si>
  <si>
    <t xml:space="preserve">[Smite, Darja] Blekiuge Inst Technol, Software Engn, Karlskrona, Sweden; [Moe, Nils Brede; Papatheocharous, Efi; Klotins, Eriks] Blekinge Inst Technol, Karlskrona, Sweden; [Smite, Darja; Tkalich, Anastasiia; Moe, Nils Brede; Buvik, Marte Pettersen] SINTEF, Trondheim, Norway</t>
  </si>
  <si>
    <t xml:space="preserve">Smite, D (corresponding author), Blekiuge Inst Technol, Software Engn, Karlskrona, Sweden.</t>
  </si>
  <si>
    <t xml:space="preserve">darja.smite@bth.se; anastasiia.tkalich@sintef.no; nils.b.moe@sintef.no; efi.papatheocharous@bth.se; eriks.klotins@bth.se; martepettersen.buvik@sintef.no</t>
  </si>
  <si>
    <t xml:space="preserve">Buvik, Marte/HKV-4694-2023; Tkalich, Anastasiia/LMP-3329-2024; Moe, Nils/AAD-8183-2021</t>
  </si>
  <si>
    <t xml:space="preserve">Tkalich, Anastasiia/0000-0001-7391-4194; Papatheocharous, Efi/0000-0002-5157-8131; Moe, Nils Brede/0000-0003-2669-0778</t>
  </si>
  <si>
    <t xml:space="preserve">Swedish Knowledge Foundation [2019/0087]; S.E.R.T. research profile project [2018/010]; Research Council of Norway through the 10xTeams project [309344]; Research Council of Norway through the A-team project [267704]</t>
  </si>
  <si>
    <t xml:space="preserve">Swedish Knowledge Foundation; S.E.R.T. research profile project; Research Council of Norway through the 10xTeams project(Research Council of Norway); Research Council of Norway through the A-team project(Research Council of Norway)</t>
  </si>
  <si>
    <t xml:space="preserve">This research is funded by the Swedish Knowledge Foundation within the ScaleWise project (KK-Hog grant 2019/0087) and the S.E.R.T. research profile project (grant 2018/010), and the Research Council of Norway through the 10xTeams project (grant 309344) and the A-team project (grant 267704).</t>
  </si>
  <si>
    <t xml:space="preserve">10.1016/j.jss.2021.111197</t>
  </si>
  <si>
    <t xml:space="preserve">YR5IY</t>
  </si>
  <si>
    <t xml:space="preserve">WOS:000750027000014</t>
  </si>
  <si>
    <t xml:space="preserve">Ickin, S; Fiedler, M; Vandikas, K</t>
  </si>
  <si>
    <t xml:space="preserve">Ickin, Selim; Fiedler, Markus; Vandikas, Konstantinos</t>
  </si>
  <si>
    <t xml:space="preserve">QoE Modeling on Split Features with Distributed Deep Learning</t>
  </si>
  <si>
    <t xml:space="preserve">NETWORK</t>
  </si>
  <si>
    <t xml:space="preserve">Quality of Experience (QoE); machine learning; distributed split learning; distributed ensemble learning; decentralized learning</t>
  </si>
  <si>
    <t xml:space="preserve">The development of Quality of Experience (QoE) models using Machine Learning (ML) is challenging, since it can be difficult to share datasets between research entities to protect the intellectual property of the ML model and the confidentiality of user studies in compliance with data protection regulations such as General Data Protection Regulation (GDPR). This makes distributed machine learning techniques that do not necessitate sharing of data or attribute names appealing. One suitable use case in the scope of QoE can be the task of mapping QoE indicators for the perception of quality such as Mean Opinion Scores (MOS), in a distributed manner. In this article, we present Distributed Ensemble Learning (DEL), and Vertical Federated Learning (vFL) to address this context. Both approaches can be applied to datasets that have different feature sets, i.e., split features. The DEL approach is ML model-agnostic and achieves up to 12% accuracy improvement of ensembling various generic and specific models. The vFL approach is based on neural networks and achieves on-par accuracy with a conventional Fully Centralized machine learning model, while exhibiting statistically significant performance that is superior to that of the Isolated local models with an average accuracy improvement of 26%. Moreover, energy-efficient vFL with reduced network footprint and training time is obtained by further tuning the model hyper-parameters.</t>
  </si>
  <si>
    <t xml:space="preserve">[Ickin, Selim; Vandikas, Konstantinos] Ericsson AB, S-16483 Stockholm, Sweden; [Fiedler, Markus] Blekinge Inst Technol, Dept Technol &amp; Aesthet DITE, S-37424 Karlshamn, Sweden</t>
  </si>
  <si>
    <t xml:space="preserve">Ickin, S; Vandikas, K (corresponding author), Ericsson AB, S-16483 Stockholm, Sweden.;Fiedler, M (corresponding author), Blekinge Inst Technol, Dept Technol &amp; Aesthet DITE, S-37424 Karlshamn, Sweden.</t>
  </si>
  <si>
    <t xml:space="preserve">selim.ickin@ericsson.com; markus.fiedler@bth.se; konstantinos.vandikas@ericsson.com</t>
  </si>
  <si>
    <t xml:space="preserve">Vandikas, Konstantinos/JEF-4851-2023; Ickin, Selim/G-2939-2014</t>
  </si>
  <si>
    <t xml:space="preserve">Vandikas, Konstantinos/0000-0001-6925-0954</t>
  </si>
  <si>
    <t xml:space="preserve">Stiftelsen fr Kunskaps- och Kompetensutveckling [2014/0032]</t>
  </si>
  <si>
    <t xml:space="preserve">Markus Fiedler was co-funded by Stiftelsen for Kunskaps- och Kompetensutveckling with grant number 2014/0032.</t>
  </si>
  <si>
    <t xml:space="preserve">2673-8732</t>
  </si>
  <si>
    <t xml:space="preserve">NETWORK-BASEL</t>
  </si>
  <si>
    <t xml:space="preserve">Network</t>
  </si>
  <si>
    <t xml:space="preserve">10.3390/network1020011</t>
  </si>
  <si>
    <t xml:space="preserve">I3G8X</t>
  </si>
  <si>
    <t xml:space="preserve">WOS:001329184600001</t>
  </si>
  <si>
    <t xml:space="preserve">Villamizar, H; Kalinowski, M; Garcia, A; Mendez, D</t>
  </si>
  <si>
    <t xml:space="preserve">Villamizar, Hugo; Kalinowski, Marcos; Garcia, Alessandro; Mendez, Daniel</t>
  </si>
  <si>
    <t xml:space="preserve">An efficient approach for reviewing security-related aspects in agile requirements specifications of web applications</t>
  </si>
  <si>
    <t xml:space="preserve">Agile requirements; Requirement verification; Software inspection; Software security</t>
  </si>
  <si>
    <t xml:space="preserve">ENGINEERING PRACTICES; READING TECHNIQUES; COMMON CRITERIA; CHALLENGES; ACCEPTANCE; MODEL; PAIN</t>
  </si>
  <si>
    <t xml:space="preserve">Defects in requirement specifications can have severe consequences during the software development life cycle. Some of them may result in poor product quality and/or time and budget overrun due to incorrect or missing quality characteristics, such as security. This characteristic requires special attention in web applications because they have become a target for manipulating sensible data. Several concerns make security difficult to deal with. For instance, security requirements are often misunderstood and improperly specified due to lack of security expertise and emphasis on security during early stages of software development. This often leads to unspecified or ill-defined security-related aspects. These concerns become even more challenging in agile contexts, where lightweight documentation is typically produced. To tackle this problem, we designed an approach for reviewing security-related aspects in agile requirements specifications of web applications. Our proposal considers user stories and security specifications as inputs and relates those user stories to security properties via natural language processing. Based on the related security properties, our approach identifies high-level security requirements from the Open Web Application Security Project (OWASP) to be verified and generates a reading technique to support reviewers in detecting defects. We evaluate our approach via three experimental trials conducted with 56 novice software engineers, measuring effectiveness, efficiency, usefulness and ease of use. We compare our approach against using: (1) the OWASP high-level security requirements and (2) a perspective-based approach as proposed in contemporary state of the art. The results strengthen our confidence that using our approach has a positive impact (with large effect size) on the performance of inspectors in terms of effectiveness and efficiency.</t>
  </si>
  <si>
    <t xml:space="preserve">[Villamizar, Hugo; Kalinowski, Marcos; Garcia, Alessandro] Pontifical Catholic Univ Rio de Janeiro, Rio De Janeiro, Brazil; [Mendez, Daniel] Blekinge Inst Technol, Karlskrona, Sweden</t>
  </si>
  <si>
    <t xml:space="preserve">Pontificia Universidade Catolica do Rio de Janeiro; Blekinge Institute Technology</t>
  </si>
  <si>
    <t xml:space="preserve">Villamizar, H (corresponding author), Pontifical Catholic Univ Rio de Janeiro, Rio De Janeiro, Brazil.</t>
  </si>
  <si>
    <t xml:space="preserve">hvillamizar@inf.puc-rio.br; kalinowski@inf.puc-rio.br; afgarcia@inf.puc-rio.br; daniel.mendez@bth.se</t>
  </si>
  <si>
    <t xml:space="preserve">Villamizar, Hugo/0000-0003-4142-6967; Mendez Fernandez, Daniel/0000-0003-0619-6027</t>
  </si>
  <si>
    <t xml:space="preserve">10.1007/s00766-020-00338-w</t>
  </si>
  <si>
    <t xml:space="preserve">OO1CD</t>
  </si>
  <si>
    <t xml:space="preserve">WOS:000570852900001</t>
  </si>
  <si>
    <t xml:space="preserve">Bagio, D; Gonçalves, D; Moreira, PSE; Öinert, J</t>
  </si>
  <si>
    <t xml:space="preserve">Bagio, Dirceu; Goncalves, Daniel; Moreira, Paula Savana Estacio; Oinert, Johan</t>
  </si>
  <si>
    <t xml:space="preserve">The ideal structure of partial skew groupoid rings with applications to topological dynamics and ultragraph algebras</t>
  </si>
  <si>
    <t xml:space="preserve">FORUM MATHEMATICUM</t>
  </si>
  <si>
    <t xml:space="preserve">Partial skew groupoid ring; residual intersection property; graded ideal; topological freeness; topological transitivity; condition (K); ultragraph algebra</t>
  </si>
  <si>
    <t xml:space="preserve">C-ASTERISK-ALGEBRAS; INVERSE SEMIGROUP; SIMPLICITY</t>
  </si>
  <si>
    <t xml:space="preserve">Given a partial action alpha of a groupoid G on a ring R, we study the associated partial skew groupoid ring R(sic)(alpha)G , which carries a natural G-grading. We show that there is a one-to-one correspondence between the G-invariant ideals of R and the graded ideals of the G-graded ring R(sic)(alpha)G . We provide sufficient conditions for primeness, and necessary and sufficient conditions for simplicity of R(sic)alpha G . We show that every ideal of R(sic)(alpha)G is graded if and only if alpha has the residual intersection property. Furthermore, if alpha is induced by a topological partial action theta, then we prove that minimality of theta is equivalent to G-simplicity of R, topological transitivity of theta is equivalent to G-primeness of R, and topological freeness of theta on every closed invariant subset of the underlying topological space is equivalent to alpha having the residual intersection property. As an application, we characterize condition (K) for an ultragraph in terms of topological properties of the associated partial action and in terms of algebraic properties of the associated ultragraph algebra.</t>
  </si>
  <si>
    <t xml:space="preserve">[Bagio, Dirceu; Goncalves, Daniel; Moreira, Paula Savana Estacio] Univ Fed Santa Catarina, Dept Matemat, BR-88040900 Florianopolis, SC, Brazil; [Oinert, Johan] Blekinge Inst Technol, Dept Math &amp; Nat Sci, Karlskrona, Sweden</t>
  </si>
  <si>
    <t xml:space="preserve">Universidade Federal de Santa Catarina (UFSC); Blekinge Institute Technology</t>
  </si>
  <si>
    <t xml:space="preserve">Moreira, PSE (corresponding author), Univ Fed Santa Catarina, Dept Matemat, BR-88040900 Florianopolis, SC, Brazil.</t>
  </si>
  <si>
    <t xml:space="preserve">d.bagio@ufsc.br; daniel.goncalves@ufsc.br; savanamatematica@gmail.com; johan.oinert@bth.se</t>
  </si>
  <si>
    <t xml:space="preserve">Goncalves, Daniel/J-1036-2016</t>
  </si>
  <si>
    <t xml:space="preserve">Goncalves, Daniel/0000-0002-8149-9872; Estacio Moreira, Paula Savana/0000-0001-7198-1166; Oinert, Johan/0000-0001-8095-0820; Bagio, Dirceu/0000-0001-5716-6771</t>
  </si>
  <si>
    <t xml:space="preserve">Fundao de Amparo Pesquisa e Inovao do Estado de Santa Catarina</t>
  </si>
  <si>
    <t xml:space="preserve">0933-7741</t>
  </si>
  <si>
    <t xml:space="preserve">1435-5337</t>
  </si>
  <si>
    <t xml:space="preserve">FORUM MATH</t>
  </si>
  <si>
    <t xml:space="preserve">Forum Math.</t>
  </si>
  <si>
    <t xml:space="preserve">10.1515/forum-2023-0117</t>
  </si>
  <si>
    <t xml:space="preserve">XA5J3</t>
  </si>
  <si>
    <t xml:space="preserve">WOS:001134564900001</t>
  </si>
  <si>
    <t xml:space="preserve">Anderberg, P; Abrahamsson, L; Berglund, JS</t>
  </si>
  <si>
    <t xml:space="preserve">Anderberg, Peter; Abrahamsson, Linda; Berglund, Johan Sanmartin</t>
  </si>
  <si>
    <t xml:space="preserve">An Instrument for Measuring Social Participation to Examine Older Adults' Use of the Internet as a Social Platform: Development and Validation Study</t>
  </si>
  <si>
    <t xml:space="preserve">JMIR AGING</t>
  </si>
  <si>
    <t xml:space="preserve">internet; older people; social participation; aging; instrument; elderly; social platform; perception; connectedness</t>
  </si>
  <si>
    <t xml:space="preserve">NUMBER; SENSE</t>
  </si>
  <si>
    <t xml:space="preserve">Background: Older people's use of the internet is increasingly coming into focus with the demographic changes of a growing older population. Research reports several benefits of older people's internet use and highlights problems such as various forms of inequality in use within the group. There is a need for consistent measurements to follow the development and use of the internet in this group and to be able to compare groups both within and between countries, as well as follow the changes over time. Objective: The aim of this study was to create an instrument to measure an older person's perception of the benefits of their online social participation, unconnected to specific applications and services. The instrument to measure internet social participation proposed in this paper builds on social participation factors and is a multidimensional construct incorporating both social relations and societal connectedness. Methods: A short instrument for measuring social participation over the internet was created. An exploratory factor analysis (EFA) was conducted in a random selection of persons aged 65 years or older (n=193) on 10 initial items. Further validation was made by confirmatory factor analysis (CFA) in the remaining group (n=193). Results: A 1-factor solution for the social internet score was decided upon after exploratory factor analysis (EFA; based on a random sample of half the data set). None of the questionnaire items were excluded based on the EFA, as they all had high loadings, the lowest being 0.61. The Cronbach a coefficient was.92. The 1-factor solution explained 55% of the variance. CFA was performed and included all 10 questionnaire items in a 1-factor solution. Indices of goodness of fit of the model showed room for improvement. Removal of 4 questions in a stepwise procedure resulted in a 6-item model (chi(2)(6)=13.985; chi(2)/degrees of freedom=1.554; comparative fit index=0.992; root mean square error of approximation=0.054; standardized root mean square residual=0.025). Conclusions: The proposed instrument can be used to measure digital social participation and coherence with society. The factor analysis is based on a sufficient sample of the general population of older adults in Sweden, and overall the instrument performed as expected.</t>
  </si>
  <si>
    <t xml:space="preserve">[Anderberg, Peter; Abrahamsson, Linda; Berglund, Johan Sanmartin] Blekinge Inst Technol, Dept Hlth, Karlskrona, Sweden; [Anderberg, Peter] Univ Skovde, Dept Hlth Sci, Skovde, Sweden</t>
  </si>
  <si>
    <t xml:space="preserve">Blekinge Institute Technology; University of Skovde</t>
  </si>
  <si>
    <t xml:space="preserve">Anderberg, P (corresponding author), Blekinge Inst Technol, Blekinge Tekniska Hgsk BTH, Dept Hlth, S-37179 Karlskrona, Sweden.</t>
  </si>
  <si>
    <t xml:space="preserve">Sanmartin Berglund, Johan/HGB-0471-2022; Abrahamsson, Linda/AAC-6359-2020; Anderberg, Peter/B-5541-2012</t>
  </si>
  <si>
    <t xml:space="preserve">Abrahamsson, Linda/0000-0002-1372-5508; Berglund, Johan/0000-0003-4312-2246; Anderberg, Peter/0000-0001-9870-8477</t>
  </si>
  <si>
    <t xml:space="preserve">Swedish National Study on Aging and Care; Swedish Ministry of Health and Social Affairs and the participating county councils</t>
  </si>
  <si>
    <t xml:space="preserve">The authors would like to thank Professor Mikael Rennemark for valuable comments during the work with the text. We are also grateful to the study participants and the participating counties and municipalities. The Swedish National Study on Aging and Care is financially supported by the Swedish Ministry of Health and Social Affairs and the participating county councils, municipalities, and university departments.</t>
  </si>
  <si>
    <t xml:space="preserve">2561-7605</t>
  </si>
  <si>
    <t xml:space="preserve">JMIR Aging</t>
  </si>
  <si>
    <t xml:space="preserve">APR-JUN</t>
  </si>
  <si>
    <t xml:space="preserve">e23591</t>
  </si>
  <si>
    <t xml:space="preserve">10.2196/23591</t>
  </si>
  <si>
    <t xml:space="preserve">Geriatrics &amp; Gerontology; Gerontology; Medical Informatics</t>
  </si>
  <si>
    <t xml:space="preserve">Geriatrics &amp; Gerontology; Medical Informatics</t>
  </si>
  <si>
    <t xml:space="preserve">1K1QZ</t>
  </si>
  <si>
    <t xml:space="preserve">Green Published, gold, Green Submitted</t>
  </si>
  <si>
    <t xml:space="preserve">WOS:000798385200002</t>
  </si>
  <si>
    <t xml:space="preserve">Fu, Y; Hu, Y; Sundstedt, V; Fagerström, C</t>
  </si>
  <si>
    <t xml:space="preserve">Pesquita, C; Fred, A; Gamboa, H</t>
  </si>
  <si>
    <t xml:space="preserve">Fu, Yu; Hu, Yan; Sundstedt, Veronica; Fagerstrom, Cecilia</t>
  </si>
  <si>
    <t xml:space="preserve">A Survey of Possibilities and Challenges with AR/VR/MR and Gamification Usage in Healthcare</t>
  </si>
  <si>
    <t xml:space="preserve">HEALTHINF: PROCEEDINGS OF THE 14TH INTERNATIONAL JOINT CONFERENCE ON BIOMEDICAL ENGINEERING SYSTEMS AND TECHNOLOGIES - VOL. 5: HEALTHINF</t>
  </si>
  <si>
    <t xml:space="preserve">14th International Joint Conference on Biomedical Engineering Systems and Technologies (BIOSTEC) / 14th Int Conf on Bio-inspired Systems and Signal Processing (BIOSIGNALS) / 14th Int Conf on Biomedical Electronics and Devices (BIODEVICES)</t>
  </si>
  <si>
    <t xml:space="preserve">FEB 11-13, 2021</t>
  </si>
  <si>
    <t xml:space="preserve">Virtual Reality; Augmented Reality; Mixed Reality; Healthcare; Game; Gamification</t>
  </si>
  <si>
    <t xml:space="preserve">Software and applications of augmented reality (AR), virtual reality (VR), and mixed reality (MR) technology combined with game/gamification techniques in healthcare have increasingly been studied in academia. However, there is a need to explore the usage, challenges and opportunities of AR/VR/MR game/gamification software/applications in the healthcare system. To explore this, we present an online survey conducted in the healthcare-relevant system (including hospital-based system, homecare-based system, institute and university, and industry). Based on the answers, we found examples of digital games and AR/VR/MR applications used in healthcare, as well as some general information (name and feature, purpose, target user, and use occasion), usage situation, and user experience. This presented survey is beneficial for both researchers and developers in computer science and medical science. It can familiarise them with existing products and their current use, advantages and potential issues of AR/VR/MR and game applications in healthcare. In future work, the survey would be extended to obtain other user experiences and feedback of AR/VR/MR techniques and game/gamification technology applied to healthcare, as well as to study how to overcome the challenges, and develop the opportunities further.</t>
  </si>
  <si>
    <t xml:space="preserve">[Fu, Yu; Hu, Yan; Sundstedt, Veronica] Blekinge Inst Technol, Dept Comp Sci, Karlskrona, Sweden; [Fagerstrom, Cecilia] Linnaeus Univ, Dept Hlth &amp; Caring Sci, Kalmar, Sweden</t>
  </si>
  <si>
    <t xml:space="preserve">Blekinge Institute Technology; Linnaeus University</t>
  </si>
  <si>
    <t xml:space="preserve">Fu, Y (corresponding author), Blekinge Inst Technol, Dept Comp Sci, Karlskrona, Sweden.</t>
  </si>
  <si>
    <t xml:space="preserve">Hu, Yan/ABO-0679-2022; Sundstedt, Veronica/IAP-9305-2023</t>
  </si>
  <si>
    <t xml:space="preserve">978-989-758-490-9</t>
  </si>
  <si>
    <t xml:space="preserve">10.5220/0010386207330740</t>
  </si>
  <si>
    <t xml:space="preserve">Computer Science, Interdisciplinary Applications; Engineering, Biomedical</t>
  </si>
  <si>
    <t xml:space="preserve">BR6TR</t>
  </si>
  <si>
    <t xml:space="preserve">WOS:000664063000083</t>
  </si>
  <si>
    <t xml:space="preserve">Shirinbab, S; Lundberg, L; Casalicchio, E</t>
  </si>
  <si>
    <t xml:space="preserve">Shirinbab, Sogand; Lundberg, Lars; Casalicchio, Emiliano</t>
  </si>
  <si>
    <t xml:space="preserve">Performance evaluation of containers and virtual machines when running Cassandra workload concurrently</t>
  </si>
  <si>
    <t xml:space="preserve">CONCURRENCY AND COMPUTATION-PRACTICE &amp; EXPERIENCE</t>
  </si>
  <si>
    <t xml:space="preserve">Cassandra; cloud computing; containers; performance evaluation; virtual machine</t>
  </si>
  <si>
    <t xml:space="preserve">NoSQL distributed databases are often used as Big Data platforms. To provide efficient resource sharing and cost effectiveness, such distributed databases typically run concurrently on a virtualized infrastructure that could be implemented using hypervisor-based virtualization or container-based virtualization. Hypervisor-based virtualization is a mature technology but imposes overhead on CPU, networking, and disk. Recently, by sharing the operating system resources and simplifying the deployment of applications, container-based virtualization is getting more popular. This article presents a performance comparison between multiple instances of VMware VMs and Docker containers running concurrently. Our workload models a real-world Big Data Apache Cassandra application from Ericsson. As a baseline, we evaluated the performance of Cassandra when running on the nonvirtualized physical infrastructure. Our study shows that Docker has lower overhead compared with VMware; the performance on the container-based infrastructure was as good as on the nonvirtualized. Our performance evaluations also show that running multiple instances of a Cassandra database concurrently affected the performance of read and write operations differently; for both VMware and Docker, the maximum number of read operations was reduced when we ran several instances concurrently, whereas the maximum number of write operations increased when we ran instances concurrently.</t>
  </si>
  <si>
    <t xml:space="preserve">[Shirinbab, Sogand; Lundberg, Lars; Casalicchio, Emiliano] Blekinge Inst Technol, Dept Comp Sci, Karlskrona, Sweden; [Casalicchio, Emiliano] Sapienza Univ Rome, Rome, Italy</t>
  </si>
  <si>
    <t xml:space="preserve">Blekinge Institute Technology; Sapienza University Rome</t>
  </si>
  <si>
    <t xml:space="preserve">Lundberg, L (corresponding author), Blekinge Inst Technol, Dept Comp Sci, Karlskrona, Sweden.</t>
  </si>
  <si>
    <t xml:space="preserve">Casalicchio, Emiliano/JWQ-0758-2024</t>
  </si>
  <si>
    <t xml:space="preserve">Casalicchio, Emiliano/0000-0002-3118-5058</t>
  </si>
  <si>
    <t xml:space="preserve">This work is funded by the research project Scalable resource-efficient systems for Big Data analytics financed by the Knowledge Foundation (grant: 20140032) in Sweden</t>
  </si>
  <si>
    <t xml:space="preserve">1532-0626</t>
  </si>
  <si>
    <t xml:space="preserve">1532-0634</t>
  </si>
  <si>
    <t xml:space="preserve">CONCURR COMP-PRACT E</t>
  </si>
  <si>
    <t xml:space="preserve">Concurr. Comput.-Pract. Exp.</t>
  </si>
  <si>
    <t xml:space="preserve">SEP 10</t>
  </si>
  <si>
    <t xml:space="preserve">e5693</t>
  </si>
  <si>
    <t xml:space="preserve">10.1002/cpe.5693</t>
  </si>
  <si>
    <t xml:space="preserve">FEB 2020</t>
  </si>
  <si>
    <t xml:space="preserve">NI2GI</t>
  </si>
  <si>
    <t xml:space="preserve">WOS:000513133800001</t>
  </si>
  <si>
    <t xml:space="preserve">Scurati, GW; Ferrise, F; Bertoni, M</t>
  </si>
  <si>
    <t xml:space="preserve">Scurati, Giulia Wally; Ferrise, Francesco; Bertoni, Marco</t>
  </si>
  <si>
    <t xml:space="preserve">Extended realities and discrete events simulations: A systematic review to define design trade-offs and directions</t>
  </si>
  <si>
    <t xml:space="preserve">Discrete event simulation; Extended reality; Virtual reality; Augmented reality</t>
  </si>
  <si>
    <t xml:space="preserve">VIRTUAL-REALITY; 3D VISUALIZATION; INTEGRATION; INDUSTRY</t>
  </si>
  <si>
    <t xml:space="preserve">Extended Reality (XR) technologies are increasingly popular to support the engagement of different audiences and stakeholders with Discrete Event Simulations (DES) due to their capability to deliver more accessible visual and immersive experiences. XR applications can be developed either using modules integrated into DES software or game engines, providing different sets of opportunities in the environment design. However, there is a lack of development guidelines for such environments, considering visualization, information presentation, interaction, and navigation aspects. The paper presents a systematic review of the use of XR for DES, relating the results to XR design heuristics to identify and discuss major design tradeoffs. Finally, a case study from the mining sector is exemplified to illustrate possible. solutions to balance the trade-offs.</t>
  </si>
  <si>
    <t xml:space="preserve">[Scurati, Giulia Wally; Bertoni, Marco] Blekinge Inst Technol, Karlskrona, Sweden; [Ferrise, Francesco] Politecn Milan, Milan, Italy</t>
  </si>
  <si>
    <t xml:space="preserve">Blekinge Institute Technology; Polytechnic University of Milan</t>
  </si>
  <si>
    <t xml:space="preserve">Scurati, GW (corresponding author), Blekinge Inst Technol, Karlskrona, Sweden.</t>
  </si>
  <si>
    <t xml:space="preserve">giulia.wally.scurati@bth.se</t>
  </si>
  <si>
    <t xml:space="preserve">Ferrise, Francesco/C-6502-2008</t>
  </si>
  <si>
    <t xml:space="preserve">Ferrise, Francesco/0000-0001-8951-8807</t>
  </si>
  <si>
    <t xml:space="preserve">VINNOVA, Sweden [2022-00578]; Vinnova [2022-00578] Funding Source: Vinnova</t>
  </si>
  <si>
    <t xml:space="preserve">VINNOVA, Sweden(Vinnova); Vinnova(Vinnova)</t>
  </si>
  <si>
    <t xml:space="preserve">This work was supported by VINNOVA, Sweden, 2022-00578.</t>
  </si>
  <si>
    <t xml:space="preserve">10.1016/j.compind.2024.104188</t>
  </si>
  <si>
    <t xml:space="preserve">SEP 2024</t>
  </si>
  <si>
    <t xml:space="preserve">H6G3U</t>
  </si>
  <si>
    <t xml:space="preserve">WOS:001324399500001</t>
  </si>
  <si>
    <t xml:space="preserve">Laiq, M; bin Ali, N; Börstler, J; Engström, E</t>
  </si>
  <si>
    <t xml:space="preserve">Laiq, Muhammad; bin Ali, Nauman; Borstler, Juergen; Engstrom, Emelie</t>
  </si>
  <si>
    <t xml:space="preserve">Industrial adoption of machine learning techniques for early identification of invalid bug reports</t>
  </si>
  <si>
    <t xml:space="preserve">Invalid bug reports; Software quality; Software maintenance; Defect classification; Machine learning; Concept drift</t>
  </si>
  <si>
    <t xml:space="preserve">SOFTWARE DEFECT PREDICTION</t>
  </si>
  <si>
    <t xml:space="preserve">Despite the accuracy of machine learning (ML) techniques in predicting invalid bug reports, as shown in earlier research, and the importance of early identification of invalid bug reports in software maintenance, the adoption of ML techniques for this task in industrial practice is yet to be investigated. In this study, we used a technology transfer model to guide the adoption of an ML technique at a company for the early identification of invalid bug reports. In the process, we also identify necessary conditions for adopting such techniques in practice. We followed a case study research approach with various design and analysis iterations for technology transfer activities. We collected data from bug repositories, through focus groups, a questionnaire, and a presentation and feedback session with an expert. As expected, we found that an ML technique can identify invalid bug reports with acceptable accuracy at an early stage. However, the technique's accuracy drops over time in its operational use due to changes in the product, the used technologies, or the development organization. Such changes may require retraining the ML model. During validation, practitioners highlighted the need to understand the ML technique's predictions to trust the predictions. We found that a visual (using a state-of-the-art ML interpretation framework) and descriptive explanation of the prediction increases the trustability of the technique compared to just presenting the results of the validity predictions. We conclude that trustability, integration with the existing toolchain, and maintaining the techniques' accuracy over time are critical for increasing the likelihood of adoption.</t>
  </si>
  <si>
    <t xml:space="preserve">[Laiq, Muhammad; bin Ali, Nauman; Borstler, Juergen] Blekinge Inst Technol, Karlskrona, Sweden; [Engstrom, Emelie] Lund Univ, Lund, Sweden</t>
  </si>
  <si>
    <t xml:space="preserve">muhammad.laiq@bth.se; nauman.ali@bth.se; jurgen.borstler@bth.se; emelie.engstrom@cs.lth.se</t>
  </si>
  <si>
    <t xml:space="preserve">Ali, Nauman bin/J-4293-2015; Engstrom, Emelie/AAG-7808-2019</t>
  </si>
  <si>
    <t xml:space="preserve">Laiq, Muhammad/0000-0002-5964-5554; Engstrom, Emelie/0000-0001-6736-9425</t>
  </si>
  <si>
    <t xml:space="preserve">ELLIIT; ELLIIT, a Strategic Research Area within IT and Mobile Communications - Swedish Government [20220235]; GIST project; Knowledge Foundation, Sweden</t>
  </si>
  <si>
    <t xml:space="preserve">ELLIIT; ELLIIT, a Strategic Research Area within IT and Mobile Communications - Swedish Government; GIST project; Knowledge Foundation, Sweden</t>
  </si>
  <si>
    <t xml:space="preserve">This work has been supported by ELLIIT, a Strategic Research Area within IT and Mobile Communications funded by the Swedish Government, and the GIST project (ref# 20220235) from the Knowledge Foundation, Sweden.</t>
  </si>
  <si>
    <t xml:space="preserve">10.1007/s10664-024-10502-3</t>
  </si>
  <si>
    <t xml:space="preserve">A5W9G</t>
  </si>
  <si>
    <t xml:space="preserve">WOS:001283245300001</t>
  </si>
  <si>
    <t xml:space="preserve">Dorner, M; Capraro, M; Treidler, O; Kunz, TE; Smite, D; Zabardast, E; Mendez, D; Wnuk, K</t>
  </si>
  <si>
    <t xml:space="preserve">Dorner, Michael; Capraro, Maximilian; Treidler, Oliver; Kunz, Tom-Eric; Smite, Darja; Zabardast, Ehsan; Mendez, Daniel; Wnuk, Krzysztof</t>
  </si>
  <si>
    <t xml:space="preserve">Taxing Collaborative Software Engineering: The Challenges for Tax Compliance in Software Engineering</t>
  </si>
  <si>
    <t xml:space="preserve">Software; Software engineering; Finance; Collaboration; Codes; Pricing; Collaborative software</t>
  </si>
  <si>
    <t xml:space="preserve">The engineering of complex software systems is often the result of a highly collaborative effort. However, collaboration within a multinational enterprise has an overlooked legal implication when developers collaborate across national borders: It is taxable. In this article, we discuss the unsolved problem of taxing collaborative software engineering across borders.</t>
  </si>
  <si>
    <t xml:space="preserve">[Dorner, Michael; Smite, Darja; Zabardast, Ehsan; Mendez, Daniel; Wnuk, Krzysztof] Blekinge Inst Technol, Software Engn, Karlskrona 37141, Sweden; [Capraro, Maximilian; Treidler, Oliver; Kunz, Tom-Eric] Kolabri, Darmstadt, Germany; [Mendez, Daniel] Fortiss, Munich, Germany</t>
  </si>
  <si>
    <t xml:space="preserve">Dorner, M (corresponding author), Blekinge Inst Technol, Software Engn, Karlskrona 37141, Sweden.</t>
  </si>
  <si>
    <t xml:space="preserve">michael.dorner@bth.se; max@kolabri.io; oliver@kolabri.io; tom@kolabri.io; darja.smite@bth.se; ehsan.zabardast@bth.se; daniel.mendez@bth.se; krzysztof.wnuk@bth.se</t>
  </si>
  <si>
    <t xml:space="preserve">Dorner, Michael/ABG-7730-2020; Zabardast, Ehsan/AAZ-8119-2021</t>
  </si>
  <si>
    <t xml:space="preserve">Mendez Fernandez, Daniel/0000-0003-0619-6027; Zabardast, Ehsan/0000-0002-1729-5154; Dorner, Michael/0000-0001-8879-6450</t>
  </si>
  <si>
    <t xml:space="preserve">Software Engineering ReThought (SERT)</t>
  </si>
  <si>
    <t xml:space="preserve">JUL-AUG</t>
  </si>
  <si>
    <t xml:space="preserve">10.1109/MS.2023.3346646</t>
  </si>
  <si>
    <t xml:space="preserve">TM8B4</t>
  </si>
  <si>
    <t xml:space="preserve">WOS:001241761200006</t>
  </si>
  <si>
    <t xml:space="preserve">Monetti, FM; Bertoni, M; Maffei, A</t>
  </si>
  <si>
    <t xml:space="preserve">Andersson, J; Joshi, S; Malmskold, L; Hanning, F</t>
  </si>
  <si>
    <t xml:space="preserve">Monetti, Fabio Marco; Bertoni, Marco; Maffei, Antonio</t>
  </si>
  <si>
    <t xml:space="preserve">A Systematic Literature Review: Key Performance Indicators on Feeding-as-a-Service</t>
  </si>
  <si>
    <t xml:space="preserve">SUSTAINABLE PRODUCTION THROUGH ADVANCED MANUFACTURING, INTELLIGENT AUTOMATION AND WORK INTEGRATED LEARNING, SPS 2024</t>
  </si>
  <si>
    <t xml:space="preserve">11th Swedish Production Symposium (SPS)</t>
  </si>
  <si>
    <t xml:space="preserve">APR 23-26, 2024</t>
  </si>
  <si>
    <t xml:space="preserve">Univ West, Trollhattan, SWEDEN</t>
  </si>
  <si>
    <t xml:space="preserve">Univ West</t>
  </si>
  <si>
    <t xml:space="preserve">Key performance indicators; feeding-as-a-service; automation-as-aservice; manufacturing-as-a-service; cloud manufacturing</t>
  </si>
  <si>
    <t xml:space="preserve">In the evolving landscape of modern manufacturing, a novel concept known as Feeding-as-a-Service (FaaS) is emerging, part of the larger Automationas-a-Service (AaaS) framework. FaaS aims to optimize feeding systems in cloud manufacturing environments to meet the demands of mass customization and allow for quick responses to production changes. Therefore, it fits into the Manufacturingas-a-Service (MaaS) system as well. As the manufacturing industry undergoes significant transformations through automation and service-oriented models, understanding how FaaS fits into the other frameworks is essential. This study presents a systematic literature review with two primary objectives: first, to contextualize FaaS within AaaS and MaaS, highlighting similarities, differences, and distinctive characteristics; second, to identify and clarify the essential Key Performance Indicators (KPIs) crucial for its strategic implementation. KPIs are pivotal metrics guiding organizations toward manufacturing excellence. In this context, common KPIs focus on efficiency and quality, such as resource utilization, and error rates. Other KPIs are also crucial, such as the ones related to cost reduction and customer satisfaction. For FaaS, the most relevant include also data security, data management, and network speed. This research provides a valuable KPI framework for FaaS developers, aiding in strategic decision-making and deployment in industrial settings. It also contributes to a broader understanding of KPIs in manufacturing, which benefits both researchers and industrial practitioners. The results of the review, though, fail to address other crucial indicators for 'asa-Service' business, such as Churn Rate and Total Contract Value. Future research will address these limitations through methods ranging from questionnaires to practitioner interviews, with the aim of gathering the knowledge needed for real-world implementations.</t>
  </si>
  <si>
    <t xml:space="preserve">[Monetti, Fabio Marco; Maffei, Antonio] KTH Royal Inst Technol, S-11428 Stockholm, Sweden; [Bertoni, Marco] Blekinge Inst Technol, S-37178 Karlskrona, Sweden</t>
  </si>
  <si>
    <t xml:space="preserve">Royal Institute of Technology; Blekinge Institute Technology</t>
  </si>
  <si>
    <t xml:space="preserve">Monetti, FM (corresponding author), KTH Royal Inst Technol, S-11428 Stockholm, Sweden.</t>
  </si>
  <si>
    <t xml:space="preserve">monetti@kth.se</t>
  </si>
  <si>
    <t xml:space="preserve">Monetti, Fabio Marco/IZE-0778-2023; Bertoni, Marco/P-6226-2014</t>
  </si>
  <si>
    <t xml:space="preserve">/0000-0002-0723-1712; Monetti, Fabio Marco/0000-0003-2993-511X; Bertoni, Marco/0000-0002-5076-3300</t>
  </si>
  <si>
    <t xml:space="preserve">DiManD Innovative Training Network (ITN), of the Marie Sklodowska-Curie ITNs (H2020 MSCA-ITN-2018) [814078]</t>
  </si>
  <si>
    <t xml:space="preserve">DiManD Innovative Training Network (ITN), of the Marie Sklodowska-Curie ITNs (H2020 MSCA-ITN-2018)</t>
  </si>
  <si>
    <t xml:space="preserve">The work is funded by the DiManD Innovative Training Network (ITN), of the Marie Sklodowska-Curie ITNs (H2020 MSCA-ITN-2018), grant agreement number 814078.</t>
  </si>
  <si>
    <t xml:space="preserve">978-1-64368-511-3; 978-1-64368-510-6</t>
  </si>
  <si>
    <t xml:space="preserve">10.3233/ATDE240170</t>
  </si>
  <si>
    <t xml:space="preserve">Automation &amp; Control Systems; Computer Science, Interdisciplinary Applications; Engineering, Manufacturing</t>
  </si>
  <si>
    <t xml:space="preserve">BX0FI</t>
  </si>
  <si>
    <t xml:space="preserve">WOS:001229990300021</t>
  </si>
  <si>
    <t xml:space="preserve">Zhao, L; Xiaole, H; Abbas, Z; Zixin, G; Islam, MS</t>
  </si>
  <si>
    <t xml:space="preserve">Zhao, Lun; Xiaole, Huo; Abbas, Zeshan; Zixin, Guo; Islam, Md Shafiqul</t>
  </si>
  <si>
    <t xml:space="preserve">Performance analysis of similar and dissimilar self-piercing riveted joints in aluminum alloys</t>
  </si>
  <si>
    <t xml:space="preserve">COMPOSITES AND ADVANCED MATERIALS</t>
  </si>
  <si>
    <t xml:space="preserve">self-piercing riveting; microstructure; mechanical properties; deep learning; appearance detection</t>
  </si>
  <si>
    <t xml:space="preserve">SPR JOINTS; STRENGTH; PREDICTION; QUALITY</t>
  </si>
  <si>
    <t xml:space="preserve">In this work, similar (2A12) and dissimilar (6061) aluminum alloy sheets are validly joined using self-piercing rivet process. A quasi-static experiment is proposed to investigate the mechanical behaviors, failures mode, and mechanism of the different joints. Moreover, a method based on deep learning algorithm is anticipated to detect the appearance defects of the SPR welded joints. The results indicated that 2A12 joints of similar sheets contained the advantageous static strength and 6061 similar sheet joints had superior anti-vibration performance conducts. The joints with 6061-2A12 sheets introduced the most decent and comprehensive mechanical properties. The main failure mode of 2A12 similar sheet joints was substrate fracture. The performance of the substrate affects the failure mode of the joint and the plasticity of the substrate is better. When the time comes, the failure mode is mostly pull-off failure. Poor plasticity of the substrate can easily lead to substrate breakage. The reason for joint pull-off and button fall-off failure is that there is large plastic deformation in the lower plate of the joint and the mechanical internal locking structure is damaged. 2A12 substrate breakage belongs to a composite fracture that combines intergranular fracture and microvoid aggregation type fracture. The area of the 6061 substrate near the edge of the sample is shear fracture and the area near the center of the sample thickness is dominated by microvoid aggregation type normal fracture. The effectiveness of the method was verified by conducting a series of experiments and the detection accuracy of the method can reach about 90%. The detection speed was as high as 50 frames per second (FPS), which can effectively solve the problem that the rivet quality was difficult to monitor.</t>
  </si>
  <si>
    <t xml:space="preserve">[Zhao, Lun; Xiaole, Huo; Abbas, Zeshan; Zixin, Guo] Shenzhen Polytech Univ, Inst Ultrason Technol, Shenzhen 518055, Peoples R China; [Islam, Md Shafiqul] Blekinge Inst Technol, Dept Mech Engn, Karlskrona, Sweden</t>
  </si>
  <si>
    <t xml:space="preserve">Shenzhen Polytechnic University; Blekinge Institute Technology</t>
  </si>
  <si>
    <t xml:space="preserve">Abbas, Z (corresponding author), Shenzhen Polytech Univ, Inst Ultrason Technol, Shenzhen 518055, Peoples R China.</t>
  </si>
  <si>
    <t xml:space="preserve">abbasz@szpu.edu.cn</t>
  </si>
  <si>
    <t xml:space="preserve">Abbas, Zeshan/MEO-8370-2025; Islam, Md. Shafiqul/ABD-9092-2021</t>
  </si>
  <si>
    <t xml:space="preserve">Lun, Zhao/0000-0001-8293-9094; Abbas, Zeshan/0000-0001-6850-3374</t>
  </si>
  <si>
    <t xml:space="preserve">National Natural Science Foundation of China</t>
  </si>
  <si>
    <t xml:space="preserve">National Natural Science Foundation of China(National Natural Science Foundation of China (NSFC))</t>
  </si>
  <si>
    <t xml:space="preserve">2634-9833</t>
  </si>
  <si>
    <t xml:space="preserve">COMPOS ADV MATER</t>
  </si>
  <si>
    <t xml:space="preserve">Compos. Adv. Mater.</t>
  </si>
  <si>
    <t xml:space="preserve">10.1177/26349833231218012</t>
  </si>
  <si>
    <t xml:space="preserve">Materials Science, Composites</t>
  </si>
  <si>
    <t xml:space="preserve">Materials Science</t>
  </si>
  <si>
    <t xml:space="preserve">AG3B6</t>
  </si>
  <si>
    <t xml:space="preserve">WOS:001117262500001</t>
  </si>
  <si>
    <t xml:space="preserve">Adbo, K; AAkesson-Nilsson, G</t>
  </si>
  <si>
    <t xml:space="preserve">Adbo, Karina; AAkesson-Nilsson, Gunilla</t>
  </si>
  <si>
    <t xml:space="preserve">Moving beyond the language-Visualizing chemical concepts through one's own creative expression</t>
  </si>
  <si>
    <t xml:space="preserve">FRONTIERS IN EDUCATION</t>
  </si>
  <si>
    <t xml:space="preserve">chemistry education; atomic nuclei; sub-microscopic level; models of science; playdough; creative</t>
  </si>
  <si>
    <t xml:space="preserve">TEACHERS KNOWLEDGE; SCIENCE; STUDENTS; MODELS; CHEMISTRY</t>
  </si>
  <si>
    <t xml:space="preserve">The aim of the study was to explore university students' interpretations of chemical content in the form of physical constructions of atomic nuclei. Playdough was chosen as the means for expression, since it provided the students with the task of choosing the number, form, size, shape, and distance of particles. Data was collected in the form of photographs, written explanations as well as ad hoc notes. Data from 64 students was analyzed using the three levels of analysis as presented by Hedegaard and framed within the theories of models. Results show that students' choices gave rise to 34 variations of the atomic nuclei. The analysis provided two different categories: models with close resemblance to the teaching model and models with less resemblance to the teaching model. Results show the limitations of verbal and written communication and add to the discussion concerning students' interpretations of the multitude of atomic models used in teaching. The method was indeed a beneficial tool both for students, who could explore the composition of atomic nuclei and isotopes, and for teachers, who could connect their teaching to students' interpretations of scientific content since the method brings a new level of detail to discussions.</t>
  </si>
  <si>
    <t xml:space="preserve">[Adbo, Karina] Malmo Univ, Dept Nat Sci Math &amp; Soc, Malmo, Sweden; [AAkesson-Nilsson, Gunilla] Blekinge Inst Technol, Dept Math &amp; Nat Sci, Karlskrona, Sweden</t>
  </si>
  <si>
    <t xml:space="preserve">Malmo University; Blekinge Institute Technology</t>
  </si>
  <si>
    <t xml:space="preserve">Adbo, K (corresponding author), Malmo Univ, Dept Nat Sci Math &amp; Soc, Malmo, Sweden.;AAkesson-Nilsson, G (corresponding author), Blekinge Inst Technol, Dept Math &amp; Nat Sci, Karlskrona, Sweden.</t>
  </si>
  <si>
    <t xml:space="preserve">karina.adbo@mau.se; gunilla.akesson.nilsson@bth.se</t>
  </si>
  <si>
    <t xml:space="preserve">2504-284X</t>
  </si>
  <si>
    <t xml:space="preserve">FRONT EDUC</t>
  </si>
  <si>
    <t xml:space="preserve">Front. Educ.</t>
  </si>
  <si>
    <t xml:space="preserve">DEC 29</t>
  </si>
  <si>
    <t xml:space="preserve">10.3389/feduc.2022.1034140</t>
  </si>
  <si>
    <t xml:space="preserve">7V3TV</t>
  </si>
  <si>
    <t xml:space="preserve">WOS:000912741100001</t>
  </si>
  <si>
    <t xml:space="preserve">Maamouli, K; Benhamza, H; Djeffal, A; Cheddad, A</t>
  </si>
  <si>
    <t xml:space="preserve">Maamouli, Khadidja; Benhamza, Hiba; Djeffal, Abdelhamid; Cheddad, Abbas</t>
  </si>
  <si>
    <t xml:space="preserve">A CNN based architecture for forgery detection in administrative documents</t>
  </si>
  <si>
    <t xml:space="preserve">2022 INTERNATIONAL SYMPOSIUM ON INNOVATIVE INFORMATICS OF BISKRA, ISNIB</t>
  </si>
  <si>
    <t xml:space="preserve">International Symposium on Innovative Informatics of Biskra (ISNIB)</t>
  </si>
  <si>
    <t xml:space="preserve">DEC 07-08, 2022</t>
  </si>
  <si>
    <t xml:space="preserve">Biskra, ALGERIA</t>
  </si>
  <si>
    <t xml:space="preserve">IEEE,IEEE Algeria Sect,IMTRADE Engn,Complexe Touristique Thermal,IINFI, Lab Informatique Intelligente,Lesia Lab,Mohamed Khider Univ, Fac Exact, Nat &amp; Life Sci Comp Sci Dept,IEEE Xplore Digital Lab</t>
  </si>
  <si>
    <t xml:space="preserve">Forgery detection; Image processing; Deep learning</t>
  </si>
  <si>
    <t xml:space="preserve">The use of digital documents is knowing a widespread in different daily administrative and economic transactions. Simultaneously, the forgery of many documents becomes a crime that costs billions to states and companies. Several researchers tried to develop techniques that automatically detect forged documents using machine learning and image processing. With the immense success of deep learning applications, we employ, in this work, a convolutional neural network architecture that uses a gathered dataset of forged and authentic administrative documents. The results obtained on our dataset of 493 documents reached 73.95% accuracy and 97.3% recall, surpassing the efficiency of the machine learning base methods.</t>
  </si>
  <si>
    <t xml:space="preserve">[Maamouli, Khadidja] Univ Biskra, Dept Comp Sci, Biskra, Algeria; [Benhamza, Hiba; Djeffal, Abdelhamid] Univ Biskra, LESIA Lab, Dept Comp Sci, Biskra, Algeria; [Cheddad, Abbas] Blekinge Inst Technol, Karlskrona, Sweden</t>
  </si>
  <si>
    <t xml:space="preserve">Universite Mohamed Khider Biskra; Universite Mohamed Khider Biskra; Blekinge Institute Technology</t>
  </si>
  <si>
    <t xml:space="preserve">Maamouli, K (corresponding author), Univ Biskra, Dept Comp Sci, Biskra, Algeria.</t>
  </si>
  <si>
    <t xml:space="preserve">khadija.maamouli@univ-biskra.dz; hiba.benhamza@univ-biskra.dz; abdelhamid.djeffal@univ-biskra.dz; abbas.cheddad@bth.se</t>
  </si>
  <si>
    <t xml:space="preserve">979-8-3503-2065-7</t>
  </si>
  <si>
    <t xml:space="preserve">10.1109/ISNIB57382.2022.10076089</t>
  </si>
  <si>
    <t xml:space="preserve">BV1ID</t>
  </si>
  <si>
    <t xml:space="preserve">WOS:000986982400024</t>
  </si>
  <si>
    <t xml:space="preserve">Franch, X; Palomares, C; Gorschek, T</t>
  </si>
  <si>
    <t xml:space="preserve">Franch, Xavier; Palomares, Cristina; Gorschek, Tony</t>
  </si>
  <si>
    <t xml:space="preserve">On the Requirements Engineer Role</t>
  </si>
  <si>
    <t xml:space="preserve">COMMUNICATIONS OF THE ACM</t>
  </si>
  <si>
    <t xml:space="preserve">[Franch, Xavier; Palomares, Cristina] Univ Politecn Cataluna, Serv &amp; Informat Syst Engn Dept, Barcelona, Catalonia, Spain; [Gorschek, Tony] Blekinge Inst Technol, Software Res Engn Lab SERL, Karlskrona, Sweden</t>
  </si>
  <si>
    <t xml:space="preserve">Universitat Politecnica de Catalunya; Blekinge Institute Technology</t>
  </si>
  <si>
    <t xml:space="preserve">Franch, X (corresponding author), Univ Politecn Cataluna, Serv &amp; Informat Syst Engn Dept, Barcelona, Catalonia, Spain.</t>
  </si>
  <si>
    <t xml:space="preserve">franch@essi.upc.edu; cpalomares@essi.upc.edu; tony.gorschek@bth.se</t>
  </si>
  <si>
    <t xml:space="preserve">Gorschek, Tony/E-3445-2013; Franch, Xavier/KAM-2369-2024</t>
  </si>
  <si>
    <t xml:space="preserve">Franch, Xavier/0000-0001-9733-8830</t>
  </si>
  <si>
    <t xml:space="preserve">GENESIS project [TIN2016-79269-R]; KKS</t>
  </si>
  <si>
    <t xml:space="preserve">GENESIS project; KKS</t>
  </si>
  <si>
    <t xml:space="preserve">This work gas been partially supported by the GENESIS project, TIN2016-79269-R. Tony Gorschek's work has been supported by KKS Funded Software Engineering ReThought (SERT) Research Profile @ SERL-SWEDEN, BTH.</t>
  </si>
  <si>
    <t xml:space="preserve">0001-0782</t>
  </si>
  <si>
    <t xml:space="preserve">1557-7317</t>
  </si>
  <si>
    <t xml:space="preserve">COMMUN ACM</t>
  </si>
  <si>
    <t xml:space="preserve">Commun. ACM</t>
  </si>
  <si>
    <t xml:space="preserve">10.1145/3418292</t>
  </si>
  <si>
    <t xml:space="preserve">Computer Science, Hardware &amp; Architecture; Computer Science, Software Engineering; Computer Science, Theory &amp; Methods</t>
  </si>
  <si>
    <t xml:space="preserve">SK2TM</t>
  </si>
  <si>
    <t xml:space="preserve">WOS:000656072300018</t>
  </si>
  <si>
    <t xml:space="preserve">Remapping of Hidden Area Mesh Pixels for Codec Speed-up in Remote VR</t>
  </si>
  <si>
    <t xml:space="preserve">2021 13TH INTERNATIONAL CONFERENCE ON QUALITY OF MULTIMEDIA EXPERIENCE (QOMEX)</t>
  </si>
  <si>
    <t xml:space="preserve">13th International Conference on Quality of Multimedia Experience (QoMEX)</t>
  </si>
  <si>
    <t xml:space="preserve">JUN 13-17, 2021</t>
  </si>
  <si>
    <t xml:space="preserve">Rendering VR-content generally requires large image resolutions. This is both due to the display being positioned close to the eyes of the user and to the super-sampling typically used in VR. Due to the requirements of low latency and large resolutions in VR, remote rendering can be difficult to support at sufficient speeds in this medium. In this paper, we propose a method that can reduce the required resolution of non-panoramic VR images from a codec perspective. Because VR images are viewed close-up from within a headset with specific lenses, there are regions of the images that will remain unseen by the user. This unseen area is referred to as the Hidden-Area Mesh (HAM) and makes up 19% of the screen on the HTC Vive VR headset as one example. By remapping the image in a specific manner, we can cut out the HAM, reduce the resolution by the size of the mesh and thus reduce the amount of data that needs to be processed by encoder and decoder. Results from a prototype remote renderer show that by using the proposed Hidden-Area Mesh Remapping (HAMR), an implementation-dependent speed-up of 10-13% in encoding, 17-18% in decoding and 7-11% in total can be achieved while the negative impact on objective image quality in terms of SSIM and VMAF remains small.</t>
  </si>
  <si>
    <t xml:space="preserve">[Kelkkanen, Viktor] Blekinge Inst Technol, Dept Comp Sci, Karlskrona, Sweden; [Fiedler, Markus] Blekinge Inst Technol, Dept Technol &amp; Aesthet, Karlshamn, Sweden; [Lindero, David] Ericsson AB, Ericsson Res, Lulea, Sweden</t>
  </si>
  <si>
    <t xml:space="preserve">Blekinge Institute Technology; Blekinge Institute Technology; Ericsson</t>
  </si>
  <si>
    <t xml:space="preserve">Kelkkanen, V (corresponding author), Blekinge Inst Technol, Dept Comp Sci, Karlskrona, Sweden.</t>
  </si>
  <si>
    <t xml:space="preserve">KK Foundation [20170056]</t>
  </si>
  <si>
    <t xml:space="preserve">KK Foundation</t>
  </si>
  <si>
    <t xml:space="preserve">Partially funded by the KK Foundation under contract 20170056.</t>
  </si>
  <si>
    <t xml:space="preserve">978-1-6654-3589-5</t>
  </si>
  <si>
    <t xml:space="preserve">10.1109/QoMEX51781.2021.9465408</t>
  </si>
  <si>
    <t xml:space="preserve">BS1RE</t>
  </si>
  <si>
    <t xml:space="preserve">WOS:000694919800040</t>
  </si>
  <si>
    <t xml:space="preserve">Schmid, R; Fricker, S</t>
  </si>
  <si>
    <t xml:space="preserve">Moreira, A; Schneider, K; Vierhauser, M; ClelandHuang, J</t>
  </si>
  <si>
    <t xml:space="preserve">Schmid, Roman; Fricker, Samuel</t>
  </si>
  <si>
    <t xml:space="preserve">Evaluation of a Stakeholder Satisfaction-oriented Method for Prioritising Change Requests</t>
  </si>
  <si>
    <t xml:space="preserve">29TH IEEE INTERNATIONAL REQUIREMENTS ENGINEERING CONFERENCE (RE 2021)</t>
  </si>
  <si>
    <t xml:space="preserve">29th IEEE International Requirements Engineering Conference (RE)</t>
  </si>
  <si>
    <t xml:space="preserve">SEP 20-24, 2021</t>
  </si>
  <si>
    <t xml:space="preserve">SOFTWARE; MODEL</t>
  </si>
  <si>
    <t xml:space="preserve">The prioritisation of change requests for an evolving software is an important and complex activity in the continuous requirements engineering and release planning of an evolving product. We have explored such prioritisation with an organisation consisting of several business units appearing as stakeholders that compete for the same development resources. The challenge lay in taking objective factors like the cost-benefit ratio and technical dependencies of the requests into account while creating a high level of stakeholder satisfaction with the defined release scope. Together with the organisation, we have designed and implemented a tailored method that uses the stakeholders' satisfaction as a structured means for validating the criteria-based prioritisation results. The paper extends prior work by taking the perspective of the organisational stakeholders and describing the method design from the organisation's perspective, reports the use of the method in the organisation, and summarises the lessons learned from using the method in the organisation. The results are useful to increase the maturity of prioritisation in industrial practice.</t>
  </si>
  <si>
    <t xml:space="preserve">[Fricker, Samuel] Univ Appl Sci Northwestern Switzerland, Windisch, Switzerland; [Fricker, Samuel] SERL Sweden, Blekinge Inst Technol BTH, Karlskrona, Sweden</t>
  </si>
  <si>
    <t xml:space="preserve">FHNW University of Applied Sciences &amp; Arts Northwestern Switzerland; Blekinge Institute Technology</t>
  </si>
  <si>
    <t xml:space="preserve">schmidae2@gmx.ch; samuel.fricker@fhnw.ch</t>
  </si>
  <si>
    <t xml:space="preserve">978-1-6654-2856-9</t>
  </si>
  <si>
    <t xml:space="preserve">10.1109/RE51729.2021.00033</t>
  </si>
  <si>
    <t xml:space="preserve">BT0KC</t>
  </si>
  <si>
    <t xml:space="preserve">WOS:000788292800026</t>
  </si>
  <si>
    <t xml:space="preserve">Ludwig-Barbosa, V; Sievert, T; Rasch, J; Carlström, A; Pettersson, MI; Vu, VT</t>
  </si>
  <si>
    <t xml:space="preserve">Ludwig-Barbosa, Vinicius; Sievert, Thomas; Rasch, Joel; Carlstrom, Anders; Pettersson, Mats, I; Vu, Viet T.</t>
  </si>
  <si>
    <t xml:space="preserve">Evaluation of Ionospheric Scintillation in GNSS Radio Occultation Measurements and Simulations</t>
  </si>
  <si>
    <t xml:space="preserve">RADIO SCIENCE</t>
  </si>
  <si>
    <t xml:space="preserve">radio occultation; ionosphere; scintillation; remote sensing</t>
  </si>
  <si>
    <t xml:space="preserve">PHASE SCREEN MODEL; PROPAGATION MODEL; E-LAYERS; SATELLITE; SPECTRA; IRREGULARITIES; FLUCTUATIONS; AMPLITUDE; ERRORS</t>
  </si>
  <si>
    <t xml:space="preserve">Like any other system relying on transionospheric propagation, Global Navigation Satellite System (GNSS) Radio Occultation (GNSS-RO) is affected by ionospheric conditions during measurements. Regions of plasma irregularities inFregion create abrupt gradients in the distribution of ionized particles. Radio signals propagated through such regions suffer from constructive and destructive contributions in phase and amplitude, known as scintillations. Different approaches have been proposed in order to model and reproduce the wave propagation through ionospheric irregularities. We present simulations considering single-slope power law model of irregularities integrated with Multiple Phase Screen (MPS) propagation. In this work, the capability of the scintillation model to reproduce features in low-latitude MetOp measurements in the early hours of DOY 76, 2015 is evaluated. Power spectral density (PSD) analysis, scintillation index, decorrelation time, and standard deviation of neutral bending angle are considered in the comparison between the simulations and RO measurements. The results demonstrate the capability of the simulator to replicate an equivalent error contribution to the neutral bending angle measurement in cases of moderate to strong scintillation.</t>
  </si>
  <si>
    <t xml:space="preserve">[Ludwig-Barbosa, Vinicius; Sievert, Thomas; Pettersson, Mats, I; Vu, Viet T.] Blekinge Inst Technol, Dept Math &amp; Nat Sci, Karlskrona, Sweden; [Rasch, Joel] Molflow, Gothenburg, Sweden; [Carlstrom, Anders] RUAG Space, Gothenburg, Sweden</t>
  </si>
  <si>
    <t xml:space="preserve">Pettersson, Mats/0000-0002-6643-312X; Sievert, Thomas/0000-0002-2856-6140; Carlstrom, Anders/0000-0002-0620-7825; Ludwig Barbosa, Vinicius/0000-0002-7769-8641</t>
  </si>
  <si>
    <t xml:space="preserve">National Space Engineering Program (NRFP Round 3) - Swedish National Space Agency (Rymdstyrelsen) [241/15]</t>
  </si>
  <si>
    <t xml:space="preserve">National Space Engineering Program (NRFP Round 3) - Swedish National Space Agency (Rymdstyrelsen)</t>
  </si>
  <si>
    <t xml:space="preserve">The authors would like to acknowledge the reviewers in their contribution to improve the manuscript and also would like to thank Stig Syndergaard, from Danish Meteorological Institute (DMI), for the discussion regarding the S4 index calculation. This research was supported by National Space Engineering Program (NRFP Round 3, dnr: 241/15), funded by Swedish National Space Agency (Rymdstyrelsen). IRI-2016 electron density profiles were obtained with pyglow, a Python package that wraps several upper atmosphere climatological models and geophysical indices.</t>
  </si>
  <si>
    <t xml:space="preserve">AMER GEOPHYSICAL UNION</t>
  </si>
  <si>
    <t xml:space="preserve">WASHINGTON</t>
  </si>
  <si>
    <t xml:space="preserve">2000 FLORIDA AVE NW, WASHINGTON, DC 20009 USA</t>
  </si>
  <si>
    <t xml:space="preserve">0048-6604</t>
  </si>
  <si>
    <t xml:space="preserve">1944-799X</t>
  </si>
  <si>
    <t xml:space="preserve">RADIO SCI</t>
  </si>
  <si>
    <t xml:space="preserve">Radio Sci.</t>
  </si>
  <si>
    <t xml:space="preserve">e2019RS006996</t>
  </si>
  <si>
    <t xml:space="preserve">10.1029/2019RS006996</t>
  </si>
  <si>
    <t xml:space="preserve">Astronomy &amp; Astrophysics; Geochemistry &amp; Geophysics; Meteorology &amp; Atmospheric Sciences; Remote Sensing; Telecommunications</t>
  </si>
  <si>
    <t xml:space="preserve">NM2IS</t>
  </si>
  <si>
    <t xml:space="preserve">WOS:000567926300001</t>
  </si>
  <si>
    <t xml:space="preserve">Klotins, E; Gorschek, T; Wilson, M</t>
  </si>
  <si>
    <t xml:space="preserve">Klotins, Eriks; Gorschek, Tony; Wilson, Magnus</t>
  </si>
  <si>
    <t xml:space="preserve">Continuous Software Engineering: Introducing an Industry Readiness Model</t>
  </si>
  <si>
    <t xml:space="preserve">Software; Software engineering; Investment; Companies; Pipelines; Automation; Testing</t>
  </si>
  <si>
    <t xml:space="preserve">This article presents a hierarchy of continuous engineering benefits and challenges. It is aimed to guide the adoption of continuous practices in an organization to determine the current and target level of adoption, given organizational context, ambitions, and domain constraints.</t>
  </si>
  <si>
    <t xml:space="preserve">[Klotins, Eriks] Blekinge Inst Technol, Software Engn Res Lab, S-37141 Karlskrona, Sweden; [Gorschek, Tony] Blekinge Inst Technol, Software Engn, S-37141 Karlskrona, Sweden; [Wilson, Magnus] Ericsson AB, S-37133 Karlskrona, Sweden</t>
  </si>
  <si>
    <t xml:space="preserve">Klotins, E (corresponding author), Blekinge Inst Technol, Software Engn Res Lab, S-37141 Karlskrona, Sweden.</t>
  </si>
  <si>
    <t xml:space="preserve">eriks.klotins@bth.se; tgo@bth.se; magnus.wilson@ericsson.com</t>
  </si>
  <si>
    <t xml:space="preserve">10.1109/MS.2023.3263190</t>
  </si>
  <si>
    <t xml:space="preserve">M8KI3</t>
  </si>
  <si>
    <t xml:space="preserve">WOS:001032645500012</t>
  </si>
  <si>
    <t xml:space="preserve">Flyborg, J; Renvert, S; Anderberg, P; Isaksson, U; Berglund, JS</t>
  </si>
  <si>
    <t xml:space="preserve">Flyborg, Johan; Renvert, Stefan; Anderberg, Peter; Isaksson, Ulrika; Berglund, Johan Sanmartin</t>
  </si>
  <si>
    <t xml:space="preserve">Measurement of body temperature in the oral cavity with a temperature sensor integrated with a powered toothbrush</t>
  </si>
  <si>
    <t xml:space="preserve">SN APPLIED SCIENCES</t>
  </si>
  <si>
    <t xml:space="preserve">Powered toothbrush; Thermometer; Core body temperature</t>
  </si>
  <si>
    <t xml:space="preserve">This paper presents a method for collecting core body temperature data via a temperature sensor integrated into a powered toothbrush. The purpose is to facilitate the collection of temperature data without any extended effort from the user. Twelve participants use a powered toothbrush with a temperature sensor mounted on the brush head twice daily for two months. The obtained values are compared with those from a conventional fever thermometer approved for intraoral use. The results show that the temperature sensor-integrated powered toothbrush can measure the core body temperature and provide values comparable to those provided by a traditional oral thermometer. The use of the device can facilitate disease monitoring, fertility control, and security solutions for the elderly.</t>
  </si>
  <si>
    <t xml:space="preserve">[Flyborg, Johan; Renvert, Stefan; Anderberg, Peter; Isaksson, Ulrika; Berglund, Johan Sanmartin] Blekinge Inst Technol, Dept Hlth, S-37179 Karlskrona, Sweden; [Renvert, Stefan] Kristianstad Univ, Fac Hlth Sci, S-29188 Kristianstad, Sweden</t>
  </si>
  <si>
    <t xml:space="preserve">Flyborg, J (corresponding author), Blekinge Inst Technol, Dept Hlth, S-37179 Karlskrona, Sweden.</t>
  </si>
  <si>
    <t xml:space="preserve">Renvert, Stefan/AAM-2415-2020; Flyborg, Johan/AFD-8306-2022; Sanmartin Berglund, Johan/HGB-0471-2022; Anderberg, Peter/B-5541-2012</t>
  </si>
  <si>
    <t xml:space="preserve">Blekinge Institute of Technology; Kristianstad University</t>
  </si>
  <si>
    <t xml:space="preserve">Open access funding provided by Blekinge Institute of Technology. This study was supported by grants from the Blekinge Institute of Technology and Kristianstad University. The powered toothbrushes were generously provided by Proctor &amp; Gamble.</t>
  </si>
  <si>
    <t xml:space="preserve">2523-3963</t>
  </si>
  <si>
    <t xml:space="preserve">2523-3971</t>
  </si>
  <si>
    <t xml:space="preserve">SN APPL SCI</t>
  </si>
  <si>
    <t xml:space="preserve">SN Appl. Sci.</t>
  </si>
  <si>
    <t xml:space="preserve">10.1007/s42452-022-05250-2</t>
  </si>
  <si>
    <t xml:space="preserve">Multidisciplinary Sciences</t>
  </si>
  <si>
    <t xml:space="preserve">Science &amp; Technology - Other Topics</t>
  </si>
  <si>
    <t xml:space="preserve">7A9QD</t>
  </si>
  <si>
    <t xml:space="preserve">WOS:000898780700001</t>
  </si>
  <si>
    <t xml:space="preserve">Ma, LY; Wei, P; Qu, XH; Bi, SH; Zhou, Y; Shen, T</t>
  </si>
  <si>
    <t xml:space="preserve">Ma, Liyao; Wei, Peng; Qu, Xinhua; Bi, Shuhui; Zhou, Yuan; Shen, Tao</t>
  </si>
  <si>
    <t xml:space="preserve">Apple grading method based on neural network with ordered partitions and evidential ensemble learning</t>
  </si>
  <si>
    <t xml:space="preserve">CAAI TRANSACTIONS ON INTELLIGENCE TECHNOLOGY</t>
  </si>
  <si>
    <t xml:space="preserve">apple grading; Demspter-Shafer theory; ensemble learning; ordinal classification</t>
  </si>
  <si>
    <t xml:space="preserve">ORDINAL REGRESSION; FUSION</t>
  </si>
  <si>
    <t xml:space="preserve">In order to improve the performance of the automatic apple grading and sorting system, in this paper, an ensemble model of ordinal classification based on neural network with ordered partitions and Dempster-Shafer theory is proposed. As a non-destructive grading method, apples are graded into three grades based on the Soluble Solids Content value, with features extracted from the preprocessed near-infrared spectrum of apple serving as model inputs. Considering the uncertainty in grading labels, mass generation approach and evidential encoding scheme for ordinal label are proposed, with uncertainty handled within the framework of Dempster-Shafer theory. Constructing neural network with ordered partitions as the base learner, the learning procedure of the Bagging-based ensemble model is detailed. Experiments on Yantai Red Fuji apples demonstrate the satisfactory grading performances of proposed evidential ensemble model for ordinal classification.</t>
  </si>
  <si>
    <t xml:space="preserve">[Ma, Liyao; Wei, Peng; Qu, Xinhua; Bi, Shuhui; Shen, Tao] Univ Jinan, Sch Elect Engn, Jinan 250022, Peoples R China; [Zhou, Yuan] Blekinge Inst Technol, Karlskrona, Sweden</t>
  </si>
  <si>
    <t xml:space="preserve">Bi, SH (corresponding author), Univ Jinan, Sch Elect Engn, Jinan 250022, Peoples R China.</t>
  </si>
  <si>
    <t xml:space="preserve">cse_bish@ujn.edu.cn</t>
  </si>
  <si>
    <t xml:space="preserve">Zhou, Yuan/IAR-0056-2023; Shen, Tao/JQJ-5691-2023</t>
  </si>
  <si>
    <t xml:space="preserve">Bi, Shuhui/0000-0002-2832-4985; Zhou, Yuan/0000-0001-9364-5171</t>
  </si>
  <si>
    <t xml:space="preserve">Natural Science Foundation of Shandong Province [ZR2021MF074, ZR2020KF027, ZR2020MF067]; National Key R &amp; D Program of China [2018AAA0101703]</t>
  </si>
  <si>
    <t xml:space="preserve">Natural Science Foundation of Shandong Province(Natural Science Foundation of Shandong Province); National Key R &amp; D Program of China</t>
  </si>
  <si>
    <t xml:space="preserve">This paper is supported by the Natural Science Foundation of Shandong Province ZR2021MF074, ZR2020KF027 and ZR2020MF067, and the National Key R &amp; D Program of China 2018AAA0101703.</t>
  </si>
  <si>
    <t xml:space="preserve">2468-6557</t>
  </si>
  <si>
    <t xml:space="preserve">2468-2322</t>
  </si>
  <si>
    <t xml:space="preserve">CAAI T INTELL TECHNO</t>
  </si>
  <si>
    <t xml:space="preserve">CAAI T. Intell. Technol.</t>
  </si>
  <si>
    <t xml:space="preserve">10.1049/cit2.12140</t>
  </si>
  <si>
    <t xml:space="preserve">6L5GI</t>
  </si>
  <si>
    <t xml:space="preserve">WOS:000858405300001</t>
  </si>
  <si>
    <t xml:space="preserve">Baror, SO; Venter, HS; Kebande, VR</t>
  </si>
  <si>
    <t xml:space="preserve">BenAhmed, M; Boudhir, AA; Karas, IR; Jain, V; Mellouli, S</t>
  </si>
  <si>
    <t xml:space="preserve">Baror, Stacey O.; Venter, H. S.; Kebande, Victor R.</t>
  </si>
  <si>
    <t xml:space="preserve">Conceptual Model for Crowd-Sourcing Digital Forensic Evidence</t>
  </si>
  <si>
    <t xml:space="preserve">6TH INTERNATIONAL CONFERENCE ON SMART CITY APPLICATIONS</t>
  </si>
  <si>
    <t xml:space="preserve">6th International Conference on Smart City Applications</t>
  </si>
  <si>
    <t xml:space="preserve">OCT 27-29, 2021</t>
  </si>
  <si>
    <t xml:space="preserve">Safranbolu, TURKEY</t>
  </si>
  <si>
    <t xml:space="preserve">Crowd-sourcing; Citizen-media; Digital forensics; Digital evidence; COVID-19</t>
  </si>
  <si>
    <t xml:space="preserve">READINESS</t>
  </si>
  <si>
    <t xml:space="preserve">COVID-19 scourge has made it challenging to combat digital crimes due to the complexity of attributing potential security incidents to perpetrators. Existing literature does not accurately pinpoint relevant models/frameworks that can be leveraged for crowd-sourcing digital forensic evidence. This paper suggests using feature engineering approaches for crowd-sourcing digital evidence to profile potential security incidents, for example, in a COVID-19 scenario. The authors have proposed a conceptual Crowd-sourcing (CRWD) model with three main components: Forensic data collection, feature engineering and the application of machine learning approaches, and also assessment with standardized reporting. This contribution is significantly poised to solve future investigative capabilities for forensic practitioners and computer security researchers.</t>
  </si>
  <si>
    <t xml:space="preserve">[Baror, Stacey O.; Venter, H. S.] Univ Pretoria, Pretoria, South Africa; [Kebande, Victor R.] Blekinge Inst Technol, Karlskrona, Sweden</t>
  </si>
  <si>
    <t xml:space="preserve">University of Pretoria; Blekinge Institute Technology</t>
  </si>
  <si>
    <t xml:space="preserve">Baror, SO (corresponding author), Univ Pretoria, Pretoria, South Africa.</t>
  </si>
  <si>
    <t xml:space="preserve">stacey.baror@cs.up.ac.za; hventer@cs.up.ac.za; victor.kebande@bth.se</t>
  </si>
  <si>
    <t xml:space="preserve">Venter, H./N-2724-2017; R. Kebande, Victor/F-3934-2019</t>
  </si>
  <si>
    <t xml:space="preserve">978-3-030-94191-8; 978-3-030-94190-1</t>
  </si>
  <si>
    <t xml:space="preserve">10.1007/978-3-030-94191-8_88</t>
  </si>
  <si>
    <t xml:space="preserve">Computer Science, Interdisciplinary Applications; Green &amp; Sustainable Science &amp; Technology; Engineering, Civil</t>
  </si>
  <si>
    <t xml:space="preserve">Computer Science; Science &amp; Technology - Other Topics; Engineering</t>
  </si>
  <si>
    <t xml:space="preserve">BU6TD</t>
  </si>
  <si>
    <t xml:space="preserve">WOS:000928840400088</t>
  </si>
  <si>
    <t xml:space="preserve">Kelkkanen, V; Lindero, D; Zepernick, HJ; Fiedler, M; Chu, TMC</t>
  </si>
  <si>
    <t xml:space="preserve">Kelkkanen, Viktor; Lindero, David; Zepernick, Hans-Jurgen; Fiedler, Markus; Thi My Chinh Chu</t>
  </si>
  <si>
    <t xml:space="preserve">VRstalls: A Dataset on the QoE of Frame Stalls in 6-DOF VR</t>
  </si>
  <si>
    <t xml:space="preserve">A dataset has been created from an experiment regarding the subjective Quality of Experience (QoE) in relation to stalling video feeds in interactive 6-Degrees-of-freedom Virtual Reality (6-DOF VR). The main purpose of collecting this data is to provide insight into the QoE of stalls that may occur in interactive remote-rendered 6-DOF VR. The data contains information regarding user ratings coupled with various stall lengths and for both frozen or reprojected images. Additionally, user motion and pixel changes (in the form of Mean Square Errors) in successive images in the vicinity of the stall are also stored. In summary, 29 users participated in testing, each rating 16 scenes, amounting to a total of 464 rated scenes.</t>
  </si>
  <si>
    <t xml:space="preserve">[Kelkkanen, Viktor; Zepernick, Hans-Jurgen; Fiedler, Markus; Thi My Chinh Chu] Blekinge Inst Technol, Karlskrona, Sweden; [Lindero, David] Ericsson AB, Stockholm, Sweden</t>
  </si>
  <si>
    <t xml:space="preserve">viktor.kelkkanen@bth.se; david.lindero@ericsson.com; hans-jurgen.zepernick@bth.se; markus.fiedler@bth.se; thi.my.chinh.chu@bth.se</t>
  </si>
  <si>
    <t xml:space="preserve">KK foundation [d-nr 20170056]</t>
  </si>
  <si>
    <t xml:space="preserve">KK foundation</t>
  </si>
  <si>
    <t xml:space="preserve">We thank our colleagues in the ViaTecH team for the discussions and feedback, and the KK foundation for the funding of the project (d-nr 20170056).</t>
  </si>
  <si>
    <t xml:space="preserve">10.1109/QOMEX55416.2022.9900895</t>
  </si>
  <si>
    <t xml:space="preserve">WOS:001308684500021</t>
  </si>
  <si>
    <t xml:space="preserve">Klotins, E; Peretz-Andersson, E</t>
  </si>
  <si>
    <t xml:space="preserve">Klotins, Eriks; Peretz-Andersson, Einav</t>
  </si>
  <si>
    <t xml:space="preserve">The unified perspective of digital transformation and continuous software engineering</t>
  </si>
  <si>
    <t xml:space="preserve">5TH INTERNATIONAL WORKSHOP ON SOFTWARE-INTENSIVE BUSINESS: TOWARDS SUSTAINABLE SOFTWARE BUSINESS (IWSIB 2022)</t>
  </si>
  <si>
    <t xml:space="preserve">5th International Workshop on Software-Intensive Business - Towards Sustainable Software Business (IWSiB)</t>
  </si>
  <si>
    <t xml:space="preserve">MAY 18, 2022</t>
  </si>
  <si>
    <t xml:space="preserve">IEEE,Assoc Comp Machinery</t>
  </si>
  <si>
    <t xml:space="preserve">BUSINESS STRATEGY; AGILE PRACTICES; HEALTH-CARE; BIG DATA; ARCHITECTURES; CHALLENGES; DELIVERY</t>
  </si>
  <si>
    <t xml:space="preserve">Software is a key component of most products, services, industrial processes, and back-office functions. Thus, companies may gain an advantage by establishing fast feedback cycles to improve their software. Continuous software engineering (CI/CD) is being primarily studied as an engineering topic. However, the rest of the organization needs to align and be prepared to utilize the benefits of CI/CD. In this paper, we explore the overlap between CI/CD and digital transformation (DT). We study literature in both areas to develop a map of conditions, mechanisms, and outcomes. As a result, we present a unified perspective of CI/CD and DT. We found that CI/CD can be seen as an implementation of DT in a software organization. DT perspective can help to guide the adoption of CI/CD from an organizational perspective.</t>
  </si>
  <si>
    <t xml:space="preserve">[Klotins, Eriks] Blekinge Inst Technol, Software Engn Res Lab SERL, Karlskrona, Sweden; [Peretz-Andersson, Einav] Jonkoping Univ, Dept Comp, Sch Engn, Jonkoping, Sweden</t>
  </si>
  <si>
    <t xml:space="preserve">Klotins, E (corresponding author), Blekinge Inst Technol, Software Engn Res Lab SERL, Karlskrona, Sweden.</t>
  </si>
  <si>
    <t xml:space="preserve">eriks.klotins@bth.se; einav.peretz.andersson@ju.se</t>
  </si>
  <si>
    <t xml:space="preserve">Peretz-Andersson, Einav/HKN-6390-2023</t>
  </si>
  <si>
    <t xml:space="preserve">We would like to acknowledge that this work was partly supported by the KKS foundation through the S.E.R.T. Research Profile project at Blekinge Institute of Technology.</t>
  </si>
  <si>
    <t xml:space="preserve">10.1145/3524614.3528626</t>
  </si>
  <si>
    <t xml:space="preserve">BT8DU</t>
  </si>
  <si>
    <t xml:space="preserve">WOS:000852880900011</t>
  </si>
  <si>
    <t xml:space="preserve">Alégroth, E; Petersén, E; Tinnerholm, J</t>
  </si>
  <si>
    <t xml:space="preserve">IEEE COMP SOC</t>
  </si>
  <si>
    <t xml:space="preserve">Alegroth, Emil; Petersen, Elin; Tinnerholm, John</t>
  </si>
  <si>
    <t xml:space="preserve">A Failed attempt at creating Guidelines for Visual GUI Testing: An industrial case study</t>
  </si>
  <si>
    <t xml:space="preserve">2021 14TH IEEE CONFERENCE ON SOFTWARE TESTING, VERIFICATION AND VALIDATION (ICST 2021)</t>
  </si>
  <si>
    <t xml:space="preserve">IEEE International Conference on Software Testing Verification and Validation</t>
  </si>
  <si>
    <t xml:space="preserve">14th IEEE Conference on Software Testing, Verification and Validation (ICST)</t>
  </si>
  <si>
    <t xml:space="preserve">APR 12-16, 2021</t>
  </si>
  <si>
    <t xml:space="preserve">IEEE,IEEE Comp Soc,Opus Software,CESAR Sch,Facebook</t>
  </si>
  <si>
    <t xml:space="preserve">Automated Testing; Visual GUI testing; Guidelines for testing; Case study; Industrial study</t>
  </si>
  <si>
    <t xml:space="preserve">Software development is governed by guidelines that aim to improve the code's qualities, such as maintainability. However, whilst coding guidelines are commonplace for software, guidelines for testware are much less common. In particular, for GUI-based tests driven with image recognition, also referred to as Visual GUI Testing (VGT), explicit coding guidelines are missing. In this industrial case study, performed at the Swedish defence contractor Saab AB, we propose a set of coding guidelines for VGT and evaluate their impact on test scripts for an industrial, safety-critical system. To study the guidelines' effect on maintenance costs, five representative manual test cases are each translated with and without the proposed guidelines in the two VGT tools SikuliX and EyeAutomate. As such, 20 test scripts were developed, with a combined development cost of more than 100 man-hours. Three of the tests are then maintained by one researcher and two practitioners for another version of the system and costs measured to evaluate return on investment. This analysis is complemented with observations and interviews to elicit practitioners' perceptions and experiences with VGT. Results show that scripts developed with the guidelines had higher maintenance costs than scripts developed without guide-lines. This is supported by qualitative results that many of the guidelines are considered inappropriate, superfluous or unnecessary due to the inherent properties of the scripts, e.g. their natural small size, linear flows, natural separation of concerns, and more. We conclude that there are differences between VGT scripts and software that prohibit direct translation of guidelines between the two. As such, we consider our study as a failure but argue that several lessons can be drawn from our results to guide future research into guidelines for VGT and GUI-based test automation.</t>
  </si>
  <si>
    <t xml:space="preserve">[Alegroth, Emil] Blekinge Inst Technol, SERL Sweden, Karlskrona, Sweden; [Petersen, Elin; Tinnerholm, John] Linkoping Univ, Inst Comp Sci, Linkoping, Sweden</t>
  </si>
  <si>
    <t xml:space="preserve">Blekinge Institute Technology; Linkoping University</t>
  </si>
  <si>
    <t xml:space="preserve">Alégroth, E (corresponding author), Blekinge Inst Technol, SERL Sweden, Karlskrona, Sweden.</t>
  </si>
  <si>
    <t xml:space="preserve">emil.alegroth@bth.se; elipe344@student.liu.se; john.tinnerholm@liu.se</t>
  </si>
  <si>
    <t xml:space="preserve">Tinnerholm, John/HMP-0856-2023</t>
  </si>
  <si>
    <t xml:space="preserve">KKS foundation through the S.E.R.T. Research Profile project; KKS foundation through M.E.T.A. project at Blekinge Institute of Technology</t>
  </si>
  <si>
    <t xml:space="preserve">This work was supported by the KKS foundation through the S.E.R.T. Research Profile project and the M.E.T.A. project at Blekinge Institute of Technology.</t>
  </si>
  <si>
    <t xml:space="preserve">2381-2834</t>
  </si>
  <si>
    <t xml:space="preserve">978-1-7281-6836-4</t>
  </si>
  <si>
    <t xml:space="preserve">IEEE INT CONF SOFTW</t>
  </si>
  <si>
    <t xml:space="preserve">10.1109/ICST49551.2021.00046</t>
  </si>
  <si>
    <t xml:space="preserve">BS0BN</t>
  </si>
  <si>
    <t xml:space="preserve">WOS:000680831800034</t>
  </si>
  <si>
    <t xml:space="preserve">Molléri, JS; Petersen, K; Mendes, E</t>
  </si>
  <si>
    <t xml:space="preserve">Molleri, Jefferson Seide; Petersen, Kai; Mendes, Emilia</t>
  </si>
  <si>
    <t xml:space="preserve">An empirically evaluated checklist for surveys in software engineering</t>
  </si>
  <si>
    <t xml:space="preserve">Checklist; Assessment; Survey; Methodology</t>
  </si>
  <si>
    <t xml:space="preserve">Context: Over the past decade Software Engineering research has seen a steady increase in survey-based studies, and there are several guidelines providing support for those willing to carry out surveys. The need for auditing survey research has been raised in the literature. Checklists have been used both to conduct and to assess different types of empirical studies, such as experiments and case studies. Objective: To operationalize the assessment of survey studies by means of a checklist. To fulfill such goal, we aim to derive a checklist from standards for survey research and further evaluate the appropriateness of the checklist in the context of software engineering research. Method: We systematically aggregated knowledge from 12 methodological studies supporting survey-based research in software engineering. We identified the key stages of the survey process and its recommended practices through thematic analysis and vote counting. We evaluated the checklist by applying it to existing surveys and analyzed the results. Thereafter, we gathered the feedback of experts (the surveys' authors) on our analysis and used the feedback to improve the survey checklist. Results: The evaluation provided insights regarding limitations of the checklist in relation to its understanding and objectivity. In particular, 19 of the 38 checklist items were improved according to the feedback received from experts. Conclusion: The proposed checklist is appropriate for auditing survey reports as well as a support tool to guide ongoing research with regard to the survey design process. A discussion on how to use the checklist and what its implications are for research practice is also provided.</t>
  </si>
  <si>
    <t xml:space="preserve">[Molleri, Jefferson Seide; Petersen, Kai; Mendes, Emilia] BTH, Valhallavagen 1, S-37141 Karlskrona, Sweden; [Molleri, Jefferson Seide] Simula Metropolitan Ctr Digital Engn, Pilestredet 52, N-0167 Oslo, Norway; [Petersen, Kai] Hsch Flensburg, D-24943 Flensburg, Germany</t>
  </si>
  <si>
    <t xml:space="preserve">Molléri, JS (corresponding author), BTH, Valhallavagen 1, S-37141 Karlskrona, Sweden.;Molléri, JS (corresponding author), Simula Metropolitan Ctr Digital Engn, Pilestredet 52, N-0167 Oslo, Norway.</t>
  </si>
  <si>
    <t xml:space="preserve">jefferson@simula.no</t>
  </si>
  <si>
    <t xml:space="preserve">Molleri, Jefferson/AAY-3288-2020; Mendes, Maria/B-4207-2015</t>
  </si>
  <si>
    <t xml:space="preserve">Mendes, Emilia/0000-0003-0449-5322; Molleri, Jefferson/0000-0001-5629-5256; Petersen, Kai/0000-0002-1532-8223</t>
  </si>
  <si>
    <t xml:space="preserve">Science Without Borders program; CNPq (National Council for Scientific and Technological Development - Brazil)</t>
  </si>
  <si>
    <t xml:space="preserve">Science Without Borders program; CNPq (National Council for Scientific and Technological Development - Brazil)(Conselho Nacional de Desenvolvimento Cientifico e Tecnologico (CNPQ))</t>
  </si>
  <si>
    <t xml:space="preserve">The work of Jefferson Seide Moiled is supported by the Science Without Borders program, funded by CNPq (National Council for Scientific and Technological Development - Brazil).</t>
  </si>
  <si>
    <t xml:space="preserve">10.1016/j.infsof.2019.106240</t>
  </si>
  <si>
    <t xml:space="preserve">KL2WU</t>
  </si>
  <si>
    <t xml:space="preserve">WOS:000513290100009</t>
  </si>
  <si>
    <t xml:space="preserve">Axén, A; Taube, E; Berglund, JS; Skär, L</t>
  </si>
  <si>
    <t xml:space="preserve">Axen, Anna; Taube, Elin; Berglund, Johan Sanmartin; Skar, Lisa</t>
  </si>
  <si>
    <t xml:space="preserve">Loneliness in Relation to Social Factors and Self-Reported Health Among Older Adults: A Cross-Sectional Study</t>
  </si>
  <si>
    <t xml:space="preserve">JOURNAL OF PRIMARY CARE AND COMMUNITY HEALTH</t>
  </si>
  <si>
    <t xml:space="preserve">community health; primary care; health promotion; lifestyle change; prevention</t>
  </si>
  <si>
    <t xml:space="preserve">CARE; MORTALITY; IMPACT</t>
  </si>
  <si>
    <t xml:space="preserve">Background:Loneliness is described as a public health problem and can be both a consequence of aging and a cause of ill health. Lonely older adults tend to have difficulties making new social connections, essential in reducing loneliness. Loneliness often varies over time, but established loneliness tends to persist. Maintaining good health is fundamental throughout the life course. Social connections change with aging, which can contribute to loneliness.Aim:This study aimed to investigate loneliness in relation to social factors and self-reported health among older adults.Method:A cross-sectional research design was used based on data from the Swedish National Study on Aging and Care, Blekinge (SNAC-B), from February 2019 to April 2021. Statistical analysis consisted of descriptive and inferential analysis.Results:Of n = 394 participants, 31.7% (n = 125) stated loneliness. Close emotional connections were necessary for less loneliness. Loneliness was more common among those who did not live with their spouse or partner and met more rarely. Furthermore, seeing grandchildren and neighbors less often increased loneliness, and a more extensive social network decreased loneliness.Conclusion:This study underlined the importance of social connections and having someone to share a close, emotional connection with to reduce loneliness.</t>
  </si>
  <si>
    <t xml:space="preserve">[Axen, Anna; Berglund, Johan Sanmartin; Skar, Lisa] Blekinge Inst Technol, S-37179 Karlskrona, Sweden; [Axen, Anna; Taube, Elin] Malmo Univ, Malmo, Sweden</t>
  </si>
  <si>
    <t xml:space="preserve">Axén, A (corresponding author), Blekinge Inst Technol, S-37179 Karlskrona, Sweden.</t>
  </si>
  <si>
    <t xml:space="preserve">anna.axen@bth.se</t>
  </si>
  <si>
    <t xml:space="preserve">Axén, Anna/JJF-8343-2023; Sanmartin Berglund, Johan/HGB-0471-2022</t>
  </si>
  <si>
    <t xml:space="preserve">Axen, Anna/0000-0002-1509-4631</t>
  </si>
  <si>
    <t xml:space="preserve">Ministry of Health and Social Affairs, Sweden; participating county councils, municipalities, and university departments</t>
  </si>
  <si>
    <t xml:space="preserve">SNAC is supported financially by the Ministry of Health and Social Affairs, Sweden, and the participating county councils, municipalities, and university departments. The authors would like to thank database manager Isaksson in SNAC-B for support in obtaining the data, the participants in SNAC-B for their valuable contributions, and the collection staff for their work in collecting and managing the data.</t>
  </si>
  <si>
    <t xml:space="preserve">2150-1319</t>
  </si>
  <si>
    <t xml:space="preserve">2150-1327</t>
  </si>
  <si>
    <t xml:space="preserve">J PRIM CARE COMMUNIT</t>
  </si>
  <si>
    <t xml:space="preserve">J. Prim. Care Community Health</t>
  </si>
  <si>
    <t xml:space="preserve">10.1177/21501319231198644</t>
  </si>
  <si>
    <t xml:space="preserve">Primary Health Care</t>
  </si>
  <si>
    <t xml:space="preserve">General &amp; Internal Medicine</t>
  </si>
  <si>
    <t xml:space="preserve">R5FQ6</t>
  </si>
  <si>
    <t xml:space="preserve">WOS:001064610600001</t>
  </si>
  <si>
    <t xml:space="preserve">Chu, TMC; Fiedler, M; Kelkkanen, V; Lindero, D; Zepernick, HJ</t>
  </si>
  <si>
    <t xml:space="preserve">Thi My Chinh Chu; Fiedler, Markus; Kelkkanen, Viktor; Lindero, David; Zepernick, Hans-Jurgen</t>
  </si>
  <si>
    <t xml:space="preserve">On the Perception of Frame Stalls in Remote VR for Task and Task-Free Subjective Tests</t>
  </si>
  <si>
    <t xml:space="preserve">2023 15TH INTERNATIONAL CONFERENCE ON QUALITY OF MULTIMEDIA EXPERIENCE, QOMEX</t>
  </si>
  <si>
    <t xml:space="preserve">15th International Conference on Quality of Multimedia Experience (QoMEX) - Towards Sustainable and Inclusive Multimedia Experiences</t>
  </si>
  <si>
    <t xml:space="preserve">JUN 20-22, 2023</t>
  </si>
  <si>
    <t xml:space="preserve">Ghent Univ, Ghent, BELGIUM</t>
  </si>
  <si>
    <t xml:space="preserve">IEEE Signal Proc Soc,European Network Qual Experience Multimedia Syst &amp; Serv,German Informationstechnische Gesell VdE,Norwegian Univ Sci &amp; Technol,Res Council Norway,YouTube,Rohde &amp; Schwarz,Netflix,Meta</t>
  </si>
  <si>
    <t xml:space="preserve">Ghent Univ</t>
  </si>
  <si>
    <t xml:space="preserve">The performance of remotely rendered Virtual Reality (VR) is sensitive to temporal disturbances in communication channels. An earlier Quality of Experience (QoE) study of temporal impacts in the form of frame stalls has revealed difficulties with subjective disturbance ratings while performing a task in an interactive 6-degrees-of-freedom (DOF) VR environment. This study follows up on above observation by comparing QoE ratings in the presence and absence of a task. The exploratory findings show that the task-free subjective tests yield lower ratings compared to the subjective tests with task. This indicates that the participants became more sensitive to temporal impairments in the absence of a task. Also, the positive impact of reprojection on the QoE ratings decreased in the task-free environment. The simulator sickness results for individual symptoms were on similar low levels in both settings. The total score (TS) of sickness severity was higher after than before the subjective tests with task while the difference between the TS before and after the task-free subjective tests was insignificant.</t>
  </si>
  <si>
    <t xml:space="preserve">[Thi My Chinh Chu; Fiedler, Markus; Kelkkanen, Viktor; Zepernick, Hans-Jurgen] Blekinge Inst Technol, SE-37179 Karlskrona, Sweden; [Lindero, David] Ericsson AB, Lulea, Sweden</t>
  </si>
  <si>
    <t xml:space="preserve">cch@bth.se; mfi@bth.se; vke@bth.se; david.lindero@ericsson.com; hjz@bth.se</t>
  </si>
  <si>
    <t xml:space="preserve">Zepernick, Hans-Jürgen/AFJ-2429-2022; Kelkkanen, Viktor/IAQ-6752-2023</t>
  </si>
  <si>
    <t xml:space="preserve">KKS, Sweden [20170056, 20220068]</t>
  </si>
  <si>
    <t xml:space="preserve">KKS, Sweden</t>
  </si>
  <si>
    <t xml:space="preserve">This work was co-funded by KKS, Sweden, through the ViaTecH and HINTS projects (d-nr 20170056 and 20220068). We thank all volunteers for participating in the subjective tests.</t>
  </si>
  <si>
    <t xml:space="preserve">979-8-3503-1173-0</t>
  </si>
  <si>
    <t xml:space="preserve">10.1109/QOMEX58391.2023.10178492</t>
  </si>
  <si>
    <t xml:space="preserve">BV4NT</t>
  </si>
  <si>
    <t xml:space="preserve">WOS:001037196100040</t>
  </si>
  <si>
    <t xml:space="preserve">Chu, TMC; Zepernick, HJ; Höök, A; Westerhagen, A; Granbom, B</t>
  </si>
  <si>
    <t xml:space="preserve">Thi My Chinh Chu; Zepernick, Hans-Jurgen; Hook, Anders; Westerhagen, Alexander; Granbom, Bo</t>
  </si>
  <si>
    <t xml:space="preserve">Performance of OTFS Modulation over Rician Channels in Airborne Communication Networks</t>
  </si>
  <si>
    <t xml:space="preserve">2022 32ND INTERNATIONAL TELECOMMUNICATION NETWORKS AND APPLICATIONS CONFERENCE (ITNAC)</t>
  </si>
  <si>
    <t xml:space="preserve">Australasian Telecommunication Networks and Applications Conference</t>
  </si>
  <si>
    <t xml:space="preserve">32nd International Telecommunication Networks and Applications Conference (ITNAC)</t>
  </si>
  <si>
    <t xml:space="preserve">NOV 30-DEC 02, 2022</t>
  </si>
  <si>
    <t xml:space="preserve">Juniper Networks, Wellington, NEW ZEALAND</t>
  </si>
  <si>
    <t xml:space="preserve">Inst Elect &amp; Elect Engineers,IEEE Comp Soc Tech Comm Comp Commun,IEEE Commun Soc,Australasian Assoc Informat &amp; Commun Technol</t>
  </si>
  <si>
    <t xml:space="preserve">Juniper Networks</t>
  </si>
  <si>
    <t xml:space="preserve">In this paper, we consider airborne communication networks with directed air data links between high-mobility airborne platforms. Orthogonal time frequency space (OTFS) modulation is used to overcome the effects of the high Doppler shifts induced by the high relative speeds among airborne platforms which can be in excess of 1200 m/s. The performance of the considered system is assessed using the Rician channel to model the directed air data links accounting for the ratio of the signal power in the line-of-sight path to the signal power in the scattered paths. The numerical results reveal significant bit error rate (BER) improvements with increased Rician K-factor, illustrate the trade-offs between BER and bits per symbol offered by different modulation schemes, and show the independence of the BER from the relative speeds among airborne platforms. Further, it is shown that the BER of a single path directed air data link approaches that of a two-ray channel for a sufficiently large Rician K-factor.</t>
  </si>
  <si>
    <t xml:space="preserve">[Thi My Chinh Chu; Zepernick, Hans-Jurgen] Blekinge Inst Technol, SE-37179 Karlskrona, Sweden; [Hook, Anders] Saab AB, Surveillance, SE-41289 Gothenburg, Sweden; [Westerhagen, Alexander] Saab AB, Surveillance, SE-37182 Karlskrona, Sweden; [Granbom, Bo] Saab AB, Aeronaut, SE-58188 Linkoping, Sweden</t>
  </si>
  <si>
    <t xml:space="preserve">Blekinge Institute Technology; Saab Group; Saab Group; Saab Group</t>
  </si>
  <si>
    <t xml:space="preserve">thi.my.chinh.chu@bth.se; hans-jurgen.zepernick@bth.se; anders.hook@saabgroup.com; alexander.westerhagen@saabgroup.com; bo.granbom@saabgroup.com</t>
  </si>
  <si>
    <t xml:space="preserve">Swedish Governmental Agency for Innovation Systems [2019-02769]; Vinnova [2019-02769] Funding Source: Vinnova</t>
  </si>
  <si>
    <t xml:space="preserve">Swedish Governmental Agency for Innovation Systems(Vinnova); Vinnova(Vinnova)</t>
  </si>
  <si>
    <t xml:space="preserve">This work was funded in part by the Swedish Governmental Agency for Innovation Systems under Grant 2019-02769.</t>
  </si>
  <si>
    <t xml:space="preserve">2474-1531</t>
  </si>
  <si>
    <t xml:space="preserve">2474-154X</t>
  </si>
  <si>
    <t xml:space="preserve">978-1-6654-7103-9</t>
  </si>
  <si>
    <t xml:space="preserve">AUSTRA TELEC N A C</t>
  </si>
  <si>
    <t xml:space="preserve">10.1109/ITNAC55475.2022.9998395</t>
  </si>
  <si>
    <t xml:space="preserve">BU6XO</t>
  </si>
  <si>
    <t xml:space="preserve">WOS:000930821700001</t>
  </si>
  <si>
    <t xml:space="preserve">Zhang, JL; Hu, Y; Li, H; Zheng, H; Xiang, M; Wang, ZL; Dong, GH</t>
  </si>
  <si>
    <t xml:space="preserve">Zhang, Jialin; Hu, Yan; Li, Hui; Zheng, Hui; Xiang, Ming; Wang, Ziliang; Dong, Guangheng</t>
  </si>
  <si>
    <t xml:space="preserve">Altered brain activities associated with cue reactivity during forced break in subjects with Internet gaming disorder</t>
  </si>
  <si>
    <t xml:space="preserve">ADDICTIVE BEHAVIORS</t>
  </si>
  <si>
    <t xml:space="preserve">Internet gaming disorder; Craving; Executive control; Decision-making; Forced break</t>
  </si>
  <si>
    <t xml:space="preserve">ANTERIOR CINGULATE; DECISION-MAKING; ORBITOFRONTAL CORTEX; RESPONSE-INHIBITION; ADDICTION DISORDER; ACTIVATION; METAANALYSIS; INDIVIDUALS; STUDENTS; BEHAVIOR</t>
  </si>
  <si>
    <t xml:space="preserve">Background Studies have proven that forced break can elicit strong psychological cravings for addictive behaviors. This phenomenon could create an excellent situation to study the neural underpinnings of addiction. The current study explores brain features during a cue-reactivity task in Internet gaming disorder (IGD) when participants were forced to stop their gaming behaviors. Methods: Forty-nine IGD subjects and forty-nine matched recreational Internet game users (RGU) were asked to complete a cue-reactivity task when their ongoing gaming behaviors were forced to break. We compared their brain responses to gaming cues and tried to find specific features associated with IGD. Results: Compared with RGU, the IGD subjects showed decreased activation in the anterior cingulate cortex (ACC), parahippocampal gyrus, and dorsolateral prefrontal cortex (DLPFC). Significant negative correlations were observed between self-reported gaming cravings and the baseline activation level (bate value) of the ACC, DLPFC, and parahippocampal gyrus. Conclusions: IGD subjects were unable to suppress their gaming cravings after unexpectedly forced break. This result could also explain why RGU subjects are able to play online games without developing dependence.</t>
  </si>
  <si>
    <t xml:space="preserve">[Zhang, Jialin; Li, Hui; Zheng, Hui; Xiang, Ming; Wang, Ziliang; Dong, Guangheng] Zhejiang Normal Univ, Dept Psychol, 688 Yingbin Rd, Jinhua 321004, Zhejiang, Peoples R China; [Hu, Yan] Blekinge Inst Technol, Dept Creat Technol, SE-37179 Karlskrona, Sweden; [Dong, Guangheng] Zhejiang Normal Univ, Inst Psychol &amp; Brain Sci, Jinhua 321004, Zhejiang, Peoples R China</t>
  </si>
  <si>
    <t xml:space="preserve">Zhejiang Normal University; Blekinge Institute Technology; Zhejiang Normal University</t>
  </si>
  <si>
    <t xml:space="preserve">Dong, GH (corresponding author), Zhejiang Normal Univ, Dept Psychol, 688 Yingbin Rd, Jinhua 321004, Zhejiang, Peoples R China.</t>
  </si>
  <si>
    <t xml:space="preserve">dongguangheng@zjnu.edu.cn</t>
  </si>
  <si>
    <t xml:space="preserve">Hui, Zheng/ABA-9477-2020; Hu, Yan/ABO-0679-2022; Wang, Ziliang/JPX-1492-2023</t>
  </si>
  <si>
    <t xml:space="preserve">Hui, Zheng/0000-0001-9735-5657</t>
  </si>
  <si>
    <t xml:space="preserve">Zhejiang National Science Foundation [LY20009005]</t>
  </si>
  <si>
    <t xml:space="preserve">Zhejiang National Science Foundation</t>
  </si>
  <si>
    <t xml:space="preserve">This research was supported by Zhejiang National Science Foundation (LY20009005). The funding agencies did not contribute to the experimental design or conclusions, and the views presented in the manuscript are those of the authors and may not reflect those of the funding agencies.</t>
  </si>
  <si>
    <t xml:space="preserve">0306-4603</t>
  </si>
  <si>
    <t xml:space="preserve">1873-6327</t>
  </si>
  <si>
    <t xml:space="preserve">ADDICT BEHAV</t>
  </si>
  <si>
    <t xml:space="preserve">Addict. Behav.</t>
  </si>
  <si>
    <t xml:space="preserve">10.1016/j.addbeh.2019.106203</t>
  </si>
  <si>
    <t xml:space="preserve">Psychology, Clinical; Substance Abuse</t>
  </si>
  <si>
    <t xml:space="preserve">Psychology; Substance Abuse</t>
  </si>
  <si>
    <t xml:space="preserve">KE7WJ</t>
  </si>
  <si>
    <t xml:space="preserve">WOS:000508761500046</t>
  </si>
  <si>
    <t xml:space="preserve">Boldt, M; Borg, A; Ickin, S; Gustafsson, J</t>
  </si>
  <si>
    <t xml:space="preserve">Boldt, Martin; Borg, Anton; Ickin, Selim; Gustafsson, Jorgen</t>
  </si>
  <si>
    <t xml:space="preserve">Anomaly detection of event sequences using multiple temporal resolutions and Markov chains</t>
  </si>
  <si>
    <t xml:space="preserve">KNOWLEDGE AND INFORMATION SYSTEMS</t>
  </si>
  <si>
    <t xml:space="preserve">Anomaly detection; Markov Chains; Multiple temporal resolutions; Event sequences; Video-on-demand</t>
  </si>
  <si>
    <t xml:space="preserve">Streaming data services, such as video-on-demand, are getting increasingly more popular, and they are expected to account for more than 80% of all Internet traffic in 2020. In this context, it is important for streaming service providers to detect deviations in service requests due to issues or changing end-user behaviors in order to ensure that end-users experience high quality in the provided service. Therefore, in this study we investigate to what extent sequence-based Markov models can be used for anomaly detection by means of the end-users' control sequences in the video streams, i.e., event sequences such as play, pause, resume and stop. This anomaly detection approach is further investigated over three different temporal resolutions in the data, more specifically: 1 h, 1 day and 3 days. The proposed anomaly detection approach supports anomaly detection in ongoing streaming sessions as it recalculates the probability for a specific session to be anomalous for each new streaming control event that is received. Two experiments are used for measuring the potential of the approach, which gives promising results in terms of precision, recall, F1-score and Jaccard index when compared to k-means clustering of the sessions.</t>
  </si>
  <si>
    <t xml:space="preserve">[Boldt, Martin; Borg, Anton] Blekinge Inst Technol, Dept Comp Sci &amp; Engn, S-37024 Karlskrona, Sweden; [Ickin, Selim; Gustafsson, Jorgen] Ericsson Res, Machine Intelligence &amp; Automat, S-16440 Stockholm, Sweden</t>
  </si>
  <si>
    <t xml:space="preserve">Boldt, M (corresponding author), Blekinge Inst Technol, Dept Comp Sci &amp; Engn, S-37024 Karlskrona, Sweden.</t>
  </si>
  <si>
    <t xml:space="preserve">martin.boldt@bth.se; anton.borg@bth.se; selim.ickin@ericsson.com; jorgen.gustafsson@ericsson.com</t>
  </si>
  <si>
    <t xml:space="preserve">Borg, Anton/0000-0002-8929-7220; Boldt, Martin/0000-0002-9316-4842; Ickin, Selim/0000-0002-7594-2663</t>
  </si>
  <si>
    <t xml:space="preserve">Knowledge Foundation in Sweden through project Scalable resource-efficient systems for big data analytics [20140032]</t>
  </si>
  <si>
    <t xml:space="preserve">Knowledge Foundation in Sweden through project Scalable resource-efficient systems for big data analytics</t>
  </si>
  <si>
    <t xml:space="preserve">This research work is supported by the Knowledge Foundation in Sweden through project Scalable resource-efficient systems for big data analytics (Grant: 20140032).</t>
  </si>
  <si>
    <t xml:space="preserve">0219-1377</t>
  </si>
  <si>
    <t xml:space="preserve">0219-3116</t>
  </si>
  <si>
    <t xml:space="preserve">KNOWL INF SYST</t>
  </si>
  <si>
    <t xml:space="preserve">Knowl. Inf. Syst.</t>
  </si>
  <si>
    <t xml:space="preserve">10.1007/s10115-019-01365-y</t>
  </si>
  <si>
    <t xml:space="preserve">Computer Science, Artificial Intelligence; Computer Science, Information Systems</t>
  </si>
  <si>
    <t xml:space="preserve">KK5LY</t>
  </si>
  <si>
    <t xml:space="preserve">WOS:000512784400009</t>
  </si>
  <si>
    <t xml:space="preserve">Bendler, D; Felderer, M</t>
  </si>
  <si>
    <t xml:space="preserve">Bendler, Daniel; Felderer, Michael</t>
  </si>
  <si>
    <t xml:space="preserve">Competency Models for Information Security and Cybersecurity Professionals: Analysis of Existing Work and a New Model</t>
  </si>
  <si>
    <t xml:space="preserve">ACM TRANSACTIONS ON COMPUTING EDUCATION</t>
  </si>
  <si>
    <t xml:space="preserve">Cybersecurity education; competency model; competency; workforce development; skills gap</t>
  </si>
  <si>
    <t xml:space="preserve">EVOLUTION; SKILLS</t>
  </si>
  <si>
    <t xml:space="preserve">Competency models are widely adopted frameworks that are used to improve human resource functions and education. However, the characteristics of competency models related to the information security and cybersecurity domains are not well understood. To bridge this gap, this study investigates the current state of competency models related to the security domain through qualitative content analysis. Additionally, based on the competency model analysis, an evidence-based competency model is proposed. Examining the content of 27 models, we found that the models can benefit target groups in many different ways, ranging from policymaking to performance management. Owing to their many uses, competency models can arguably help to narrow the skills gap from which the profession is suffering. Nonetheless, the models have their shortcomings. First, the models do not cover all of the topics specified by the Cybersecurity Body of Knowledge ( i.e., no model is complete). Second, by omitting social, personal, and methodological competencies, many models reduce the competency profile of a security expert to professional competencies. Addressing the limitations of previous work, the proposed competency model provides a holistic view of the competencies required by security professionals for job achievement and can potentially benefit both the education system and the labor market. To conclude, the implications of the competency model analysis and use cases of the proposed model are discussed.</t>
  </si>
  <si>
    <t xml:space="preserve">[Bendler, Daniel; Felderer, Michael] Univ Innsbruck, Technikerstr 21a, A-6020 Innsbruck, Austria; [Felderer, Michael] Blekinge Inst Technol, Valhallavagen 1, S-37141 Karlskrona, Sweden</t>
  </si>
  <si>
    <t xml:space="preserve">University of Innsbruck; Blekinge Institute Technology</t>
  </si>
  <si>
    <t xml:space="preserve">Bendler, D (corresponding author), Univ Innsbruck, Technikerstr 21a, A-6020 Innsbruck, Austria.</t>
  </si>
  <si>
    <t xml:space="preserve">daniel.bendler@student.uibk.ac.at; michael.felderer@uibk.ac.at</t>
  </si>
  <si>
    <t xml:space="preserve">Felderer, Michael/AAF-4909-2020</t>
  </si>
  <si>
    <t xml:space="preserve">Felderer, Michael/0000-0003-3818-4442</t>
  </si>
  <si>
    <t xml:space="preserve">Erasmus+ project MIDSISE - Meeting Industrial Demand for Skills in Information Security Education - European Commission [2019-1-LI01-KA203-000130]; project PROMIS - Customized courses for professionals in security - Knowledge Foundation of Sweden [20210026]</t>
  </si>
  <si>
    <t xml:space="preserve">Erasmus+ project MIDSISE - Meeting Industrial Demand for Skills in Information Security Education - European Commission; project PROMIS - Customized courses for professionals in security - Knowledge Foundation of Sweden</t>
  </si>
  <si>
    <t xml:space="preserve">This work was partially supported by the Erasmus+ project MIDSISE - Meeting Industrial Demand for Skills in Information Security Education (reference no. 2019-1-LI01-KA203-000130) funded by the European Commission as well as the project PROMIS - Customized courses for professionals in security (reference no. 20210026) funded by the Knowledge Foundation of Sweden.</t>
  </si>
  <si>
    <t xml:space="preserve">1946-6226</t>
  </si>
  <si>
    <t xml:space="preserve">ACM T COMPUT EDUC</t>
  </si>
  <si>
    <t xml:space="preserve">ACM Trans. Comput. Educ.</t>
  </si>
  <si>
    <t xml:space="preserve">10.1145/3573205</t>
  </si>
  <si>
    <t xml:space="preserve">Education, Scientific Disciplines</t>
  </si>
  <si>
    <t xml:space="preserve">K7VH6</t>
  </si>
  <si>
    <t xml:space="preserve">WOS:001018474800009</t>
  </si>
  <si>
    <t xml:space="preserve">Smite, D</t>
  </si>
  <si>
    <t xml:space="preserve">Smite, Darja</t>
  </si>
  <si>
    <t xml:space="preserve">Conflicting Interests in the Hybrid Workplace: Five Perspectives to Consider</t>
  </si>
  <si>
    <t xml:space="preserve">Work-from-home; WFH; Remote work; Hybrid work; Managers</t>
  </si>
  <si>
    <t xml:space="preserve">One clear legacy from the COVID-19 pandemic is the widespread adoption of remote work and flexible work arrangements, especially in tech companies. However, the practicability of remote working has raised a significant debate. The preferences for remote work vary greatly even among the employees of the same company. Individual wishes for remote vs office work can be often found anywhere on the spectrum from fully remote work to fully onsite with the hybrid working options of a varying degree in the middle. The most obvious common denominator in this situation is full flexibility, i.e., letting people decide when they want to work where. However, such one-fits-all strategy does not really fit anybody. Instead, it gives rise to several inherent conflicts of interest. In this position paper, we summarize opinions and experiences about remote work in five fictional personas as collective images based on extensive research: quantitative data, research interviews, and informal discussions with both employees and managers in tech companies, including Spotify, Ericsson, Telenor, Tieto, SONY, and many others. We conclude that increased flexibility at work leads to the conflict of individual interests of increased personal flexibility, team interest of efficient teamwork and corporate interests of preserving efficiency, company culture, and retaining the talents.</t>
  </si>
  <si>
    <t xml:space="preserve">[Smite, Darja] Blekinge Inst Technol, Karlskrona, Sweden; [Smite, Darja] SINTEF Digital, Trondheim, Norway</t>
  </si>
  <si>
    <t xml:space="preserve">Swedish Knowledge Foundation [2022/0047]; S.E.R.T. research profile project [2018/010]</t>
  </si>
  <si>
    <t xml:space="preserve">Swedish Knowledge Foundation; S.E.R.T. research profile project</t>
  </si>
  <si>
    <t xml:space="preserve">This research is funded by the Swedish Knowledge Foundation within the WorkFlex project (KK-Hog grant 2022/0047) and the S.E.R.T. research profile project (grant 2018/010).</t>
  </si>
  <si>
    <t xml:space="preserve">10.1007/978-3-031-31488-9_1</t>
  </si>
  <si>
    <t xml:space="preserve">WOS:001269092500001</t>
  </si>
  <si>
    <t xml:space="preserve">Kelkkanen, V; Lindero, D; Fiedler, M; Zepernick, HJ; Chu, TMC</t>
  </si>
  <si>
    <t xml:space="preserve">Kelkkanen, Viktor; Lindero, David; Fiedler, Markus; Zepernick, Hans Jurgen; Thi My Chinh Chu</t>
  </si>
  <si>
    <t xml:space="preserve">QoE of Frame Stalls in Remote 6-DOF VR</t>
  </si>
  <si>
    <t xml:space="preserve">Remotely rendered Virtual Reality (VR) typically has to rely upon less capable and less reliable communication channels as compared to locally rendered VR. Such communication channels pose the risk of impairing the VR experience with temporary disturbances in form of frame stalls that would not be present in local VR. However, it is not obvious to which extent the durations of temporary stalls affect the Quality of Experience (QoE) in interactive 6-degrees-of-freedom (DOF) VR, and neither to which extent present reprojection/warping techniques mitigate any adverse effects of such stalls on user perception. In this paper, subjective experiments were conducted with N=29 users to quantify the relationship between QoE and single, isolated stall durations in interactive 6-DOF remote VR when stalls either freeze the frame in place, or when frames are reprojected by the VR driver. Results indicate that given a 90 fps headset and a simple task that requires moderate head-movement; (1) short, isolated stalls of up to 4 frames go unnoticed on average, no matter whether reprojection is used or not, (2) the number of perceived stalls when using reprojection is the same or lower than the reference (no stall) in the range 1-4 frame stalls, (3) reprojection entails significantly higher user ratings for stalls ranging from 8 frames and beyond, (4) the improvement of using reprojection over freezes in terms of making more stalling events imperceptible is highest in the range 8-16 frames.</t>
  </si>
  <si>
    <t xml:space="preserve">[Kelkkanen, Viktor; Zepernick, Hans Jurgen; Thi My Chinh Chu] Blekinge Inst Technol, Dept Comp Sci, Karlskrona, Sweden; [Lindero, David] Ericsson AB, Lulea, Sweden; [Fiedler, Markus] Blekinge Inst Technol, Dept Technol &amp; Aesthet, Karlshamn, Sweden</t>
  </si>
  <si>
    <t xml:space="preserve">Blekinge Institute Technology; Ericsson; Blekinge Institute Technology</t>
  </si>
  <si>
    <t xml:space="preserve">viktor.kelkkanen@bth.se; david.lindero@ericsson.com; markus.fiedler@bth.se; hans-jurgen.zepernick@bth.se; thi.my.chinh.chu@bth.se</t>
  </si>
  <si>
    <t xml:space="preserve">10.1109/QOMEX55416.2022.9900899</t>
  </si>
  <si>
    <t xml:space="preserve">WOS:001308684500025</t>
  </si>
  <si>
    <t xml:space="preserve">Allert, C; Dellkvist, H; Hjelm, M; Andersson, EK</t>
  </si>
  <si>
    <t xml:space="preserve">Allert, Camilla; Dellkvist, Helen; Hjelm, Markus; Andersson, Ewa K.</t>
  </si>
  <si>
    <t xml:space="preserve">Nursing students' experiences of applying problem-based learning to train the core competence teamwork and collaboration: An interview study</t>
  </si>
  <si>
    <t xml:space="preserve">collaboration; core competences; experience; nursing education; problem-based learning; teamwork</t>
  </si>
  <si>
    <t xml:space="preserve">NURSES; COMMUNICATION</t>
  </si>
  <si>
    <t xml:space="preserve">Aim: To explore nursing students' experiences of applying problem-based learning to train the core competence teamwork and collaboration. Design: The study used a qualitative descriptive design. Method: The data were collected using individual interviews with a purposive sample of 11 students and analysed using inductive qualitative content analysis. Results: The students' experiences of applying problem-based learning to train the core competence teamwork and collaboration were described in two generic categories: prerequisites to train teamwork and collaboration and abilities practised in the base group. The generic category prerequisites to train teamwork and collaboration includes three subcategories: previous experience and education, composition of the base group, and common goals and values in the base group. The generic category abilities practised in the base group includes four subcategories: taking personal responsibility, practising role distribution and leadership, developing communication skills and creating togetherness in the base group.</t>
  </si>
  <si>
    <t xml:space="preserve">[Allert, Camilla; Dellkvist, Helen; Hjelm, Markus; Andersson, Ewa K.] Blekinge Inst Technol, Dept Hlth, Karlskrona, Sweden; [Allert, Camilla] Linnaeus Univ, Fac Hlth &amp; Life Sci, SE-39231 Kalmar, Sweden; [Andersson, Ewa K.] Linnaeus Univ, Fac Hlth &amp; Life Sci, Vaxjo, Sweden</t>
  </si>
  <si>
    <t xml:space="preserve">Blekinge Institute Technology; Linnaeus University; Linnaeus University</t>
  </si>
  <si>
    <t xml:space="preserve">Allert, C (corresponding author), Linnaeus Univ, Fac Hlth &amp; Life Sci, SE-39231 Kalmar, Sweden.</t>
  </si>
  <si>
    <t xml:space="preserve">camilla.allert@inu.se</t>
  </si>
  <si>
    <t xml:space="preserve">Hjelm, Markus/AAB-2862-2021</t>
  </si>
  <si>
    <t xml:space="preserve">Hjelm, Markus/0000-0003-2225-7598; Andersson, Ewa K/0000-0002-4282-8901; Allert, Camilla/0000-0002-6636-4814</t>
  </si>
  <si>
    <t xml:space="preserve">Department of Health, Blekinge Institute of Technology; Faculty of Health and Life Sciences, Linnaeus University</t>
  </si>
  <si>
    <t xml:space="preserve">This work is supported by the Department of Health, Blekinge Institute of Technology and Faculty of Health and Life Sciences, Linnaeus University</t>
  </si>
  <si>
    <t xml:space="preserve">10.1002/nop2.1098</t>
  </si>
  <si>
    <t xml:space="preserve">XT2GA</t>
  </si>
  <si>
    <t xml:space="preserve">WOS:000708507800001</t>
  </si>
  <si>
    <t xml:space="preserve">Stentagg, M; Skär, L; Berglund, JS; Lindberg, T</t>
  </si>
  <si>
    <t xml:space="preserve">Stentagg, Magnus; Skar, Lisa; Berglund, Johan Sanmartin; Lindberg, Terese</t>
  </si>
  <si>
    <t xml:space="preserve">Cross-Sectional Study of Sexual Activity and Satisfaction Among Older Adult's ≥60 Years of Age</t>
  </si>
  <si>
    <t xml:space="preserve">SEXUAL MEDICINE</t>
  </si>
  <si>
    <t xml:space="preserve">Elderly; Older Adults; Sexual Activity; Sex; Sexual Health; Sexual Satisfaction; SNAC</t>
  </si>
  <si>
    <t xml:space="preserve">QUALITY-OF-LIFE; ATTITUDES; HEALTH; MEN; DYSFUNCTION; PREVALENCE; BEHAVIORS; ERECTILE</t>
  </si>
  <si>
    <t xml:space="preserve">Introduction: Despite the rapidly increasing population of older adults, little is currently known about sexual activity and sexual satisfaction among the oldest people. Aim: The present study aimed to investigate sexual activity and sexual satisfaction among people of &gt;= 60 years of age. We also examined whether sexual activity and sexual satisfaction were influenced by age, gender, cohabiting, socioeconomic factors, education, functional ability, and self-reported health. Methods: We performed a descriptive analysis of self-stated sexual activity and sexual satisfaction among 1680 participants who were 60 years and older from the Swedish National Study on Aging and Care. Chi-square tests and logistic regression were used to analyze relationships between factors. Main Outcome Measure: Sexual activity and sexual satisfaction. Results: Among participants aged &gt;= 90 years, about 10% were sexually active. Within the total study population, 46% (654/1680) were sexually active. Overall, sexually activity was more commonly reported by men (55%) than women (40%). However, men in all age cohorts reported sexual dissatisfaction more commonly than women. In the total sample, 24% (246/1680) reported dissatisfaction with their sex life. Sexual activity and sexual satisfaction were positively associated with self-reported health and cohabitation. Conclusion: The present results suggest that sexual activity is present throughout life. For persons older than 90 years, about 10% of participants were sexually active, regardless of gender. Every third man reported dissatisfaction with his sex life. Women were more satisfied with their sex lives than men, and this difference varies more widely among age cohorts. These findings confirm that it is important that health professional take sexuality into account during caring encounters with older persons. Copyright (C) 2021, The Authors. Published by Elsevier Inc. on behalf of the International Society for Sexual Medicine.</t>
  </si>
  <si>
    <t xml:space="preserve">[Stentagg, Magnus] Malmo Univ, Dept Care Sci, Malmo, Sweden; [Stentagg, Magnus; Skar, Lisa; Berglund, Johan Sanmartin; Lindberg, Terese] Blekinge Inst Technol, Dept Hlth, Karlskrona, Sweden</t>
  </si>
  <si>
    <t xml:space="preserve">Lindberg, T (corresponding author), Blekinge Inst Technol, Dept Hlth, Karlskrona, Sweden.</t>
  </si>
  <si>
    <t xml:space="preserve">Sanmartin Berglund, Johan/HGB-0471-2022</t>
  </si>
  <si>
    <t xml:space="preserve">Swedish Ministry of Health and Social Affairs; county councils Blekinge SNAC-B; Blekinge Institute of Technology</t>
  </si>
  <si>
    <t xml:space="preserve">Funding for this study came from the Swedish Ministry of Health and Social Affairs; the county councils Blekinge SNAC-B and Blekinge Institute of Technology.</t>
  </si>
  <si>
    <t xml:space="preserve">2050-1161</t>
  </si>
  <si>
    <t xml:space="preserve">SEX MED-UK</t>
  </si>
  <si>
    <t xml:space="preserve">Sex. Med.</t>
  </si>
  <si>
    <t xml:space="preserve">10.1016/j.esxm.2020.100316</t>
  </si>
  <si>
    <t xml:space="preserve">Medicine, General &amp; Internal; Urology &amp; Nephrology</t>
  </si>
  <si>
    <t xml:space="preserve">General &amp; Internal Medicine; Urology &amp; Nephrology</t>
  </si>
  <si>
    <t xml:space="preserve">RM9XF</t>
  </si>
  <si>
    <t xml:space="preserve">WOS:000640009400011</t>
  </si>
  <si>
    <t xml:space="preserve">Smite, D; Gonzalez-Huerta, J; Moe, NB</t>
  </si>
  <si>
    <t xml:space="preserve">Stray, V; Hoda, R; Paasivaara, M; Kruchten, P</t>
  </si>
  <si>
    <t xml:space="preserve">Smite, Darja; Gonzalez-Huerta, Javier; Moe, Nils Brede</t>
  </si>
  <si>
    <t xml:space="preserve">When in Rome, Do as the Romans Do: Cultural Barriers to Being Agile in Distributed Teams</t>
  </si>
  <si>
    <t xml:space="preserve">AGILE PROCESSES IN SOFTWARE ENGINEERING AND EXTREME PROGRAMMING (XP 2020)</t>
  </si>
  <si>
    <t xml:space="preserve">21st International Conference on Agile Software Development (XP)</t>
  </si>
  <si>
    <t xml:space="preserve">JUN 08-12, 2020</t>
  </si>
  <si>
    <t xml:space="preserve">IT Univ Copenhagen, ELECTR NETWORK</t>
  </si>
  <si>
    <t xml:space="preserve">IT Univ Copenhagen</t>
  </si>
  <si>
    <t xml:space="preserve">Culture; Cultural differences; Agile; Distributed development; Distributed agile teams</t>
  </si>
  <si>
    <t xml:space="preserve">DISTANCE</t>
  </si>
  <si>
    <t xml:space="preserve">With the growing interest of adopting agile methods in offshored process, many companies realized that the use of agile methods and practices in companies located outside the location of early adopters of agile methods may be challenging. India, the main destination of offshoring contracts, have received particular attention, due to the big cultural differences. Critical analysis of related studies suggests that impeding behaviors are mostly rooted in the hierarchical culture of Indian organizations and related management behavior of command-and-control. But what happens in distributed projects with a more empowering onshore management? In this paper, we present the findings from a multiple-case study of DevOps teams with members from a mature agile company located in Sweden and a more hierarchical offshore vendor from India. Based on two focus groups we list culturally different behaviors of offshore engineers that were reported to impede agile ways of working. Furthermore, we report the findings from surveying 36 offshore team members from five DevOps teams regarding their likely behavior in situations reported to be problematic. Our findings confirm a number of previously reported behaviors rooted in cultural differences that impede the adoption of agile ways of working when collaborating with offshore engineers. At the same time, our survey results suggest that among the five surveyed teams there were teams that succeeded with the cultural integration of the offshore team members. Finally, our findings demonstrate the importance of cultural training especially when onboarding new team members.</t>
  </si>
  <si>
    <t xml:space="preserve">[Smite, Darja; Gonzalez-Huerta, Javier; Moe, Nils Brede] Blekinge Inst Technol, Karlskrona, Sweden; [Smite, Darja; Moe, Nils Brede] SINTEF ICT, Trondheim, Norway</t>
  </si>
  <si>
    <t xml:space="preserve">Smite, D (corresponding author), Blekinge Inst Technol, Karlskrona, Sweden.;Smite, D (corresponding author), SINTEF ICT, Trondheim, Norway.</t>
  </si>
  <si>
    <t xml:space="preserve">darja.smite@bth.se; javier.gonzalez-huerta@bth.se; nils.brede.moe@bth.se</t>
  </si>
  <si>
    <t xml:space="preserve">GoLD project; Swedish Knowledge Foundation under the KK-Hog grant [2016/0191]; Research council of Norway [267704]; A-team project</t>
  </si>
  <si>
    <t xml:space="preserve">GoLD project; Swedish Knowledge Foundation under the KK-Hog grant; Research council of Norway(Research Council of Norway); A-team project</t>
  </si>
  <si>
    <t xml:space="preserve">This research is funded by the GoLD project and the Swedish Knowledge Foundation under the KK-Hog grant 2016/0191 and by the A-team project and the Research council of Norway through grant 267704.</t>
  </si>
  <si>
    <t xml:space="preserve">978-3-030-49392-9; 978-3-030-49391-2</t>
  </si>
  <si>
    <t xml:space="preserve">10.1007/978-3-030-49392-9_10</t>
  </si>
  <si>
    <t xml:space="preserve">BS4ZW</t>
  </si>
  <si>
    <t xml:space="preserve">WOS:000724681400010</t>
  </si>
  <si>
    <t xml:space="preserve">Mallalieu, A; Hallstedt, SI; Isaksson, O; Watz, M; Almefelt, L</t>
  </si>
  <si>
    <t xml:space="preserve">Mallalieu, Adam; Hallstedt, Sophie Isaksson; Isaksson, Ola; Watz, Matilda; Almefelt, Lars</t>
  </si>
  <si>
    <t xml:space="preserve">Barriers and enablers for the adoption of sustainable design practices using new design methods - Accelerating the sustainability transformation in the manufacturing industry</t>
  </si>
  <si>
    <t xml:space="preserve">Sustainable design practices; Sustainability transformation; Industrial adoption; Design methods; Glaserian grounded theory</t>
  </si>
  <si>
    <t xml:space="preserve">LIFE-CYCLE MANAGEMENT; PRODUCT DEVELOPMENT; CIRCULAR ECONOMY; DECISION-MAKING; GROUNDED THEORY; BUSINESS; ORGANIZATIONS; FRAMEWORK; THINKING; AGENCY</t>
  </si>
  <si>
    <t xml:space="preserve">Product development and manufacturing organizations struggle in their sustainability transformation and do not sufficiently contribute to sustainable production and consumption. Design researchers, at the same time, develop and propose a plethora of new and improved design methods that can support the manufacturing industry in such transformation. It is, despite this, well-documented in literature that the industrial adoption of such proposed design methods is challenging. Previous research in the design domain has mainly studied this issue from a process and methodological perspective, whereas previous research in the management domain instead has focused on organizational, and human-behavioral aspects. This poses a research gap for more interdisciplinary research that studies the adoption of design methods from all three perspectives (i.e., process and methodology, organization, and human behavior). Six parallel case studies were carried out with three different product development and manufacturing organizations to collect qualitative empirical data. Glaserian grounded theory was used to analyze the collected data. This resulted in a descriptive framework that captures 53 interdisciplinary factors influencing the adoption of sustainable design practices using new and improved design methods. The descriptive framework is compared to interdisciplinary literature to further clarify and explain the findings, highlighting both practical and theoretical implications. This research provides three main contributions to theory and practice: (1) Two new concepts are introduced and used to explain the empirical findings, which are referred to as the dualism of design methods, and the situational design problem; (2) Nine systemic barriers and eight propositions are formulated, which highlight the need for a paradigm shift in how design is practiced in industry, how cognitive biases inside organizations can lead to a state of pseudo-sustainability, and the need for improved information and data management capabilities in organizations; (3) Sustainable design thinking is proposed as an potential enabler to address several of the main barriers, as it aims to provide a base competence of sustainable design to systematically challenge cognitive biases inside organizations.</t>
  </si>
  <si>
    <t xml:space="preserve">[Mallalieu, Adam; Hallstedt, Sophie Isaksson; Isaksson, Ola; Almefelt, Lars] Chalmers Univ Technol, Dept Ind &amp; Mat Sci, Div Prod Dev, Horsalsvagen 7A, S-41296 Gothenburg, Sweden; [Hallstedt, Sophie Isaksson; Watz, Matilda] Blekinge Inst Technol, Dept Strateg Sustainable Dev, S-37179 Karlskrona, Sweden</t>
  </si>
  <si>
    <t xml:space="preserve">Chalmers University of Technology; Blekinge Institute Technology</t>
  </si>
  <si>
    <t xml:space="preserve">Mallalieu, A (corresponding author), Chalmers Univ Technol, Dept Ind &amp; Mat Sci, Div Prod Dev, Horsalsvagen 7A, S-41296 Gothenburg, Sweden.</t>
  </si>
  <si>
    <t xml:space="preserve">adammal@chalmers.se; sophie.hallstedt@chalmers.se; ola.isaksson@chalmers.se; watz@bth.se; lars.almefelst@chalmers.se</t>
  </si>
  <si>
    <t xml:space="preserve">Isaksson, Ola/B-3100-2016; Watz, Matilda/AFL-7313-2022</t>
  </si>
  <si>
    <t xml:space="preserve">Sweden's Innovation Agency (Vinnova)</t>
  </si>
  <si>
    <t xml:space="preserve">Sweden's Innovation Agency (Vinnova)(Vinnova)</t>
  </si>
  <si>
    <t xml:space="preserve">This work has been financially supported by the Sweden's Innovation Agency (Vinnova). Authors also wish to acknowledge all the anonymous participants in the study.</t>
  </si>
  <si>
    <t xml:space="preserve">10.1016/j.spc.2024.08.023</t>
  </si>
  <si>
    <t xml:space="preserve">H3U0F</t>
  </si>
  <si>
    <t xml:space="preserve">WOS:001322711300001</t>
  </si>
  <si>
    <t xml:space="preserve">Stefanan, AA; Palm, BG; Bayer, FM</t>
  </si>
  <si>
    <t xml:space="preserve">Stefanan, Aline Armanini; Palm, Bruna G.; Bayer, Fabio M.</t>
  </si>
  <si>
    <t xml:space="preserve">Zero-Inflated Rayleigh Dynamic Model for Non-Negative Signals</t>
  </si>
  <si>
    <t xml:space="preserve">ARMA model; inflated Rayleigh distribution; iRSARMAX model; time series; ARMA model; inflated Rayleigh distribution; iRSARMAX model; time series</t>
  </si>
  <si>
    <t xml:space="preserve">This study proposes a zero-inflated Rayleigh seasonal autoregressive moving average model with exogenous regressors (iRSARMAX) to model and forecast non-negative time series, accommodating the presence of zero values. The proposed iRSARMAX models the conditional mean of the continuous part of the mixture distribution by using a dynamic structure that considers stochastic seasonality, autoregressive and moving average terms, exogenous regressors, and a link function. It also models the mixture parameters related to the inflated (zero) values with a parsimonious dynamic structure. Furthermore, the analytical score vector was deduced and considered in the conditional maximum likelihood estimation of the introduced model parameters. The analytical Fisher information matrix was obtained and used for hypothesis testing and interval inferences for the parameters of the proposed model. Randomized quantile residuals were considered, and goodness-of-fit tests were implemented to validate the model. An extensive simulation study was performed to evaluate the performance of conditional likelihood inference over the model parameters for finite sample sizes. The proposed model excelled compared to the traditional seasonal autoregressive and moving average model and the Holt-Winters filtering in forecasting influent flow. In addition, it outperformed competitors in predicting synthetic aperture radar (SAR) image data.</t>
  </si>
  <si>
    <t xml:space="preserve">[Stefanan, Aline Armanini] Univ Fed Santa Maria, Postgrad Program Ind Engn, BR-97105900 Santa Maria, RS, Brazil; [Palm, Bruna G.] Blekinge Inst Technol, Dept Math &amp; Nat Sci, S-37179 Karlskrona, Blekinge, Sweden; [Bayer, Fabio M.] Univ Fed Santa Maria, Dept Stat, BR-97105900 Santa Maria, RS, Brazil</t>
  </si>
  <si>
    <t xml:space="preserve">Universidade Federal de Santa Maria (UFSM); Blekinge Institute Technology; Universidade Federal de Santa Maria (UFSM)</t>
  </si>
  <si>
    <t xml:space="preserve">Stefanan, AA (corresponding author), Univ Fed Santa Maria, Postgrad Program Ind Engn, BR-97105900 Santa Maria, RS, Brazil.</t>
  </si>
  <si>
    <t xml:space="preserve">aline.armanini@acad.ufsm.br</t>
  </si>
  <si>
    <t xml:space="preserve">G. Palm, Bruna/AAZ-4107-2021; Stefanan, Aline/ABG-2557-2020; Bayer, Fábio/G-4513-2012</t>
  </si>
  <si>
    <t xml:space="preserve">Armanini Stefanan, Aline/0000-0002-3994-2586; Mariano Bayer, Fabio/0000-0002-1464-0805; G. Palm, Bruna/0000-0003-0423-9927</t>
  </si>
  <si>
    <t xml:space="preserve">Coordenacao de Aperfeicoamento de Pessoal de Nivel Superior-Brasil (CAPES) [001, 88881.690009/2022-01]; Conselho Nacional de Desenvolvimento Cientifico e Tecnologico-Brasil (CNPq) [308578/2023-6]; Fundacao de Amparo a Pesquisa do Estado do Rio Grande do Sul-Brasil (FAPERGS) [23/2551-0000121-7, 21/2551-0002048-2]</t>
  </si>
  <si>
    <t xml:space="preserve">Coordenacao de Aperfeicoamento de Pessoal de Nivel Superior-Brasil (CAPES)(Coordenacao de Aperfeicoamento de Pessoal de Nivel Superior (CAPES)); Conselho Nacional de Desenvolvimento Cientifico e Tecnologico-Brasil (CNPq)(Conselho Nacional de Desenvolvimento Cientifico e Tecnologico (CNPQ)); Fundacao de Amparo a Pesquisa do Estado do Rio Grande do Sul-Brasil (FAPERGS)</t>
  </si>
  <si>
    <t xml:space="preserve">This work was supported in part by the Coordenacao de Aperfeicoamento de Pessoal de Nivel Superior-Brasil (CAPES)-Finance Code 001 under Grant 88881.690009/2022-01, in part by the Conselho Nacional de Desenvolvimento Cientifico e Tecnologico-Brasil (CNPq) under Grant 308578/2023-6, and in part by the Fundacao de Amparo a Pesquisa do Estado do Rio Grande do Sul-Brasil (FAPERGS) under Grant 23/2551-0000121-7 and Grant 21/2551-0002048-2.</t>
  </si>
  <si>
    <t xml:space="preserve">10.1109/ACCESS.2024.3515647</t>
  </si>
  <si>
    <t xml:space="preserve">P8Y1P</t>
  </si>
  <si>
    <t xml:space="preserve">WOS:001380685100013</t>
  </si>
  <si>
    <t xml:space="preserve">Bäck, P; Richter, J</t>
  </si>
  <si>
    <t xml:space="preserve">Hilbert's Basis Theorem for Non-associative and Hom-associative Ore Extensions</t>
  </si>
  <si>
    <t xml:space="preserve">Hilbert's basis theorem; Hom-associative algebras; Hom-associative Ore extensions; Hom-modules; Non-commutative noetherian rings</t>
  </si>
  <si>
    <t xml:space="preserve">DEFORMATIONS; ALGEBRAS</t>
  </si>
  <si>
    <t xml:space="preserve">We prove a hom-associative version of Hilbert's basis theorem, which includes as special cases both a non-associative version and the classical Hilbert's basis theorem for associative Ore extensions. Along the way, we develop hom-module theory. We conclude with some examples of both non-associative and hom-associative Ore extensions which are all noetherian by our theorem.</t>
  </si>
  <si>
    <t xml:space="preserve">[Back, Per] Malardalen Univ, Div Math &amp; Phys, Sch Educ Culture &amp; Commun, Box 883, SE-72123 Vasteras, Sweden; [Richter, Johan] Blekinge Inst Technol, Dept Math &amp; Nat Sci, SE-37179 Karlskrona, Sweden</t>
  </si>
  <si>
    <t xml:space="preserve">Bäck, P (corresponding author), Malardalen Univ, Div Math &amp; Phys, Sch Educ Culture &amp; Commun, Box 883, SE-72123 Vasteras, Sweden.</t>
  </si>
  <si>
    <t xml:space="preserve">Malardalen University</t>
  </si>
  <si>
    <t xml:space="preserve">Open access funding provided by Malardalen University.</t>
  </si>
  <si>
    <t xml:space="preserve">10.1007/s10468-022-10123-8</t>
  </si>
  <si>
    <t xml:space="preserve">P4TI3</t>
  </si>
  <si>
    <t xml:space="preserve">WOS:000784962700001</t>
  </si>
  <si>
    <t xml:space="preserve">Chu, TMC; Zepernick, HJ; Westerhagen, A; Höök, A; Granbom, B</t>
  </si>
  <si>
    <t xml:space="preserve">Chu, Thi My Chinh; Zepernick, Hans-Jurgen; Westerhagen, Alexander; Hook, Anders; Granbom, Bo</t>
  </si>
  <si>
    <t xml:space="preserve">Performance Assessment of OTFS Modulation in High Doppler Airborne Communication Networks</t>
  </si>
  <si>
    <t xml:space="preserve">MOBILE NETWORKS &amp; APPLICATIONS</t>
  </si>
  <si>
    <t xml:space="preserve">5G; 6G; MANET; OTFS; High doppler; Airborne communication networks</t>
  </si>
  <si>
    <t xml:space="preserve">CHANNEL ESTIMATION</t>
  </si>
  <si>
    <t xml:space="preserve">Emerging 5G and future 6G mobile networks are expected to cater for high mobility scenarios ranging from vehicle-to-vehicle communications to unmanned aerial vehicles and airborne platforms. Communications in this type of deployments suffer from severe Doppler shifts which require new modulation waveforms. Orthogonal time frequency space (OTFS) modulation has recently been proposed as a promising technology for coping with high Doppler channels. OTFS converts a time-varying fading channel into a time-independent channel in the two-dimensional delay-Doppler (DD) domain. The transmit symbols are multiplexed into a nearly constant channel with a complex channel gain in the DD domain. In this paper, we consider a high Doppler airborne communication network where relative mobile node speeds can be above 1200 m/s. The considered system represents a mobile ad-hoc network where the airborne mobile nodes can join or leave the network. Furthermore, each node is equipped with an antenna array that supports directed communication among mobile nodes. The Doppler shifts in this airborne communication network are in the order of 52-72 kHz and may potentially be even higher depending on the selected carrier frequency and the relative speed among the airborne platforms. As such, OTFS modulation is used in this work to efficiently compensate for the high Doppler shifts in the DD domain. In particular, a comprehensive performance assessment in terms of bit error rate (BER) is conducted to reveal the potential of OTFS modulation in dealing with such extreme transmission scenarios. The impact of physical layer parameters, number of delay-Doppler bins in the DD domain used for OTFS modulation, directed versus two-ray channels, and the combination of multiple-input multiple-output (MIMO) systems with OTFS modulation on the BER is assessed. It is shown that both OTFS modulation over a two-ray channel as well as MIMO-OTFS modulation provide a reliable airborne communication network with low BER.</t>
  </si>
  <si>
    <t xml:space="preserve">[Chu, Thi My Chinh; Zepernick, Hans-Jurgen] Blekinge Inst Technol, SE-37179 Karlskrona, Sweden; [Westerhagen, Alexander] Saab AB, Surveillance, SE-37182 Karlskrona, Sweden; [Hook, Anders] Saab AB, Surveillance, SE-41289 Gothenburg, Sweden; [Granbom, Bo] Saab AB, Aeronaut, SE-58188 Linkoping, Sweden</t>
  </si>
  <si>
    <t xml:space="preserve">cch@bth.se; hjz@bth.se; alexander.westerhagen@saabgroup.com; anders.hook@saabgroup.com; bo.granbom@saabgroup.com</t>
  </si>
  <si>
    <t xml:space="preserve">1383-469X</t>
  </si>
  <si>
    <t xml:space="preserve">1572-8153</t>
  </si>
  <si>
    <t xml:space="preserve">MOBILE NETW APPL</t>
  </si>
  <si>
    <t xml:space="preserve">Mobile Netw. Appl.</t>
  </si>
  <si>
    <t xml:space="preserve">10.1007/s11036-022-01928-4</t>
  </si>
  <si>
    <t xml:space="preserve">Computer Science, Hardware &amp; Architecture; Computer Science, Information Systems; Telecommunications</t>
  </si>
  <si>
    <t xml:space="preserve">4X3LZ</t>
  </si>
  <si>
    <t xml:space="preserve">WOS:000761134500001</t>
  </si>
  <si>
    <t xml:space="preserve">Aklilu, YT; Ding, JG</t>
  </si>
  <si>
    <t xml:space="preserve">Aklilu, Yohannes T.; Ding, Jianguo</t>
  </si>
  <si>
    <t xml:space="preserve">Survey on Blockchain for Smart Grid Management, Control, and Operation</t>
  </si>
  <si>
    <t xml:space="preserve">smart grid; blockchain; smart grid management; smart grid control and operation</t>
  </si>
  <si>
    <t xml:space="preserve">CYBER-SECURITY; CHALLENGES; TECHNOLOGY; INFRASTRUCTURE; PRIVACY</t>
  </si>
  <si>
    <t xml:space="preserve">Power generation, distribution, transmission, and consumption face ongoing challenges such as smart grid management, control, and operation, resulting from high energy demand, the diversity of energy sources, and environmental or regulatory issues. This paper provides a comprehensive overview of blockchain-based solutions for smart grid management, control, and operations. We systematically summarize existing work on the use and implementation of blockchain technology in various smart grid domains. The paper compares related reviews and highlights the challenges in the management, control, and operation for a blockchain-based smart grid as well as future research directions in the five categories: collaboration among stakeholders; data analysis and data management; control of grid imbalances; decentralization of grid management and operations; and security and privacy. All these aspects have not been covered in previous reviews.</t>
  </si>
  <si>
    <t xml:space="preserve">[Aklilu, Yohannes T.] Univ Skovde, Sch Engn Sci, S-54128 Skovde, Sweden; [Ding, Jianguo] Blekinge Inst Technol, Dept Comp Sci, S-37179 Karlskrona, Sweden</t>
  </si>
  <si>
    <t xml:space="preserve">University of Skovde; Blekinge Institute Technology</t>
  </si>
  <si>
    <t xml:space="preserve">Ding, JG (corresponding author), Blekinge Inst Technol, Dept Comp Sci, S-37179 Karlskrona, Sweden.</t>
  </si>
  <si>
    <t xml:space="preserve">yohannes.tadesse.aklilu@his.se; jianguo.ding@bth.se</t>
  </si>
  <si>
    <t xml:space="preserve">10.3390/en15010193</t>
  </si>
  <si>
    <t xml:space="preserve">YH1XS</t>
  </si>
  <si>
    <t xml:space="preserve">WOS:000742967800001</t>
  </si>
  <si>
    <t xml:space="preserve">Irshad, M; Börstler, J; Petersen, K</t>
  </si>
  <si>
    <t xml:space="preserve">Irshad, Mohsin; Borstler, Jurgen; Petersen, Kai</t>
  </si>
  <si>
    <t xml:space="preserve">Supporting refactoring of BDD specifications-An empirical study</t>
  </si>
  <si>
    <t xml:space="preserve">Refactoring; Normalized Compression Distance (NCD); Normalized Compression Similarity (NCS); Reuse; Similarity ratio (SR); BDD; Behavior-driven development; Specifications; Testing</t>
  </si>
  <si>
    <t xml:space="preserve">Context: Behavior-driven development (BDD) is a variant of test-driven development where specifications are described in a structured domain-specific natural language. Although refactoring is a crucial activity of BDD, little research is available on the topic. Objective: To support practitioners in refactoring BDD specifications by (1) proposing semi-automated approaches to identify refactoring candidates; (2) defining refactoring techniques for BDD specifications; and (3) evaluating the proposed identification approaches in an industry context. Method: Using Action Research, we have developed an approach for identifying refactoring candidates in BDD specifications based on two measures of similarity and applied the approach in two projects of a large software organization. The accuracy of the measures for identifying refactoring candidates was then evaluated against an approach based on machine learning and a manual approach based on practitioner perception. Results: We proposed two measures of similarity to support the identification of refactoring candidates in a BDD specification base; (1) normalized compression similarity (NCS) and (2) similarity ratio (SR). A semiautomated approach based on NCS and SR was developed and applied to two industrial cases to identify refactoring candidates. Our results show that our approach can identify candidates for refactoring 6o times faster than a manual approach. Our results furthermore showed that our measures accurately identified refactoring candidates compared with a manual identification by software practitioners and outperformed an ML-based text classification approach. We also described four types of refactoring techniques applicable to BDD specifications; merging candidates, restructuring candidates, deleting duplicates, and renaming specification titles. Conclusion: Our results show that NCS and SR can help practitioners in accurately identifying BDD specifications that are suitable candidates for refactoring, which also decreases the time for identifying refactoring candidates.</t>
  </si>
  <si>
    <t xml:space="preserve">[Irshad, Mohsin; Borstler, Jurgen; Petersen, Kai] Blekinge Inst Technol, Karlskrona, Sweden; [Irshad, Mohsin] Ericsson AB, Karlskrona, Sweden</t>
  </si>
  <si>
    <t xml:space="preserve">Irshad, M (corresponding author), Blekinge Inst Technol, Karlskrona, Sweden.</t>
  </si>
  <si>
    <t xml:space="preserve">mohsin.irshad@bth.se</t>
  </si>
  <si>
    <t xml:space="preserve">10.1016/j.infsof.2021.106717</t>
  </si>
  <si>
    <t xml:space="preserve">UZ1RK</t>
  </si>
  <si>
    <t xml:space="preserve">WOS:000701988700002</t>
  </si>
  <si>
    <t xml:space="preserve">Shapa, M; Trojer, L; Machuve, D</t>
  </si>
  <si>
    <t xml:space="preserve">Shapa, Martha; Trojer, Lena; Machuve, Dina</t>
  </si>
  <si>
    <t xml:space="preserve">Mobile-based Decision Support System for Poultry Farmers: A Case of Tanzania</t>
  </si>
  <si>
    <t xml:space="preserve">INTERNATIONAL JOURNAL OF ADVANCED COMPUTER SCIENCE AND APPLICATIONS</t>
  </si>
  <si>
    <t xml:space="preserve">Decision support system; chatbot; mobile application; poultry farming; data-driven approach</t>
  </si>
  <si>
    <t xml:space="preserve">Poultry farms in Tanzania are characterized by inadequate management practices which are mainly caused by the lack of adequate systems to guide the small-scale poultry farmers in decision making. It is well-established that information is a key factor in making effective decisions in numerous sectors including poultry farming. Furthermore, various researchers have identified the use of mobile decision support tools to be an effective way of aiding farmers in making informed decisions. In this paper, we present a mobile-based decision support system that will aid rural and small-scale poultry farmers in Tanzania to obtain reliable information that is crucial for making proper decisions in their farming activities. In this context, a mobile-based decision support system was achieved through a mobile application integrated with a chatbot assistant to provide a solution to various poultry farming-related problems and simplify their decision-making process. We used a data-driven approach towards developing an informational chatbot assistant for Android smartphones that is capable of interacting with small-scale poultry farmers through natural conversations by utilizing the RASA framework.</t>
  </si>
  <si>
    <t xml:space="preserve">[Shapa, Martha; Machuve, Dina] Nelson Mandela African Inst Sci &amp; Technol, Sch Computat &amp; Commun Sci &amp; Engn, Arusha, Tanzania; [Trojer, Lena] Blekinge Inst Technol, Dept Technol &amp; Aesthet, Karlshamn, Sweden</t>
  </si>
  <si>
    <t xml:space="preserve">Nelson Mandela African Institution of Science &amp; Technology; Blekinge Institute Technology</t>
  </si>
  <si>
    <t xml:space="preserve">Shapa, M (corresponding author), Nelson Mandela African Inst Sci &amp; Technol, Sch Computat &amp; Commun Sci &amp; Engn, Arusha, Tanzania.</t>
  </si>
  <si>
    <t xml:space="preserve">Machuve, Dina/KVY-8030-2024</t>
  </si>
  <si>
    <t xml:space="preserve">Organization for Women in Science for the Developing World (OWSD) Early Career Fellowship Programme [506575]; African Development Bank (AfDB)</t>
  </si>
  <si>
    <t xml:space="preserve">Organization for Women in Science for the Developing World (OWSD) Early Career Fellowship Programme; African Development Bank (AfDB)(CGIAR)</t>
  </si>
  <si>
    <t xml:space="preserve">The authors would like to acknowledge the support in this study from the Organization for Women in Science for the Developing World (OWSD) Early Career Fellowship Programme (Agreement number 506575) and the African Development Bank (AfDB).</t>
  </si>
  <si>
    <t xml:space="preserve">SCIENCE &amp; INFORMATION SAI ORGANIZATION LTD</t>
  </si>
  <si>
    <t xml:space="preserve">WEST YORKSHIRE</t>
  </si>
  <si>
    <t xml:space="preserve">19 BOLLING RD, BRADFORD, WEST YORKSHIRE, 00000, ENGLAND</t>
  </si>
  <si>
    <t xml:space="preserve">2158-107X</t>
  </si>
  <si>
    <t xml:space="preserve">2156-5570</t>
  </si>
  <si>
    <t xml:space="preserve">INT J ADV COMPUT SC</t>
  </si>
  <si>
    <t xml:space="preserve">Int. J. Adv. Comput. Sci. Appl.</t>
  </si>
  <si>
    <t xml:space="preserve">QY7AR</t>
  </si>
  <si>
    <t xml:space="preserve">WOS:000630189900074</t>
  </si>
  <si>
    <t xml:space="preserve">Age of managers and employees - Firm survival</t>
  </si>
  <si>
    <t xml:space="preserve">JOURNAL OF THE ECONOMICS OF AGEING</t>
  </si>
  <si>
    <t xml:space="preserve">Age; Operational manager; Employees; Firm survival; Firm size; Firm age</t>
  </si>
  <si>
    <t xml:space="preserve">OLDER WORKERS; GROWTH; PERFORMANCE; IMPACT; ENTREPRENEURSHIP; SUCCESS; DISCRIMINATION; AGGLOMERATION; DIVERSITY; WORKFORCE</t>
  </si>
  <si>
    <t xml:space="preserve">Many developed countries will face a disproportionately large share of older individuals in the future. This change may lead to a labour force characterized by older employees and older operational managers. This paper contributes to the existing literature on the effect of aging on firm performance by performing an explorative analysis of how the age of the operational manager and the age composition of employees relate to the survival of Swedish firms during 2004-2013. We observe that the relationship between the age of the operational manager and firm exit changes functional shape when separated into different firm-size categories. Additionally, the age of the operational manager tends to be more important for new firms compared to incumbents. The share of older employees is positively associated with firm survival.</t>
  </si>
  <si>
    <t xml:space="preserve">[Backman, Mikaela] Jonkoping Int Business Sch, Ctr Entrepreneurship &amp; Spatial Econ CEnSE, POB 1026, SE-55111 Jonkoping, Sweden; [Karlsson, Charlie] Jonkoping Int Business Sch, Jonkoping, Sweden; [Karlsson, Charlie] Blekinge Inst Technol, Karlskrona, Sweden</t>
  </si>
  <si>
    <t xml:space="preserve">Jonkoping University; Jonkoping University; Blekinge Institute Technology</t>
  </si>
  <si>
    <t xml:space="preserve">Backman, M (corresponding author), Jonkoping Int Business Sch, Ctr Entrepreneurship &amp; Spatial Econ CEnSE, POB 1026, SE-55111 Jonkoping, Sweden.</t>
  </si>
  <si>
    <t xml:space="preserve">mikaela.backman@ju.se; Charlie.karlsson@ju.se</t>
  </si>
  <si>
    <t xml:space="preserve">Marianne och Marcus Wallenbergs Stiftelse, Sweden [MMW 2018.0049]</t>
  </si>
  <si>
    <t xml:space="preserve">Marianne och Marcus Wallenbergs Stiftelse, Sweden</t>
  </si>
  <si>
    <t xml:space="preserve">The authors are grateful for the financial support from Marianne och Marcus Wallenbergs Stiftelse, Sweden, for the project grant Ageing and Entrepreneurship with the id MMW 2018.0049.</t>
  </si>
  <si>
    <t xml:space="preserve">2212-828X</t>
  </si>
  <si>
    <t xml:space="preserve">2212-8298</t>
  </si>
  <si>
    <t xml:space="preserve">J ECON AGEING</t>
  </si>
  <si>
    <t xml:space="preserve">J. Econ. Ageing</t>
  </si>
  <si>
    <t xml:space="preserve">10.1016/j.jeoa.2019.100215</t>
  </si>
  <si>
    <t xml:space="preserve">Demography; Economics; Gerontology</t>
  </si>
  <si>
    <t xml:space="preserve">Demography; Business &amp; Economics; Geriatrics &amp; Gerontology</t>
  </si>
  <si>
    <t xml:space="preserve">KQ1WP</t>
  </si>
  <si>
    <t xml:space="preserve">WOS:000516721400001</t>
  </si>
  <si>
    <t xml:space="preserve">Islam, MS; Alfredsson, KS</t>
  </si>
  <si>
    <t xml:space="preserve">Islam, M. S.; Alfredsson, K. S.</t>
  </si>
  <si>
    <t xml:space="preserve">Peeling of metal foil from a compliant substrate</t>
  </si>
  <si>
    <t xml:space="preserve">JOURNAL OF ADHESION</t>
  </si>
  <si>
    <t xml:space="preserve">Peel; laminate; fracture energy; cohesive law; optimization</t>
  </si>
  <si>
    <t xml:space="preserve">FRACTURE-TOUGHNESS; LARGE DEFORMATIONS; DELAMINATION; BEHAVIOR; MECHANICS; GROWTH</t>
  </si>
  <si>
    <t xml:space="preserve">Large displacement peel was studied for cases where a compliant substrate leads to a large value of the root rotation. An existing simplified beam model to calculate the peel fracture energy was modified to allow for a kinematic hardening beam model of the foil. The steady-state peel force and the root rotation were used as input data to the resulting analytical beam model. Test results from the literature were analysed. A more elaborate finite element model was also studied, using cohesive elements for the interface layer between the foil and the substrate. The cohesive zone parameters used were the fracture energy, the cohesive strength and a shape parameter. An optimization scheme for the cohesive zone parameters was developed and optimized against experimental steady-state peel force and root rotation. The optimization scheme was effective to characterize the cohesive parameters. The method yields similar values of fracture energy for the two peel angles, with the one for being slightly higher than for . The difference in fracture energies for different peel angles suggests that the fracture energy can be mode dependent.</t>
  </si>
  <si>
    <t xml:space="preserve">[Islam, M. S.] Blekinge Inst Technol, Dept Mech Engn, SE-37179 Karlskrona, Sweden; [Alfredsson, K. S.] Univ Skovde, Dept Engn Sci, Skovde, Sweden</t>
  </si>
  <si>
    <t xml:space="preserve">Islam, MS (corresponding author), Blekinge Inst Technol, Dept Mech Engn, SE-37179 Karlskrona, Sweden.</t>
  </si>
  <si>
    <t xml:space="preserve">shafiq099@gmail.com</t>
  </si>
  <si>
    <t xml:space="preserve">Islam, Shafiqul/AAA-7809-2021</t>
  </si>
  <si>
    <t xml:space="preserve">Islam, Md Shafiqul/0000-0002-1162-7023</t>
  </si>
  <si>
    <t xml:space="preserve">Stiftelsen for Kunskaps- och Kompetensutveckling</t>
  </si>
  <si>
    <t xml:space="preserve">This work was supported by the Stiftelsen for Kunskaps- och Kompetensutveckling.</t>
  </si>
  <si>
    <t xml:space="preserve">0021-8464</t>
  </si>
  <si>
    <t xml:space="preserve">1545-5823</t>
  </si>
  <si>
    <t xml:space="preserve">J ADHESION</t>
  </si>
  <si>
    <t xml:space="preserve">J. Adhes.</t>
  </si>
  <si>
    <t xml:space="preserve">MAY 19</t>
  </si>
  <si>
    <t xml:space="preserve">10.1080/00218464.2019.1696678</t>
  </si>
  <si>
    <t xml:space="preserve">Engineering, Chemical; Materials Science, Multidisciplinary; Mechanics</t>
  </si>
  <si>
    <t xml:space="preserve">RO8NM</t>
  </si>
  <si>
    <t xml:space="preserve">WOS:000502676600001</t>
  </si>
  <si>
    <t xml:space="preserve">Svensson, M; Elmstahl, S; Berglund, JS; Rosso, A</t>
  </si>
  <si>
    <t xml:space="preserve">Svensson, Markus; Elmstahl, Soelve; Berglund, Johan Sanmartin; Rosso, Aldana</t>
  </si>
  <si>
    <t xml:space="preserve">Association of systemic anticholinergic medication use and accelerated decrease in lung function in older adults</t>
  </si>
  <si>
    <t xml:space="preserve">SCIENTIFIC REPORTS</t>
  </si>
  <si>
    <t xml:space="preserve">Anticholinergics; FEV; Spirometry; Mixed models</t>
  </si>
  <si>
    <t xml:space="preserve">GRIP STRENGTH; MULTIMORBIDITY; POPULATION; CARE</t>
  </si>
  <si>
    <t xml:space="preserve">Older adults are frequently exposed to medicines with systemic anticholinergic properties, which are linked to increased risk of negative health outcomes. The association between systemic anticholinergics and lung function has not been reported. The aim of this study was to investigate if exposure to systemic anticholinergics influences lung function in older adults. Participants of the southernmost centres of the Swedish National study on Aging and Care (SNAC) were followed from 2001 to 2021. In total, 2936 subjects (2253 from Good Aging in Skane and 683 from SNAC-B) were included. An extensive medical examination including spirometry assessments was performed during the study visits. The systemic anticholinergic burden was described using the anticholinergic cognitive burden scale. The effect of new use of systemic anticholinergics on the annual change in forced expiratory volume (FEV1s) was estimated using mixed models. During follow-up, 802 (27.3%) participants were exposed to at least one systemic anticholinergic medicine. On average, the FEV1s of participants without systemic anticholinergic exposure decreased 37.2 ml/year (95% CI [33.8; 40.6]) while participants with low and high exposure lose 47.2 ml/year (95% CI [42.4; 52.0]) and 43.7 ml/year (95% CI [25.4; 62.0]). A novel association between new use of medicines with systemic anticholinergic properties and accelerated decrease in lung function in older adults was found. The accelerated decrease is comparable to that observed in smokers. Studies are needed to further explore this potential side effect of systemic anticholinergics.</t>
  </si>
  <si>
    <t xml:space="preserve">[Svensson, Markus; Elmstahl, Soelve; Rosso, Aldana] Lund Univ, Dept Clin Sci, Div Geriatr Med, Jan Waldenstroms Gata 35, S-20502 Malmo, Sweden; [Berglund, Johan Sanmartin] Blekinge Inst Technol, Dept Hlth, Karlskrona, Sweden</t>
  </si>
  <si>
    <t xml:space="preserve">Lund University; Blekinge Institute Technology</t>
  </si>
  <si>
    <t xml:space="preserve">Svensson, M (corresponding author), Lund Univ, Dept Clin Sci, Div Geriatr Med, Jan Waldenstroms Gata 35, S-20502 Malmo, Sweden.</t>
  </si>
  <si>
    <t xml:space="preserve">markus.svensson@med.lu.se</t>
  </si>
  <si>
    <t xml:space="preserve">Rosso, Aldana/0000-0001-6603-2855; Elmstahl, Solve/0000-0001-7153-5414; Berglund, Johan/0000-0003-4312-2246; Svensson, Markus/0000-0002-0186-4973</t>
  </si>
  <si>
    <t xml:space="preserve">Socialstyrelsen</t>
  </si>
  <si>
    <t xml:space="preserve">NATURE PORTFOLIO</t>
  </si>
  <si>
    <t xml:space="preserve">HEIDELBERGER PLATZ 3, BERLIN, 14197, GERMANY</t>
  </si>
  <si>
    <t xml:space="preserve">2045-2322</t>
  </si>
  <si>
    <t xml:space="preserve">SCI REP-UK</t>
  </si>
  <si>
    <t xml:space="preserve">Sci Rep</t>
  </si>
  <si>
    <t xml:space="preserve">FEB 22</t>
  </si>
  <si>
    <t xml:space="preserve">10.1038/s41598-024-54879-z</t>
  </si>
  <si>
    <t xml:space="preserve">JQ1C5</t>
  </si>
  <si>
    <t xml:space="preserve">WOS:001174529200008</t>
  </si>
  <si>
    <t xml:space="preserve">Sarika, PK; Badampudi, D; Josyula, SP; Usman, M</t>
  </si>
  <si>
    <t xml:space="preserve">Sarika, Pawan Kumar; Badampudi, Deepika; Josyula, Sai Prashanth; Usman, Muhammad</t>
  </si>
  <si>
    <t xml:space="preserve">Automating Microservices Test Failure Analysis using Kubernetes Cluster Logs</t>
  </si>
  <si>
    <t xml:space="preserve">27TH INTERNATIONAL CONFERENCE ON EVALUATION AND ASSESSMENT IN SOFTWARE ENGINEERING, EASE 2023</t>
  </si>
  <si>
    <t xml:space="preserve">27th International Conference on Evaluation and Assessment in Software Engineering (EASE)</t>
  </si>
  <si>
    <t xml:space="preserve">JUN 14-16, 2023</t>
  </si>
  <si>
    <t xml:space="preserve">Oulu, FINLAND</t>
  </si>
  <si>
    <t xml:space="preserve">Kubernetes cluster logs; microservices; machine learning</t>
  </si>
  <si>
    <t xml:space="preserve">Kubernetes is a free, open-source container orchestration system for deploying and managing Docker containers that host microservices. Kubernetes cluster logs help in determining the reason for the failure. However, as systems become more complex, identifying failure reasons manually becomes more difficult and time-consuming. This study aims to identify effective and efficient classification algorithms to automatically determine the failure reason. We compare five classification algorithms, Support Vector Machines, K-Nearest Neighbors, Random Forest, Gradient Boosting Classifier, and Multilayer Perceptron. Our results indicate that Random Forest produces good accuracy while requiring fewer computational resources than other algorithms.</t>
  </si>
  <si>
    <t xml:space="preserve">[Sarika, Pawan Kumar] Ericsson AB, Stockholm, Sweden; [Badampudi, Deepika; Josyula, Sai Prashanth; Usman, Muhammad] Blekinge Inst Technol, Karlskrona, Sweden</t>
  </si>
  <si>
    <t xml:space="preserve">Sarika, PK (corresponding author), Ericsson AB, Stockholm, Sweden.</t>
  </si>
  <si>
    <t xml:space="preserve">pawan.sarika@ericsson.com; deepika.badampudi@bth.se; sai.prashanth.josyula@bth.se; muhammad.usman@bth.se</t>
  </si>
  <si>
    <t xml:space="preserve">Knowledge Foundation through the OSIR project at Blekinge Institute of Technology, Sweden [20190081]</t>
  </si>
  <si>
    <t xml:space="preserve">Knowledge Foundation through the OSIR project at Blekinge Institute of Technology, Sweden</t>
  </si>
  <si>
    <t xml:space="preserve">The Knowledge Foundation supports this work through the OSIR project (reference number 20190081) at Blekinge Institute of Technology, Sweden.</t>
  </si>
  <si>
    <t xml:space="preserve">979-8-4007-0044-6</t>
  </si>
  <si>
    <t xml:space="preserve">10.1145/3593434.3593472</t>
  </si>
  <si>
    <t xml:space="preserve">BW1WG</t>
  </si>
  <si>
    <t xml:space="preserve">Green Submitted, Green Published, Bronze</t>
  </si>
  <si>
    <t xml:space="preserve">WOS:001112128800021</t>
  </si>
  <si>
    <t xml:space="preserve">Dziak, D; Gradolewski, D; Witkowski, S; Kaniecki, D; Jaworski, A; Skakuj, M; Kulesza, WJ</t>
  </si>
  <si>
    <t xml:space="preserve">Dziak, Damian; Gradolewski, Dawid; Witkowski, Szymon; Kaniecki, Damian; Jaworski, Adam; Skakuj, Michal; Kulesza, Wlodek J.</t>
  </si>
  <si>
    <t xml:space="preserve">Airport Wildlife Hazard Management System - A Sensor Fusion Approach</t>
  </si>
  <si>
    <t xml:space="preserve">User-driven design; Image processing; Thermal sensors; Vision systems</t>
  </si>
  <si>
    <t xml:space="preserve">RADAR SYSTEMS; BIRDS</t>
  </si>
  <si>
    <t xml:space="preserve">Aviation reports indicate that between 1988 and 2019 there were 292 human deaths and 327 injuries that had been reported from wildlife strikes with airplanes. To minimize these numbers, a new approach to airport Wildlife Hazard Management (WHM) is presented in the following article. The proposed solution is based on the data fusion of thermal and vision streams, which are used to improve the reliability and adaptability of the real-time WHM system. The system is designed to operate under all environmental conditions and provides advance information on the fauna presence on the airport runway. The proposed sensor fusion approach was designed and developed using user-driven design methodology. Moreover, the developed system has been validated in real-case scenarios and previously installed at an airport. Performed tests proved detection capabilities during day and night of dog-sized animals up to 300 meters. Moreover, by using machine learning algorithms during daylight, the system was able to classify person-sized objects with over 90% efficiency up to 300 meters and dog-sized objects up to 200 meters. The general accuracy of the threat level based on the three safety zones was 94%.</t>
  </si>
  <si>
    <t xml:space="preserve">[Dziak, Damian; Gradolewski, Dawid; Witkowski, Szymon; Kaniecki, Damian; Jaworski, Adam] Bioseco SA, Budowlanych St 68, PL-80298 Gdansk, Poland; [Skakuj, Michal] Ekoaviation, Piecewska St 30B-16, PL-80288 Gdansk, Poland; [Kulesza, Wlodek J.] Blekinge Inst Technol, Inst Math &amp; Nat Sci, S-37179 Karlskrona, Sweden</t>
  </si>
  <si>
    <t xml:space="preserve">Dziak, D (corresponding author), Bioseco SA, Budowlanych St 68, PL-80298 Gdansk, Poland.</t>
  </si>
  <si>
    <t xml:space="preserve">damian.dziak@bioseco.com</t>
  </si>
  <si>
    <t xml:space="preserve">Kulesza, Wlodek/I-5372-2018</t>
  </si>
  <si>
    <t xml:space="preserve">Kulesza, Wlodek J./0000-0003-3262-3221</t>
  </si>
  <si>
    <t xml:space="preserve">National Centre for Research and Development of Poland [POIR.01.01.01-00-0020/19]</t>
  </si>
  <si>
    <t xml:space="preserve">National Centre for Research and Development of Poland(National Centre for Research &amp; Development, Poland)</t>
  </si>
  <si>
    <t xml:space="preserve">This research was supported by the National Centre for Research and Development of Poland under Grant Carrying out research and development works necessary to develop a new autonomous AIRPORT FAUNA MONITORING SYSTEM (AFMS) reducing the number of collisions between aircraft and birds and mammals No. POIR.01.01.01-00-0020/19.</t>
  </si>
  <si>
    <t xml:space="preserve">3Q1WS</t>
  </si>
  <si>
    <t xml:space="preserve">WOS:000838025400006</t>
  </si>
  <si>
    <t xml:space="preserve">Behrenz, L; Mansson, J</t>
  </si>
  <si>
    <t xml:space="preserve">Behrenz, Lars; Mansson, Jonas</t>
  </si>
  <si>
    <t xml:space="preserve">Why don't employers hire long-term unemployed entitled to a wage subsidy? The employer's perspective on subsidised employment</t>
  </si>
  <si>
    <t xml:space="preserve">ECONOMIC AND INDUSTRIAL DEMOCRACY</t>
  </si>
  <si>
    <t xml:space="preserve">Employer perspective; recruitment; wage subsidies</t>
  </si>
  <si>
    <t xml:space="preserve">LABOR-MARKET PROGRAMS; DISCRIMINATION; PROFICIENCY; OUTCOMES; WORK; BACK</t>
  </si>
  <si>
    <t xml:space="preserve">Despite a generous system with high wage subsidies for the long-term unemployed and newly arrived immigrants, many Swedish employers do not make use of this opportunity. This study seeks to increase knowledge of why some employers use the opportunity and others do not. Both register and survey data and combined register and survey data are used. One finding is that employers lack information about the subsidy programmes, although employers that had previously employed subsidised workers were much more likely to employ them in the future. Thus, a key policy question is how to present these subsidies to employers to reduce this barrier. The study also found that some employers hired people from these groups from altruistic motives. However, some employers responded that they would not employ a person entitled to a subsidy, regardless of the content of the subsidy scheme.</t>
  </si>
  <si>
    <t xml:space="preserve">[Behrenz, Lars] Linnaeus Univ, Dept Econ &amp; Stat, Vaxjo, Sweden; [Mansson, Jonas] Blekinge Inst Technol, Dept Ind Econ &amp; Management, Vallgatan 1, S-37179 Karlskrona, Sweden</t>
  </si>
  <si>
    <t xml:space="preserve">Mansson, J (corresponding author), Blekinge Inst Technol, Dept Ind Econ &amp; Management, Vallgatan 1, S-37179 Karlskrona, Sweden.</t>
  </si>
  <si>
    <t xml:space="preserve">behrenz, lars/GLT-8506-2022</t>
  </si>
  <si>
    <t xml:space="preserve">Behrenz, Lars/0000-0002-5567-9263</t>
  </si>
  <si>
    <t xml:space="preserve">0143-831X</t>
  </si>
  <si>
    <t xml:space="preserve">1461-7099</t>
  </si>
  <si>
    <t xml:space="preserve">ECON IND DEMOCRACY</t>
  </si>
  <si>
    <t xml:space="preserve">Econ. Ind. Democr.</t>
  </si>
  <si>
    <t xml:space="preserve">0143831X211064338</t>
  </si>
  <si>
    <t xml:space="preserve">10.1177/0143831X211064338</t>
  </si>
  <si>
    <t xml:space="preserve">DEC 2021</t>
  </si>
  <si>
    <t xml:space="preserve">Industrial Relations &amp; Labor</t>
  </si>
  <si>
    <t xml:space="preserve">8Q2YJ</t>
  </si>
  <si>
    <t xml:space="preserve">WOS:000736622100001</t>
  </si>
  <si>
    <t xml:space="preserve">Claesson, L; Kans, M; Håkansson, L; Nilsson, K</t>
  </si>
  <si>
    <t xml:space="preserve">Auer, ME; May, D</t>
  </si>
  <si>
    <t xml:space="preserve">Claesson, Lena; Kans, Mirka; Hakansson, Lars; Nilsson, Kristian</t>
  </si>
  <si>
    <t xml:space="preserve">STEM Education on Equal Terms Through the Flipped Laboratory Approach</t>
  </si>
  <si>
    <t xml:space="preserve">CROSS REALITY AND DATA SCIENCE IN ENGINEERING</t>
  </si>
  <si>
    <t xml:space="preserve">Advances in Intelligent Systems and Computing</t>
  </si>
  <si>
    <t xml:space="preserve">17th Annual conference of the International-Association-of-Online-Engineering (IAOE) and the Global-Online-Laboratory-Consortium (GOLC) on Remote Engineering and Virtual Instrumentation (REV) - Cross Reality and Data Science in Engineering</t>
  </si>
  <si>
    <t xml:space="preserve">FEB 26-28, 2020</t>
  </si>
  <si>
    <t xml:space="preserve">Univ Georgia, Coll Engn, Georgia Informat Inst Res &amp; Educ, Athens, GA</t>
  </si>
  <si>
    <t xml:space="preserve">Int Assoc Online Engn,Global Online Lab Consortium</t>
  </si>
  <si>
    <t xml:space="preserve">Univ Georgia, Coll Engn, Georgia Informat Inst Res &amp; Educ</t>
  </si>
  <si>
    <t xml:space="preserve">Remote laboratory; STEM education; Physics education; Upper secondary school; Flipped laboratory</t>
  </si>
  <si>
    <t xml:space="preserve">The educational phenomena studied in this paper is remote-controlled physical laboratory environments and their applicability in upper secondary school physics education. In order to gain a better understanding of the situation and needs regarding laboratory activities in the upper secondary school, eight physics teachers were interviewed at six different schools. This revealed that the resources for laboratory activities vary between schools and may be inconsistent with the Swedish National Agency for Education curriculum. Furthermore, 165 upper secondary school students answered a questionnaire survey regarding subject preferences, program choices, views on technology and self-ability, and approach to technology and technology-related situations. The acquired knowledge provides a basis concerning the needs and conditions of teaching and learning within the subject of physics. This new knowledge motivates the development of the Flipped laboratory concept that is introduced in this paper, based on remote-controlled physical laboratories, for upper secondary school.</t>
  </si>
  <si>
    <t xml:space="preserve">[Claesson, Lena; Nilsson, Kristian] Blekinge Inst Technol, Karlskrona, Sweden; [Kans, Mirka; Hakansson, Lars] Linnaeus Univ, Vaxjo, Sweden</t>
  </si>
  <si>
    <t xml:space="preserve">Claesson, L (corresponding author), Blekinge Inst Technol, Karlskrona, Sweden.</t>
  </si>
  <si>
    <t xml:space="preserve">lena.claesson@bth.se; mirka.kans@lnu.se; lars.hakansson@lnu.se; Kristian.nilsson@bth.se</t>
  </si>
  <si>
    <t xml:space="preserve">2194-5357</t>
  </si>
  <si>
    <t xml:space="preserve">2194-5365</t>
  </si>
  <si>
    <t xml:space="preserve">978-3-030-52575-0; 978-3-030-52574-3</t>
  </si>
  <si>
    <t xml:space="preserve">ADV INTELL SYST COMP</t>
  </si>
  <si>
    <t xml:space="preserve">10.1007/978-3-030-52575-0_4</t>
  </si>
  <si>
    <t xml:space="preserve">Computer Science, Artificial Intelligence; Computer Science, Theory &amp; Methods; Engineering, Multidisciplinary</t>
  </si>
  <si>
    <t xml:space="preserve">BS8HF</t>
  </si>
  <si>
    <t xml:space="preserve">WOS:000772176100004</t>
  </si>
  <si>
    <t xml:space="preserve">Petersson, S; Grahn, H; Rasmusson, J</t>
  </si>
  <si>
    <t xml:space="preserve">Petersson, Stefan; Grahn, HAkan; Rasmusson, Jim</t>
  </si>
  <si>
    <t xml:space="preserve">Blind Correction of Lateral Chromatic Aberration in Raw Bayer Data</t>
  </si>
  <si>
    <t xml:space="preserve">Image color analysis; Cameras; Lenses; Optics; Color; Interpolation; Image edge detection; Chromatic aberration; structural instability; image enhancement; blind correction; GPGPU</t>
  </si>
  <si>
    <t xml:space="preserve">TRANSMISSION ELECTRON-MICROSCOPY; COLOR DEMOSAICKING; ATOMIC-RESOLUTION; REMOVAL; MODEL</t>
  </si>
  <si>
    <t xml:space="preserve">Chromatic aberration is an error that occurs in color images due to the fact that camera lenses refract the light of different wavelengths in different angles. The common approach today to correct the error is to use a lookup table for each camera-lens combination, e.g., as in Adobe PhotoShop Lightroom or DxO Optics Pro. In this paper, we propose a method that corrects the chromatic aberration error without any priot knowledge of the camera-lens combination, and does the correction already on the bayer data, i.e., before the Raw image data is interpolated to an RGB image. We evaluate our method in comparison to DxO Optics Pro, a state-of-the-art tool based on lookup tables, using 25 test images and the variance of the color differences (VCD) metric. The results show that our blind method has a similar error correction performance as DxO Optics Pro, but without prior knowledge of the camera-lens setup.</t>
  </si>
  <si>
    <t xml:space="preserve">[Petersson, Stefan; Grahn, HAkan] Blekinge Inst Technol, Dept Comp Sci, S-37179 Karlskrona, Sweden; [Rasmusson, Jim] Sony Mobile Commun AB, S-22188 Lund, Sweden</t>
  </si>
  <si>
    <t xml:space="preserve">Blekinge Institute Technology; Sony Corporation</t>
  </si>
  <si>
    <t xml:space="preserve">Petersson, S (corresponding author), Blekinge Inst Technol, Dept Comp Sci, S-37179 Karlskrona, Sweden.</t>
  </si>
  <si>
    <t xml:space="preserve">stefan.petersson@bth.se</t>
  </si>
  <si>
    <t xml:space="preserve">This work was supported in part by the Knowledge Foundation in Sweden through the Scalable Resource-Efficient Systems for Big Data Analytics under Grant 20140032.</t>
  </si>
  <si>
    <t xml:space="preserve">10.1109/ACCESS.2021.3096201</t>
  </si>
  <si>
    <t xml:space="preserve">TL9TP</t>
  </si>
  <si>
    <t xml:space="preserve">WOS:000675195700001</t>
  </si>
  <si>
    <t xml:space="preserve">Bryant, J; Thomson, G</t>
  </si>
  <si>
    <t xml:space="preserve">Bryant, Jayne; Thomson, Giles</t>
  </si>
  <si>
    <t xml:space="preserve">Learning as a key leverage point for sustainability transformations: a case study of a local government in Perth, Western Australia</t>
  </si>
  <si>
    <t xml:space="preserve">Strategic sustainability; Leverage points; Organisational change; Education for sustainable development; Local government; Leadership</t>
  </si>
  <si>
    <t xml:space="preserve">HIGHER-EDUCATION; COMPETENCES; FRAMEWORK; FUTURE</t>
  </si>
  <si>
    <t xml:space="preserve">This paper presents a case study about embedding sustainability into a local government in Perth, Western Australia, through the introduction of a sustainability policy and the accompanying education and culture change program. This longitudinal case study describes the approach and impact of the program initiated and delivered by internal officers between 2011 and 2016. The use of personal experience, document review and staff interviews present an ethnography of a bureaucracy that casts some light upon the seldom seen inner workings of a local government organisation as it introduced a sustainability program over a period of more than 5 years. The case study provides evidence of the potential power of learning as a key leverage point for transformational sustainability change.</t>
  </si>
  <si>
    <t xml:space="preserve">[Bryant, Jayne; Thomson, Giles] Blekinge Inst Technol, Karlskrona, Sweden; [Thomson, Giles] Curtin Univ, Perth, WA, Australia</t>
  </si>
  <si>
    <t xml:space="preserve">Bryant, J (corresponding author), Blekinge Inst Technol, Karlskrona, Sweden.</t>
  </si>
  <si>
    <t xml:space="preserve">jayne.bryant@bth.se; grt@bth.se</t>
  </si>
  <si>
    <t xml:space="preserve">Bryant, Jayne/0000-0002-7993-7116; Thomson, Giles/0000-0002-9873-3872</t>
  </si>
  <si>
    <t xml:space="preserve">Open access funding provided by Blekinge Institute of Technology. The authors would like to thank James Ayers, Merlina Missimer, John Bryant, Melanie Bainbridge and Clare Barnes for conversations and feedback on earlier drafts of this paper which helped clarify language and thinking. Much gratitude to the current and former staff of the City of Canning who provided their insight and experience through the survey responses, and inspiration over the years through their willingness to learn and work towards a more sustainable world together. Finally, thanks must also go to two anonymous reviewers for their insightful feedback that improved the clarity and accuracy of this article.</t>
  </si>
  <si>
    <t xml:space="preserve">10.1007/s11625-020-00808-8</t>
  </si>
  <si>
    <t xml:space="preserve">APR 2020</t>
  </si>
  <si>
    <t xml:space="preserve">RZ1YQ</t>
  </si>
  <si>
    <t xml:space="preserve">WOS:000529705900001</t>
  </si>
  <si>
    <t xml:space="preserve">Madeyski, L; Lewowski, T</t>
  </si>
  <si>
    <t xml:space="preserve">Madeyski, Lech; Lewowski, Tomasz</t>
  </si>
  <si>
    <t xml:space="preserve">Detecting code smells using industry-relevant data</t>
  </si>
  <si>
    <t xml:space="preserve">Reproducible research; Software engineering; Machine learning; Code smells</t>
  </si>
  <si>
    <t xml:space="preserve">MACHINE LEARNING TECHNIQUES; THRESHOLDS</t>
  </si>
  <si>
    <t xml:space="preserve">Context Code smells are patterns in source code associated with an increased defect rate and a higher maintenance effort than usual, but without a clear definition. Code smells are often detected using rules hard -coded in detection tools. Such rules are often set arbitrarily or derived from data sets tagged by reviewers without the necessary industrial know-how. Conclusions from studying such data sets may be unreliable or even harmful, since algorithms may achieve higher values of performance metrics on them than on models tagged by experts, despite not being industrially useful. Objective Our goal is to investigate the performance of various machine learning algorithms for auto-mated code smell detection trained on code smell data set(MLCQ) derived from actively developed and industry-relevant projects and reviews performed by experienced software developers.Method We assign the severity of the smell to the code sample according to a consensus between the severities assigned by the reviewers, use the Matthews Correlation Coefficient (MCC) as our main performance metric to account for the entire confusion matrix, and compare the median value to account for non-normal distributions of performance. We compare 6720 models built using eight machine learning techniques. The entire process is automated and reproducible.Results Performance of compared techniques depends heavily on analyzed smell. The median value of our performance metric for the best algorithm was 0.81 for Long Method, 0.31 for Feature Envy, 0.51 for Blob, and 0.57 for Data Class.Conclusions Random Forest and Flexible Discriminant Analysis performed the best overall, but in most cases the performance difference between them and the median algorithm was no more than 10% of the latter. The performance results were stable over multiple iterations. Although the F-score omits one quadrant of the confusion matrix (and thus may differ from MCC), in code smell detection, the actual differences are minimal.</t>
  </si>
  <si>
    <t xml:space="preserve">[Madeyski, Lech; Lewowski, Tomasz] Wroclaw Univ Sci &amp; Technol, Dept Appl Informat, Wyb Wyspianskiego 27, PL-50370 Wroclaw, Poland; [Madeyski, Lech] Blekinge Inst Technol, Dept Software Engn, Karlskrona, Sweden</t>
  </si>
  <si>
    <t xml:space="preserve">Wroclaw University of Science &amp; Technology; Blekinge Institute Technology</t>
  </si>
  <si>
    <t xml:space="preserve">Madeyski, L (corresponding author), Wroclaw Univ Sci &amp; Technol, Dept Appl Informat, Wyb Wyspianskiego 27, PL-50370 Wroclaw, Poland.</t>
  </si>
  <si>
    <t xml:space="preserve">lech.madeyski@pwr.edu.pl; tomasz.lewowski@pwr.edu.pl</t>
  </si>
  <si>
    <t xml:space="preserve">Madeyski, Lech/D-4986-2012</t>
  </si>
  <si>
    <t xml:space="preserve">Madeyski, Lech/0000-0003-3907-3357; Lewowski, Tomasz/0000-0003-4897-1263</t>
  </si>
  <si>
    <t xml:space="preserve">National Centre for Research and Development (NCBiR) [POIR.01.01.01-00-0792/16]</t>
  </si>
  <si>
    <t xml:space="preserve">National Centre for Research and Development (NCBiR)(National Centre for Research &amp; Development, Poland)</t>
  </si>
  <si>
    <t xml:space="preserve">This work has been partially carried out as part of the research and development project POIR.01.01.01-00-0792/16 supported by the National Centre for Research and Development (NCBiR), and the research internship of Lech Madeyski at BTH. The authors thank Tomasz Korzeniowski and Marek Skrajnowski from code quest sp. z o.o. for all of the support, comments, and feedback from the real-world software engineering environment.</t>
  </si>
  <si>
    <t xml:space="preserve">10.1016/j.infsof.2022.107112</t>
  </si>
  <si>
    <t xml:space="preserve">7F4NK</t>
  </si>
  <si>
    <t xml:space="preserve">WOS:000901826200018</t>
  </si>
  <si>
    <t xml:space="preserve">Yavariabdi, A; Kusetogullari, H; Cicek, H</t>
  </si>
  <si>
    <t xml:space="preserve">Yavariabdi, Amir; Kusetogullari, Huseyin; Cicek, Hasan</t>
  </si>
  <si>
    <t xml:space="preserve">UAV detection in airborne optic videos using dilated convolutions</t>
  </si>
  <si>
    <t xml:space="preserve">JOURNAL OF OPTICS-INDIA</t>
  </si>
  <si>
    <t xml:space="preserve">Deep learning; GIoU; CNN; Detection; Unmanned aerial vehicle; Dilated convolution</t>
  </si>
  <si>
    <t xml:space="preserve">OBJECT DETECTION</t>
  </si>
  <si>
    <t xml:space="preserve">In this paper, a real-time unmanned aerial vehicles (UAVs) detection framework is proposed for GPU embedded applications. To achieve this, this paper proposed a new modified model based on You Only Look Once (YOLO) to detect multi-UAV in aerial images with a complex background. The proposed CNN architecture uses five inception module and dilated convolution with two different factors to increase detection accuracy of YOLOv3 tiny, while preserving its computational time. To further improve the detection accuracy, Generalized Intersection over Union loss is replaced with the bounding box regression loss in the original YOLOv3 tiny loss function. To obtain higher frame rate, scalable kernel correlation filter (sKCF) algorithm is integrated to the detection model. More specifically, the proposed UAV detection method is used to initialize the sKCF tracker at every nth frame. Thus, the detected UAVs can be detected in intermediate frames with a low memory footprint. The proposed model and compared models are trained and tested on a variety of training and test airborne videos, captured under different outdoor scenarios. The average precision of the proposed model is 0.8265 and achieves 32 FPS performance on Jetson-TX2. The results show that the proposed model which is widened with inception module using dilated convolutions has a very high performance in terms of accuracy and speed even when it is compared with deep CNN architectures such as Darknet 53.</t>
  </si>
  <si>
    <t xml:space="preserve">[Yavariabdi, Amir; Cicek, Hasan] KTO Karatay Univ, Fac Engn, Dept Mech Engn, Konya, Turkey; [Kusetogullari, Huseyin] Blekinge Inst Technol, Dept Comp Sci, Karlskrona, Sweden</t>
  </si>
  <si>
    <t xml:space="preserve">KTO Karatay University; Blekinge Institute Technology</t>
  </si>
  <si>
    <t xml:space="preserve">Yavariabdi, A (corresponding author), KTO Karatay Univ, Fac Engn, Dept Mech Engn, Konya, Turkey.</t>
  </si>
  <si>
    <t xml:space="preserve">amir.yavariabdi@karatay.edu.tr; hku@bth.se; hasan.cicek@ogrenci.karatay.edu.tr</t>
  </si>
  <si>
    <t xml:space="preserve">Kusetogullari, Huseyin/IAQ-0788-2023</t>
  </si>
  <si>
    <t xml:space="preserve">SPRINGER INDIA</t>
  </si>
  <si>
    <t xml:space="preserve">NEW DELHI</t>
  </si>
  <si>
    <t xml:space="preserve">7TH FLOOR, VIJAYA BUILDING, 17, BARAKHAMBA ROAD, NEW DELHI, 110 001, INDIA</t>
  </si>
  <si>
    <t xml:space="preserve">0972-8821</t>
  </si>
  <si>
    <t xml:space="preserve">0974-6900</t>
  </si>
  <si>
    <t xml:space="preserve">J OPT-INDIA</t>
  </si>
  <si>
    <t xml:space="preserve">J. Opt.-India</t>
  </si>
  <si>
    <t xml:space="preserve">10.1007/s12596-021-00770-3</t>
  </si>
  <si>
    <t xml:space="preserve">Optics</t>
  </si>
  <si>
    <t xml:space="preserve">WN0KP</t>
  </si>
  <si>
    <t xml:space="preserve">WOS:000696751200001</t>
  </si>
  <si>
    <t xml:space="preserve">Peixoto, M; Silva, C; Vilela, J; Gorschek, T</t>
  </si>
  <si>
    <t xml:space="preserve">Peixoto, Mariana; Silva, Carla; Vilela, Jessyka; Gorschek, Tony</t>
  </si>
  <si>
    <t xml:space="preserve">Privacy Requirements Specification in Agile Software Development</t>
  </si>
  <si>
    <t xml:space="preserve">Privacy has become a concern in Agile Software Development (ASD), either to satisfy users' needs or to comply with privacy laws. However, recent studies have shown that ASD approaches still neglect non-functional requirements (NFRs), as is the privacy case. This concern and new data protection laws that came into force recently led companies to face the challenges to understand the laws and to comply with them. In addition, research has shown that many developers do not have sufficient knowledge about how to develop privacy-sensitive software. Motivated by this scenario, this tutorial aims to draw attention to the need to understand privacy from the beginning of the software development lifecycle. Initially, we will present an overview of privacy, as well as several privacy principles. Later, we will show the main data protection laws (In-depth detailing of the General Data Protection Regulation - GDPR). Then, we will discuss how to read and evaluate privacy policies. Finally, we will present an approach for specifying privacy requirements in ASD called Privacy Criteria Method (PCM). At the end of the tutorial, participants will be able to have a critical and technical view of privacy when performing the requirements specification activity.</t>
  </si>
  <si>
    <t xml:space="preserve">[Peixoto, Mariana; Silva, Carla; Vilela, Jessyka] Univ Fed Pernambuco UFPE, Recife, PE, Brazil; [Gorschek, Tony] Blekinge Inst Technol BTH, Karlskrona, Sweden</t>
  </si>
  <si>
    <t xml:space="preserve">Universidade Federal de Pernambuco; Blekinge Institute Technology</t>
  </si>
  <si>
    <t xml:space="preserve">Peixoto, M (corresponding author), Univ Fed Pernambuco UFPE, Recife, PE, Brazil.</t>
  </si>
  <si>
    <t xml:space="preserve">mmp2@cin.ufpe.br; ctlls@cin.ufpe.br; jffv@cin.ufpe.br; tony.gorschek@bth.se</t>
  </si>
  <si>
    <t xml:space="preserve">Gorschek, Tony/E-3445-2013; Vilela, Jessyka/KYQ-1664-2024</t>
  </si>
  <si>
    <t xml:space="preserve">Vilela, Jessyka/0000-0002-5541-5188</t>
  </si>
  <si>
    <t xml:space="preserve">10.1109/RE51729.2021.00080</t>
  </si>
  <si>
    <t xml:space="preserve">WOS:000788292800073</t>
  </si>
  <si>
    <t xml:space="preserve">Shahid, S; Islam, MS; Kao-Walter, S</t>
  </si>
  <si>
    <t xml:space="preserve">Shahid, Sharlin; Islam, Md Shafiqul; Kao-Walter, Sharon</t>
  </si>
  <si>
    <t xml:space="preserve">Modeling of LDPE Polymer Film with and without a Crack by Different Anisotropic Yield Functions</t>
  </si>
  <si>
    <t xml:space="preserve">MATERIALS PERFORMANCE AND CHARACTERIZATION</t>
  </si>
  <si>
    <t xml:space="preserve">anisotropy; Yld2004-18P; low-density polyethylene; tensile test; precrack</t>
  </si>
  <si>
    <t xml:space="preserve">An experimental characterization of the mechanical properties in a low-density polyethylene (LDPE) film is performed in this article. Anisotropy in LDPE at different in-plane material orientations is measured from the stress-strain -strain response and digital image correlation observations of the specimens under uniaxial tension. Finite element simulation of in-plane anisotropy of the material is carried out in Abaqus R2020 using available models like von Mises, Hill 48, Barlat Yld91, and Barlat Yld2004-18P. To express the mechanical behavior at larger strain, a suitable hardening extrapolation model is selected from a trial of several extrapolation models. To validate the simulation methods and the material characterization process, finite element simulation results such as force displacement and strain distribution are compared with the experimental data showing good agreement. Finally, a calibrated anisotropic yield model together with ductile failure criterion is shown to successfully simulate the response of precracked LDPE film under tension. Overall, this study provides valuable insights into the modeling of LDPE polymer films with and without cracks using different anisotropic yield functions and largely simplifies material characterization with some tradeoffs.</t>
  </si>
  <si>
    <t xml:space="preserve">[Shahid, Sharlin; Islam, Md Shafiqul] Blekinge Inst Technol, Dept Mech Engn, S-37179 Karlskrona, Sweden; [Kao-Walter, Sharon] Blekinge Inst Technol, Dept Math &amp; Nat Sci, S-37179 Karlskrona, Sweden; [Kao-Walter, Sharon] Shanghai Polytech Univ, Sch Intelligent Mfg &amp; Control Engn, Shanghai 201209, Peoples R China</t>
  </si>
  <si>
    <t xml:space="preserve">Blekinge Institute Technology; Blekinge Institute Technology; Shanghai Polytechnic University</t>
  </si>
  <si>
    <t xml:space="preserve">Shahid, S (corresponding author), Blekinge Inst Technol, Dept Mech Engn, S-37179 Karlskrona, Sweden.</t>
  </si>
  <si>
    <t xml:space="preserve">sharlin.shahid@gmail.com</t>
  </si>
  <si>
    <t xml:space="preserve">Islam, Dr Md Shafiqul/IXN-9424-2023</t>
  </si>
  <si>
    <t xml:space="preserve">Swedish Knowledge and Competence Development Foundation (KKS) [20200125]</t>
  </si>
  <si>
    <t xml:space="preserve">Swedish Knowledge and Competence Development Foundation (KKS)</t>
  </si>
  <si>
    <t xml:space="preserve">This work is a part of the research activity of the Failure prediction for complex load cases (PREDICT) (grant 20200125 (2021- 2023) ) at Blekinge Institute of Technology, which is funded by the Swedish Knowledge and Competence Development Foundation (KKS) .</t>
  </si>
  <si>
    <t xml:space="preserve">AMER SOC TESTING MATERIALS</t>
  </si>
  <si>
    <t xml:space="preserve">W CONSHOHOCKEN</t>
  </si>
  <si>
    <t xml:space="preserve">100 BARR HARBOR DR, W CONSHOHOCKEN, PA 19428-2959 USA</t>
  </si>
  <si>
    <t xml:space="preserve">2379-1365</t>
  </si>
  <si>
    <t xml:space="preserve">2165-3992</t>
  </si>
  <si>
    <t xml:space="preserve">MATER PERFORM CHARAC</t>
  </si>
  <si>
    <t xml:space="preserve">Mater. Perform. Charact.</t>
  </si>
  <si>
    <t xml:space="preserve">2024 JUL 26</t>
  </si>
  <si>
    <t xml:space="preserve">10.1520/MPC20230079</t>
  </si>
  <si>
    <t xml:space="preserve">Materials Science, Multidisciplinary</t>
  </si>
  <si>
    <t xml:space="preserve">ZR1K7</t>
  </si>
  <si>
    <t xml:space="preserve">WOS:001276928700001</t>
  </si>
  <si>
    <t xml:space="preserve">Laudadio, L; Coppola, R; Torchiano, M; Tomic, S</t>
  </si>
  <si>
    <t xml:space="preserve">Coppola, R; Ardito, L; Fraser, G; Leotta, M</t>
  </si>
  <si>
    <t xml:space="preserve">Laudadio, Lorenzo; Coppola, Riccardo; Torchiano, Marco; Tomic, Stevan</t>
  </si>
  <si>
    <t xml:space="preserve">ScoutDroid: A Tool For Mobile Augmented Testing with Live Feedback*</t>
  </si>
  <si>
    <t xml:space="preserve">PROCEEDINGS OF THE 3RD ACM INTERNATIONAL WORKSHOP ON GAMIFICATION IN SOFTWARE DEVELOPMENT, VERIFICATION, AND VALIDATION, GAMIFY 2024</t>
  </si>
  <si>
    <t xml:space="preserve">3rd International Workshop on Gamification in Software Development, Verification, and Validation (GAMIFY)</t>
  </si>
  <si>
    <t xml:space="preserve">SEP 17-17, 2024</t>
  </si>
  <si>
    <t xml:space="preserve">ACM SIGSOFT,AITO</t>
  </si>
  <si>
    <t xml:space="preserve">Software Testing; GUI Testing; Gamification; Software Engineering; Mobile Applications</t>
  </si>
  <si>
    <t xml:space="preserve">In the evolving landscape of mobile applications, effective and efficient testing methods are crucial for ensuring high-quality user experiences. This paper introduces a novel end-to-end mobile testing technique designed to enhance exploratory testing by incorporating gamification strategies. We developed a plugin that integrates these innovative techniques, aiming to make the testing process more engaging and effective. With the use of a live feedback system, the plugin drives testers to thoroughly explore the application, leading to the discovery of more defects and improved software quality. Preliminary evaluation suggests that this approach could not only increase tester engagement but also improve the detection rate of critical issues. This research highlights the potential of merging exploratory testing with gamification, setting the stage for more dynamic and productive mobile testing methodologies.</t>
  </si>
  <si>
    <t xml:space="preserve">[Laudadio, Lorenzo; Coppola, Riccardo; Torchiano, Marco] Politecn Torino, Turin, Italy; [Tomic, Stevan] Blekinge Inst Technol, Karlskrona, Sweden</t>
  </si>
  <si>
    <t xml:space="preserve">Polytechnic University of Turin; Blekinge Institute Technology</t>
  </si>
  <si>
    <t xml:space="preserve">Laudadio, L (corresponding author), Politecn Torino, Turin, Italy.</t>
  </si>
  <si>
    <t xml:space="preserve">lorenzo.laudadio@polito.it; riccardo.coppola@polito.it; marco.torchiano@polito.it; stevan.tomic@bth.se</t>
  </si>
  <si>
    <t xml:space="preserve">Coppola, Riccardo/Y-7159-2019</t>
  </si>
  <si>
    <t xml:space="preserve">Laudadio, Lorenzo/0009-0001-3496-0072; Torchiano, Marco/0000-0001-5328-368X</t>
  </si>
  <si>
    <t xml:space="preserve">European Union -Next Generation EU within the PRIN 2022 program [104]</t>
  </si>
  <si>
    <t xml:space="preserve">European Union -Next Generation EU within the PRIN 2022 program</t>
  </si>
  <si>
    <t xml:space="preserve">This study was carried out within the EndGame -Improving End-to-End Testing of Web and Mobile Apps through Gamification project (2022PCCMLF) -funded by European Union -Next Generation EU within the PRIN 2022 program (D.D.104 -02/02/2022 Ministero dell'Universita e della Ricerca). This manuscript reflects only the authors' views and opinions and the Ministry cannot be considered responsible for them.</t>
  </si>
  <si>
    <t xml:space="preserve">979-8-4007-1113-8</t>
  </si>
  <si>
    <t xml:space="preserve">10.1145/3678869.3685688</t>
  </si>
  <si>
    <t xml:space="preserve">BX7ND</t>
  </si>
  <si>
    <t xml:space="preserve">WOS:001323635100006</t>
  </si>
  <si>
    <t xml:space="preserve">Kans, M; Claesson, L</t>
  </si>
  <si>
    <t xml:space="preserve">Kans, Mirka; Claesson, Lena</t>
  </si>
  <si>
    <t xml:space="preserve">Gender-Related Differences for Subject Interest and Academic Emotions for STEM Subjects among Swedish Upper Secondary School Students</t>
  </si>
  <si>
    <t xml:space="preserve">STEM subjects; interest and self-efficacy; subject interest; academic emotions; upper secondary school; questionnaire study</t>
  </si>
  <si>
    <t xml:space="preserve">SELF-EFFICACY; MOTIVATION; ENGAGEMENT; SCIENCE; MODEL</t>
  </si>
  <si>
    <t xml:space="preserve">It is hard to attract young persons to engineering and other science, technology, engineering, and mathematics (STEM) fields of education in Sweden. Factors, such as interest and ability, are affecting the educational orientation of students, and many studies suggest that there are gender related differences in students' perceptions regarding different subject areas. Nevertheless, it is not fully evident why students' make their educational choices. In this paper, Swedish upper secondary school students' perceptions of interest and self-efficacy are studied in the form of a questionnaire survey to gain deeper understanding on the choices that are made. Open-ended questions regarding subject interest, as well as questions connecting STEM-related situations with perceived emotions were included, in addition to direct questions regarding interest and self-efficacy. Differences were seen both with respect to educational orientation and to gender, which confirms previous studies. Male students were interested in subjects that are accurate, logical, and scientific, while the female students emphasized the analytical and challenging aspects, in the sense that the subjects forced them to think. Interest and future opportunities affected the choice of program, while the student's own perceived ability seemed less important. Results with respect to emotions showed that the female students in this study felt insecure and scared in STEM-related situations to higher degree than male students did. Students on the social science program were bored and uninterested, while natural science and technology program students were more interested and confident in STEM-related scenarios. These findings help us to understand how students approach STEM situations, and how to take necessary measures to equalize these situations using a norm-critical approach.</t>
  </si>
  <si>
    <t xml:space="preserve">[Kans, Mirka] Linnaeus Univ, Dept Mech Engn, S-35195 Vaxjo, Sweden; [Claesson, Lena] Blekinge Inst Technol, Dept Math &amp; Nat Sciences, S-37141 Karlskrona, Sweden</t>
  </si>
  <si>
    <t xml:space="preserve">Kans, M (corresponding author), Linnaeus Univ, Dept Mech Engn, S-35195 Vaxjo, Sweden.</t>
  </si>
  <si>
    <t xml:space="preserve">mirka.kans@lnu.se</t>
  </si>
  <si>
    <t xml:space="preserve">Kans, Mirka/0000-0002-2637-6175</t>
  </si>
  <si>
    <t xml:space="preserve">Vinnova [2018-03381]; Vinnova [2018-03381] Funding Source: Vinnova</t>
  </si>
  <si>
    <t xml:space="preserve">Vinnova(Vinnova); Vinnova(Vinnova)</t>
  </si>
  <si>
    <t xml:space="preserve">This research was funded by Vinnova, grant number 2018-03381 (Project STEM education on equal terms).</t>
  </si>
  <si>
    <t xml:space="preserve">10.3390/educsci12080553</t>
  </si>
  <si>
    <t xml:space="preserve">4B7XQ</t>
  </si>
  <si>
    <t xml:space="preserve">WOS:000845985500001</t>
  </si>
  <si>
    <t xml:space="preserve">Recruiting credible participants for field studies in software engineering research</t>
  </si>
  <si>
    <t xml:space="preserve">Credibility; Validity; Reliability; Data collection; Sampling; Subjects; Participants; Recruitment</t>
  </si>
  <si>
    <t xml:space="preserve">EMPIRICAL-RESEARCH; GENDER</t>
  </si>
  <si>
    <t xml:space="preserve">Context: Software practitioners are a primary provider of information for field studies in software engineering. Research typically recruits practitioners through some kind of sampling. But sampling may not in itself recruit the right participants. Objective: To assess existing guidance on participant recruitment, and to propose and illustrate a framework for recruiting professional practitioners as credible participants in field studies of software engineering. Methods: We review existing guidelines, checklists and other advisory sources on recruiting participants for field studies. We develop a framework, partly based on our prior research and on the research of others. We search for and select three exemplar studies (a case study, an interview study and a survey study) and use those to illustrate the framework. Results: Whilst existing guidance recognises the importance of recruiting participants, there is limited guidance on how to recruit the right participants. The framework suggests the conceptualisation of participants as research instruments or, alternatively, as a sampling frame for items of interest. The exemplars suggest that at least some members of the research community are aware of the need to carefully recruit the right participants. Conclusions: The framework is intended to encourage researchers to think differently about the involvement of practitioners in field studies of software engineering. Also, the framework identifies a number of characteristics not explicitly addressed by existing guidelines.</t>
  </si>
  <si>
    <t xml:space="preserve">Rainer, Austen/0000-0001-8868-263X; Wohlin, Claes/0000-0003-0460-5253</t>
  </si>
  <si>
    <t xml:space="preserve">10.1016/j.infsof.2022.107002</t>
  </si>
  <si>
    <t xml:space="preserve">4V5BX</t>
  </si>
  <si>
    <t xml:space="preserve">WOS:000859493100003</t>
  </si>
  <si>
    <t xml:space="preserve">Gorschek, T; Mendez, D</t>
  </si>
  <si>
    <t xml:space="preserve">Winkler, D; Biffl, S; Mendez, D; Wimmer, M; Bergsmann, J</t>
  </si>
  <si>
    <t xml:space="preserve">Gorschek, Tony; Mendez, Daniel</t>
  </si>
  <si>
    <t xml:space="preserve">Solving Problems or Enabling Problem-Solving? from Purity in Empirical Software Engineering to Effective Co-production (Invited Keynote)</t>
  </si>
  <si>
    <t xml:space="preserve">SOFTWARE QUALITY: FUTURE PERSPECTIVES ON SOFTWARE ENGINEERING QUALITY, SWQD 2021</t>
  </si>
  <si>
    <t xml:space="preserve">13th International Conference on Software Quality Days (SWQD)</t>
  </si>
  <si>
    <t xml:space="preserve">JAN 19-21, 2021</t>
  </si>
  <si>
    <t xml:space="preserve">Software Qual Lab GmbH,Vienna Univ Technol, Inst Informat Syst Engn,Blekinge Inst Technol,Johannes Kepler Univ Linz</t>
  </si>
  <si>
    <t xml:space="preserve">Studying and collaborating with any software-intensive organization demands for excellence in empirical software engineering research. The ever-growing complexity and context-dependency of software products, however, demands for more pragmatic and solution-focused research. This is a great opportunity but it also conflicts with the traditional quest for purity in research and a very narrow focus of the work. In this short positioning, we elaborate on challenges which emerge from academia-industry collaborations and discuss touch upon pragmatic ways of approaching them along the co-production model which emerged from SERL Sweden.</t>
  </si>
  <si>
    <t xml:space="preserve">[Gorschek, Tony; Mendez, Daniel] Blekinge Inst Technol, Karlskrona, Sweden; [Mendez, Daniel] Fortiss GmbH, Munich, Germany</t>
  </si>
  <si>
    <t xml:space="preserve">Gorschek, T (corresponding author), Blekinge Inst Technol, Karlskrona, Sweden.</t>
  </si>
  <si>
    <t xml:space="preserve">tony.gorschek@bth.se</t>
  </si>
  <si>
    <t xml:space="preserve">Mendez, Daniel/ABA-4579-2021; Gorschek, Tony/E-3445-2013</t>
  </si>
  <si>
    <t xml:space="preserve">978-3-030-65854-0; 978-3-030-65853-3</t>
  </si>
  <si>
    <t xml:space="preserve">10.1007/978-3-030-65854-0_9</t>
  </si>
  <si>
    <t xml:space="preserve">BU2DS</t>
  </si>
  <si>
    <t xml:space="preserve">WOS:000884348300009</t>
  </si>
  <si>
    <t xml:space="preserve">Saini, N; Britto, R</t>
  </si>
  <si>
    <t xml:space="preserve">Saini, Nishrith; Britto, Ricardo</t>
  </si>
  <si>
    <t xml:space="preserve">Using Machine Intelligence to Prioritise Code Review Requests</t>
  </si>
  <si>
    <t xml:space="preserve">2021 IEEE/ACM 43RD INTERNATIONAL CONFERENCE ON SOFTWARE ENGINEERING: SOFTWARE ENGINEERING IN PRACTICE (ICSE-SEIP 2021)</t>
  </si>
  <si>
    <t xml:space="preserve">43rd IEEE/ACM International Conference on Software Engineering - Software Engineering in Practice (ICSE-SEIP) / 43rd ACM/IEEE International Conference on Software Engineering - New Ideas and Emerging Results (ICSE-NIER)</t>
  </si>
  <si>
    <t xml:space="preserve">MAY 25-28, 2021</t>
  </si>
  <si>
    <t xml:space="preserve">IEEE,Assoc Comp Machinery,IEEE Comp Soc,IEEE Tech Council Software Engn,ACM SIGSOFT</t>
  </si>
  <si>
    <t xml:space="preserve">Modern Code Review; Prioritisation; Bayesian Networks; Machine Intelligence; Machine Learning; Machine Reasoning</t>
  </si>
  <si>
    <t xml:space="preserve">INSPECTIONS</t>
  </si>
  <si>
    <t xml:space="preserve">Modern Code Review (MCR) is the process of reviewing new code changes that need to be merged with an existing codebase. As a developer, one may receive many code review requests every day, i.e., the review requests need to be prioritised. Manually prioritising review requests is a challenging and time-consuming process. To address the above problem, we conducted an industrial case study at Ericsson aiming at developing a tool called Pineapple, which uses a Bayesian Network to prioritise code review requests. To validate our approach/tool, we deployed it in a live software development project at Ericsson, wherein more than 150 developers develop a telecommunication product. We focused on evaluating the predictive performance, feasibility, and usefulness of our approach. The results indicate that Pineapple has competent predictive performance (RMSE = 0.21 and MAE = 0.15). Furthermore, around 82.6% of Pineapple's users believe the tool can support code review request prioritisation by providing reliable results, and around 56.5% of the users believeit helps reducing code review lead time. As future work, we plan to evaluate Pineapple's predictive performance, usefulness, and feasibility through a longitudinal investigation.</t>
  </si>
  <si>
    <t xml:space="preserve">[Saini, Nishrith; Britto, Ricardo] Ericsson AB, Stockholm, Sweden; [Britto, Ricardo] Blekinge Inst Technol, Karlskrona, Sweden</t>
  </si>
  <si>
    <t xml:space="preserve">Saini, N (corresponding author), Ericsson AB, Stockholm, Sweden.</t>
  </si>
  <si>
    <t xml:space="preserve">nishrith.saini@ericsson.com; ricardo.britto@ericsson.com</t>
  </si>
  <si>
    <t xml:space="preserve">978-0-7381-4669-0</t>
  </si>
  <si>
    <t xml:space="preserve">10.1109/ICSE-SEIP52600.2021.00010</t>
  </si>
  <si>
    <t xml:space="preserve">BS0SM</t>
  </si>
  <si>
    <t xml:space="preserve">WOS:000684234800002</t>
  </si>
  <si>
    <t xml:space="preserve">Geremew, GW; Ding, JG</t>
  </si>
  <si>
    <t xml:space="preserve">Geremew, Getahun Wassie; Ding, Jianguo</t>
  </si>
  <si>
    <t xml:space="preserve">Elephant Flows Detection Using Deep Neural Network, Convolutional Neural Network, Long Short-Term Memory, and Autoencoder</t>
  </si>
  <si>
    <t xml:space="preserve">Currently, the widespread of real-time applications such as VoIP and videos-based applications require more data rates and reduced latency to ensure better quality of service (QoS). A well-designed traffic classification mechanism plays a major role for good QoS provision and network security verification. Port-based approaches and deep packet inspection (DPI) techniques have been used to classify and analyze network traffic flows. However, none of these methods can cope with the rapid growth of network traffic due to the increasing number of Internet users and the growth of real-time applications. As a result, these methods lead to network congestion, resulting in packet loss, delay, and inadequate QoS delivery. Recently, a deep learning approach has been explored to address the time-consumption and impracticality gaps of the abovementioned methods and maintain existing and future traffics of real-time applications. The aim of this research is then to design a dynamic traffic classifier that can detect elephant flows to prevent network congestion. Thus, we are motivated to provide efficient bandwidth and fast transmission requirements to many Internet users using SDN capability and the potential of deep learning. Specifically, DNN, CNN, LSTM, and Deep autoencoder are used to build elephant detection models that achieve an average accuracy of 99.12%, 98.17%, and 98.78%, respectively. Deep autoencoder is also one of the promising algorithms that do not require human class labeler. It achieves an accuracy of 97.95% with a loss of 0.13. Since the loss value is closer to zero, the performance of the model is good. Therefore, the study has a great importance to Internet service providers, Internet subscribers, as well as for future researchers in this area.</t>
  </si>
  <si>
    <t xml:space="preserve">[Geremew, Getahun Wassie] Addis Ababa Univ, IP Networking &amp; Mobile Internet Track, Addis Ababa, Ethiopia; [Ding, Jianguo] Blekinge Inst Technol, Dept Comp Sci, S-37179 Karlskrona, Sweden</t>
  </si>
  <si>
    <t xml:space="preserve">Addis Ababa University; Blekinge Institute Technology</t>
  </si>
  <si>
    <t xml:space="preserve">Geremew, GW (corresponding author), Addis Ababa Univ, IP Networking &amp; Mobile Internet Track, Addis Ababa, Ethiopia.;Ding, JG (corresponding author), Blekinge Inst Technol, Dept Comp Sci, S-37179 Karlskrona, Sweden.</t>
  </si>
  <si>
    <t xml:space="preserve">getahunws12@gmail.com; jianguo.ding@bth.se</t>
  </si>
  <si>
    <t xml:space="preserve">Ding, Jianguo/0000-0002-8927-0968; Wassie, Getahun/0000-0002-0348-3824</t>
  </si>
  <si>
    <t xml:space="preserve">JUN 22</t>
  </si>
  <si>
    <t xml:space="preserve">10.1155/2023/1495642</t>
  </si>
  <si>
    <t xml:space="preserve">K6PL9</t>
  </si>
  <si>
    <t xml:space="preserve">WOS:001017639900001</t>
  </si>
  <si>
    <t xml:space="preserve">Chu, Thi My Chinh; Zepernick, Hans-Juergen; Duong, Trung Q.</t>
  </si>
  <si>
    <t xml:space="preserve">Full-Duplex Cooperative NOMA Short-Packet Communications with K-Means Clustering</t>
  </si>
  <si>
    <t xml:space="preserve">2023 IEEE STATISTICAL SIGNAL PROCESSING WORKSHOP, SSP</t>
  </si>
  <si>
    <t xml:space="preserve">IEEE/SP Workshop on Statistical Signal Processing</t>
  </si>
  <si>
    <t xml:space="preserve">22nd IEEE Statistical Signal Processing Workshop (SSP)</t>
  </si>
  <si>
    <t xml:space="preserve">JUL 02-05, 2023</t>
  </si>
  <si>
    <t xml:space="preserve">VNU Univ Engn &amp; Technol, Hanoi, VIETNAM</t>
  </si>
  <si>
    <t xml:space="preserve">IEEE,IEEE Signal Proc Soc,Vietnam Natl Univ,VinUniv,Univ Orleans,Technol Innovat Inst,Asia Res Ctr</t>
  </si>
  <si>
    <t xml:space="preserve">VNU Univ Engn &amp; Technol</t>
  </si>
  <si>
    <t xml:space="preserve">Full-duplex relaying; cooperative NOMA; short-packet communications; K-means clustering</t>
  </si>
  <si>
    <t xml:space="preserve">NONORTHOGONAL MULTIPLE-ACCESS; SYSTEMS; 5G; ARCHITECTURES; REQUIREMENTS; CHALLENGES; NETWORKS; BLER</t>
  </si>
  <si>
    <t xml:space="preserve">Fifth-generation (5G) and future sixth-generation (6G) mobile networks aim at offering ultra-reliable, low-latency, and massive machine-type communications. In this context, this paper studies full-duplex (FD) cooperative non-orthogonal multiple access (C-NOMA) short-packet communications (SPC) with K-means clustering of user equipment regarding block error rate (BLER) and sum rate. Analytical expressions are derived for the BLER and sum rate allowing to assess the performance of the considered system. The numerical results reveal the benefits of the FD C-NOMA SPC system, illustrate trade-offs between BLER and sum rate, and show the impact of the transmit signal-to-noise ratio and number of channel uses on the performance.</t>
  </si>
  <si>
    <t xml:space="preserve">[Chu, Thi My Chinh; Zepernick, Hans-Juergen] Blekinge Inst Technol, S-37179 Karlskrona, Sweden; [Duong, Trung Q.] Queens Univ Belfast, Belfast BT7 1NN, Antrim, North Ireland</t>
  </si>
  <si>
    <t xml:space="preserve">Chu, TMC (corresponding author), Blekinge Inst Technol, S-37179 Karlskrona, Sweden.</t>
  </si>
  <si>
    <t xml:space="preserve">2373-0803</t>
  </si>
  <si>
    <t xml:space="preserve">978-1-6654-5245-8</t>
  </si>
  <si>
    <t xml:space="preserve">Statistical Signal P</t>
  </si>
  <si>
    <t xml:space="preserve">10.1109/SSP53291.2023.10208051</t>
  </si>
  <si>
    <t xml:space="preserve">BV5OL</t>
  </si>
  <si>
    <t xml:space="preserve">WOS:001051091700117</t>
  </si>
  <si>
    <t xml:space="preserve">Vinholi, JG; Silva, D; Machado, R; Pettersson, M</t>
  </si>
  <si>
    <t xml:space="preserve">Vinholi, Joao Gabriel; Silva, Danilo; Machado, Renato; Pettersson, Mats, I</t>
  </si>
  <si>
    <t xml:space="preserve">CNN-Based Change Detection Algorithm for Wavelength-Resolution SAR Images</t>
  </si>
  <si>
    <t xml:space="preserve">Synthetic aperture radar; Image segmentation; Clustering algorithms; Image resolution; Prediction algorithms; Performance evaluation; Training; CARABAS-II; change detection; change detection algorithm (CDA); convolutional neural network (CNN); deep learning; synthetic aperture radar (SAR); ultrawideband (UWB); very high frequency (VHF); wavelength-resolution</t>
  </si>
  <si>
    <t xml:space="preserve">This letter presents an incoherent change detection algorithm (CDA) for wavelength-resolution synthetic aperture radar (SAR) based on convolutional neural networks (CNNs). The proposed CDA includes a segmentation CNN, which localizes potential changes, and a classification CNN, which further analyzes these candidates to classify them as real changes or false alarms. Compared to state-of-the-art solutions on the CARABAS-II data set, the proposed CDA shows a significant improvement in performance, achieving, in a particular setting, a detection probability of 99% at a false alarm rate of 0.0833/km(2).</t>
  </si>
  <si>
    <t xml:space="preserve">[Vinholi, Joao Gabriel; Silva, Danilo] Fed Univ Santa Catarina UFSC, Dept Elect &amp; Elect Engn, BR-88040900 Florianopolis, SC, Brazil; [Machado, Renato] Aeronaut Inst Technol ITA, Dept Telecommun, BR-12228900 Sao Jose Dos Campos, Brazil; [Pettersson, Mats, I] Blekinge Inst Technol, Dept Math &amp; Nat Sci, S-37179 Karlskrona, Sweden</t>
  </si>
  <si>
    <t xml:space="preserve">Vinholi, JG (corresponding author), Fed Univ Santa Catarina UFSC, Dept Elect &amp; Elect Engn, BR-88040900 Florianopolis, SC, Brazil.</t>
  </si>
  <si>
    <t xml:space="preserve">jgvinholi@gmail.com; danilo.silva@ufsc.br; rmachado@ita.br</t>
  </si>
  <si>
    <t xml:space="preserve">Vinholi, João/ABH-2310-2021; Machado, Renato/P-8515-2018; Silva, Danilo/F-6747-2012; Pettersson, Mats/N-1063-2016</t>
  </si>
  <si>
    <t xml:space="preserve">Silva, Danilo/0000-0001-6290-7968; Vinholi, Joao Gabriel/0000-0002-7887-3018; Machado, Renato/0000-0003-0856-5391; Pettersson, Mats/0000-0002-6643-312X</t>
  </si>
  <si>
    <t xml:space="preserve">Brazilian National Council for Scientific and Technological Development (CNPq); Brazilian Coordination for the Improvement of Higher Education Personnel (CAPES); Swedish-Brazilian Research and Innovation Centre (CISB); Saab AB</t>
  </si>
  <si>
    <t xml:space="preserve">Brazilian National Council for Scientific and Technological Development (CNPq)(Conselho Nacional de Desenvolvimento Cientifico e Tecnologico (CNPQ)); Brazilian Coordination for the Improvement of Higher Education Personnel (CAPES)(Coordenacao de Aperfeicoamento de Pessoal de Nivel Superior (CAPES)); Swedish-Brazilian Research and Innovation Centre (CISB); Saab AB</t>
  </si>
  <si>
    <t xml:space="preserve">This work was supported in part by the Brazilian National Council for Scientific and Technological Development (CNPq), in part by the Brazilian Coordination for the Improvement of Higher Education Personnel (CAPES), in part by the Swedish-Brazilian Research and Innovation Centre (CISB), and in part by Saab AB.</t>
  </si>
  <si>
    <t xml:space="preserve">10.1109/LGRS.2020.3027382</t>
  </si>
  <si>
    <t xml:space="preserve">WOS:000731151800019</t>
  </si>
  <si>
    <t xml:space="preserve">On the hom-associative Weyl algebras</t>
  </si>
  <si>
    <t xml:space="preserve">Dixmier conjecture; Hom-associative Ore extensions; Hom-associative Weyl algebras; Formal hom-associative deformations; Formal hom-Lie deformations</t>
  </si>
  <si>
    <t xml:space="preserve">DEFORMATIONS; COHOMOLOGY</t>
  </si>
  <si>
    <t xml:space="preserve">The first (associative) Weyl algebra is formally rigid in the classical sense. In this paper, we show that it can however be formally deformed in a nontrivial way when considered as a so-called hom-associative algebra, and that this deformation preserves properties such as the commuter, while deforming others, such as the center, power associativity, the set of derivations, and some commutation relations. We then show that this deformation induces a formal deformation of the corresponding Lie algebra into what is known as a hom-Lie algebra, when using the commutator as bracket. We also prove that all homomorphisms between any two purely hom-associative Weyl algebras are in fact isomorphisms. In particular, all endomorphisms are automorphisms in this case, hence proving a hom-associative analogue of the Dixmier conjecture to hold true. (C) 2020 Elsevier B.V. All rights reserved.</t>
  </si>
  <si>
    <t xml:space="preserve">[Back, Per] Malardalen Univ, Sch Educ Culture &amp; Commun, Div Appl Math, Box 883, SE-72123 Vasteras, Sweden; [Richter, Johan] Blekinge Inst Technol, Dept Math &amp; Nat Sci, SE-37179 Karlskrona, Sweden</t>
  </si>
  <si>
    <t xml:space="preserve">Bäck, P (corresponding author), Malardalen Univ, Sch Educ Culture &amp; Commun, Div Appl Math, Box 883, SE-72123 Vasteras, Sweden.</t>
  </si>
  <si>
    <t xml:space="preserve">10.1016/j.jpaa.2020.106368</t>
  </si>
  <si>
    <t xml:space="preserve">WOS:000526412900010</t>
  </si>
  <si>
    <t xml:space="preserve">On the Industrial Applicability of Augmented Testing: An Empirical Study</t>
  </si>
  <si>
    <t xml:space="preserve">2020 IEEE 13TH INTERNATIONAL CONFERENCE ON SOFTWARE TESTING, VERIFICATION AND VALIDATION WORKSHOPS (ICSTW)</t>
  </si>
  <si>
    <t xml:space="preserve">13th IEEE International Conference on Software Testing, Verification and Validation (ICST)</t>
  </si>
  <si>
    <t xml:space="preserve">MAR 23-27, 2020</t>
  </si>
  <si>
    <t xml:space="preserve">Porto, PORTUGAL</t>
  </si>
  <si>
    <t xml:space="preserve">IEEE,IEEE Comp Soc,Farfetech,Facebook,VMWare,Msg Life,Google,New Work Se</t>
  </si>
  <si>
    <t xml:space="preserve">System Testing; Test Automation; Industrial Case Study; Augmented Testing</t>
  </si>
  <si>
    <t xml:space="preserve">Testing applications with graphical user Interfaces (GUI) is an important but also a time-consuming task in practice. Tools and frameworks for GUI test automation can make the test execution more efficient and lower the manual labor required for regression testing. However, the test scripts used for automated GUI-based testing still require a substantial development effort and are often reported as sensitive to change, leading to frequent and costly maintenance. The efficiency of development, maintenance, and evolution of such tests are thereby dependent on the readability of scripts and the ease-of-use of test tools/frameworks in which the test scripts are defined. To address these shortcomings in existing state-of-practice techniques, a novel technique referred to as Augmented Testing (AT) has been proposed. AT is defined as testing the System Under Test (SUT) through an Augmented GUI that superimposes information on top of the SUT GUI. The Augmented GUI can provide the user with hints, test data, or other support while also observing and recording the tester's interactions. For this study, a prototype tool, called Scout, has been used that adheres to the AT concept that is evaluated in an industrial empirical study. In the evaluation, quasi-experiments and questionnaire surveys are performed in two workshops, with 12 practitioners from two Swedish companies (Ericsson and Inceptive). Results show that Scout can be used to create equivalent test cases faster, with statistical significance, than creating automated scripts in two popular state-of-practice tools. The study concludes that AT has cost-value benefits, applies to industrial-grade software, and overcomes several deficiencies of state-of-practice GUI testing technologies in terms of ease-of-use.</t>
  </si>
  <si>
    <t xml:space="preserve">[Nass, Michel; Alegroth, Emil] Blekinge Inst Technol, SERL Sweden, Karlskrona, Sweden; [Feldt, Robert] Chalmers Univ Technol, SERL Sweden, Gothenburg, Sweden; [Feldt, Robert] Chalmers Univ Technol, Software Engn, Gothenburg, Sweden</t>
  </si>
  <si>
    <t xml:space="preserve">Blekinge Institute Technology; Chalmers University of Technology; Chalmers University of Technology</t>
  </si>
  <si>
    <t xml:space="preserve">Nass, M (corresponding author), Blekinge Inst Technol, SERL Sweden, Karlskrona, Sweden.</t>
  </si>
  <si>
    <t xml:space="preserve">978-1-7281-1075-2</t>
  </si>
  <si>
    <t xml:space="preserve">10.1109/ICSTW50294.2020.00065</t>
  </si>
  <si>
    <t xml:space="preserve">BQ8MY</t>
  </si>
  <si>
    <t xml:space="preserve">WOS:000620795100048</t>
  </si>
  <si>
    <t xml:space="preserve">Idrisoglu, A; Dallora, AL; Cheddad, A; Anderberg, P; Jakobsson, A; Berglund, JS</t>
  </si>
  <si>
    <t xml:space="preserve">Idrisoglu, Alper; Dallora, Ana Luiza; Cheddad, Abbas; Anderberg, Peter; Jakobsson, Andreas; Berglund, Johan Sanmartin</t>
  </si>
  <si>
    <t xml:space="preserve">COPDVD: Automated classification of chronic obstructive pulmonary disease on a new collected and evaluated voice dataset</t>
  </si>
  <si>
    <t xml:space="preserve">ARTIFICIAL INTELLIGENCE IN MEDICINE</t>
  </si>
  <si>
    <t xml:space="preserve">Acoustic features; Mel Frequency Cepstrum Coefficients; Automated classification; Chronic obstructive pulmonary disease; Machine Learning</t>
  </si>
  <si>
    <t xml:space="preserve">PREDICTION; SELECTION; FEATURES; SPEECH</t>
  </si>
  <si>
    <t xml:space="preserve">Background: Chronic obstructive pulmonary disease (COPD) is a severe condition affecting millions worldwide, leading to numerous annual deaths. The absence of significant symptoms in its early stages promotes high underdiagnosis rates for the affected people. Besides pulmonary function failure, another harmful problem of COPD is the systemic effects, e.g., heart failure or voice distortion. However, the systemic effects of COPD might provide valuable information for early detection. In other words, symptoms caused by systemic effects could be helpful to detect the condition in its early stages. Objective: The proposed study aims to explore whether the voice features extracted from the vowel a utterance carry any information that can be predictive of COPD by employing Machine Learning (ML) on a newly collected voice dataset. Methods: Forty-eight participants were recruited from the pool of research clinic visitors at Blekinge Institute of Technology (BTH) in Sweden between January 2022 and May 2023. A dataset consisting of 1246 recordings from 48 participants was gathered. The collection of voice recordings containing the vowel a utterance commenced following an information and consent meeting with each participant using the VoiceDiagnostic application. The collected voice data was subjected to silence segment removal, feature extraction of baseline acoustic features, and Mel Frequency Cepstrum Coefficients (MFCC). Sociodemographic data was also collected from the participants. Three ML models were investigated for the binary classification of COPD and healthy controls: Random Forest (RF), Support Vector Machine (SVM), and CatBoost (CB). A nested k-fold cross-validation approach was employed. Additionally, the hyperparameters were optimized using grid-search on each ML model. For best performance assessment, accuracy, F1-score, precision, and recall metrics were computed. Afterward, we further examined the best classifier by utilizing the Area Under the Curve (AUC), Average Precision (AP), and SHapley Additive exPlanations (SHAP) feature-importance measures. Results: The classifiers RF, SVM, and CB achieved a maximum accuracy of 77 %, 69 %, and 78 % on the test set and 93 %, 78 % and 97 % on the validation set, respectively. The CB classifier outperformed RF and SVM. After further investigation of the best-performing classifier, CB demonstrated the highest performance, producing an AUC of 82 % and AP of 76 %. In addition to age and gender, the mean values of baseline acoustic and MFCC features demonstrate high importance and deterministic characteristics for classification performance in both test and validation sets, though in varied order. Conclusion: This study concludes that the utterance of vowel a recordings contain information that can be captured by the CatBoost classifier with high accuracy for the classification of COPD. Additionally, baseline acoustic and MFCC features, in conjunction with age and gender information, can be employed for classification purposes and benefit healthcare for decision support in COPD diagnosis. Clinical trial registration number: NCT05897944.</t>
  </si>
  <si>
    <t xml:space="preserve">[Idrisoglu, Alper; Dallora, Ana Luiza; Cheddad, Abbas; Anderberg, Peter; Berglund, Johan Sanmartin] Blekinge Inst Technol, Valhallavagen 1, S-37141 Karlskrona, Sweden; [Jakobsson, Andreas] Lund Univ, Box 117, S-22100 Lund, Sweden</t>
  </si>
  <si>
    <t xml:space="preserve">Idrisoglu, A (corresponding author), Blekinge Inst Technol, Valhallavagen 1, S-37141 Karlskrona, Sweden.</t>
  </si>
  <si>
    <t xml:space="preserve">alper.idrisoglu@bth.se</t>
  </si>
  <si>
    <t xml:space="preserve">Anderberg, Peter/B-5541-2012; Cheddad, Abbas/R-7061-2018</t>
  </si>
  <si>
    <t xml:space="preserve">Idrisoglu, Alper/0000-0003-1558-2309; Jakobsson, Andreas/0000-0002-2156-6973</t>
  </si>
  <si>
    <t xml:space="preserve">Excellence Center at Linkoping - Lund in Information Technology (ELLIIT)</t>
  </si>
  <si>
    <t xml:space="preserve">The authors would like to thank the Excellence Center at Linkoping - Lund in Information Technology (ELLIIT) for funding and supporting this project. The authors also value the participants' keen interest, active involvement, and their significant contributions to the research.</t>
  </si>
  <si>
    <t xml:space="preserve">0933-3657</t>
  </si>
  <si>
    <t xml:space="preserve">1873-2860</t>
  </si>
  <si>
    <t xml:space="preserve">ARTIF INTELL MED</t>
  </si>
  <si>
    <t xml:space="preserve">Artif. Intell. Med.</t>
  </si>
  <si>
    <t xml:space="preserve">10.1016/j.artmed.2024.102953</t>
  </si>
  <si>
    <t xml:space="preserve">Computer Science, Artificial Intelligence; Engineering, Biomedical; Medical Informatics</t>
  </si>
  <si>
    <t xml:space="preserve">Computer Science; Engineering; Medical Informatics</t>
  </si>
  <si>
    <t xml:space="preserve">M6B2L</t>
  </si>
  <si>
    <t xml:space="preserve">WOS:001358362000001</t>
  </si>
  <si>
    <t xml:space="preserve">Reporting case studies in systematic literature studies-An evidential problem</t>
  </si>
  <si>
    <t xml:space="preserve">Systematic mapping study; Systematic review; Systematic literature review; Case study; Credible evidence</t>
  </si>
  <si>
    <t xml:space="preserve">SOFTWARE; REQUIREMENTS; INDUSTRY</t>
  </si>
  <si>
    <t xml:space="preserve">Context: The term and label, case study, is not used consistently by authors of primary studies in software engineering research. It is not clear whether this problem also occurs for systematic literature studies (SLSs). Objective: To investigate the extent to which SLSs in/correctly use the term and label, case study, when classifying primary studies. Methods: We systematically collect two sub-samples (2010-2021 &amp; 2022) comprising a total of eleven SLSs and 79 primary studies. We examine the designs of these SLSs, and then analyse whether the SLS authors and the primary-study authors correctly label the respective primary study as a case study. Results: 76% of the 79 primary studies are misclassified by SLSs (with the two sub-samples having 60% and 81% misclassification, respectively). For 39% of the 79 studies, the SLSs propagate a mislabelling by the original authors, whilst for 37%, the SLSs introduce a new mislabel, thus making the problem worse. SLSs rarely present explicit definitions for case studyand when they do, the definition is not consistent with established definitions. Conclusions: SLSs are both propagating and exacerbating the problem of the mislabelling of primary studies as case studies, rather than - as we should expect of SLSs - correcting the labelling of primary studies, and thus improving the body of credible evidence. Propagating and exacerbating mislabelling undermines the credibility of evidence in terms of its quantity, quality and relevance to both practice and research.</t>
  </si>
  <si>
    <t xml:space="preserve">[Rainer, Austen] Queens Univ Belfast, 18 Malone Rd,Comp Sci Bldg, Belfast BT9 5BN, North Ireland; [Wohlin, Claes] Blekinge Inst Technol, SE-37179 Karlskrona, Sweden</t>
  </si>
  <si>
    <t xml:space="preserve">10.1016/j.infsof.2024.107501</t>
  </si>
  <si>
    <t xml:space="preserve">WA9J4</t>
  </si>
  <si>
    <t xml:space="preserve">WOS:001252262000001</t>
  </si>
  <si>
    <t xml:space="preserve">Paulauskas, V; Henesey, L; Placiene, B; Jonkus, M; Paulauskas, D; Barzdziukas, R; Kaulitzky, A; Simutis, M</t>
  </si>
  <si>
    <t xml:space="preserve">Paulauskas, Vytautas; Henesey, Lawrence; Placiene, Birute; Jonkus, Martynas; Paulauskas, Donatas; Barzdziukas, Raimondas; Kaulitzky, Artur; Simutis, Martynas</t>
  </si>
  <si>
    <t xml:space="preserve">Optimizing Transportation between Sea Ports and Regions by Road Transport and Rail and Inland Waterway Transport Means Including Last Mile Solutions</t>
  </si>
  <si>
    <t xml:space="preserve">connection to sea ports; energy consumption; transport modes; optimal transportation solutions; alternative fuels; transport mode comparative index</t>
  </si>
  <si>
    <t xml:space="preserve">STRATEGIES</t>
  </si>
  <si>
    <t xml:space="preserve">Optimization transportation cargo and passengers between ports and regions are very important, because industrial regions are located some distance from ports. The demand for energy request for the movement of transport is a necessity in the modern world. Transport and activity called transportation are used daily, everywhere, and a lot of energy is needed to power the various transport modes. Today different transport modes are being used to transport passengers and cargo. It is quite common to use road transport, which can transport passengers and cargo from door to door. Considering alternative possibilities (road, railway and/or inland waterway transport), it is important, based on theoretical and experimentation, to identify optimal solutions. In finding transport modes that are either most technically or economically effective, we could unearth possible solutions which would require minimal energy use. Unfortunately, with increased transportation, this often leads to traffic congestion on the roads, which requires additional energy (fuel). This situation generates requirements from many stakeholders in terms of finding ways to decrease the transportation time and energy (fuel) consumed by transport modes. A theoretical method evaluation is conducted on the optimal transportation possibility that minimizes transportation time and energy (fuel) use by employing graph theory, which is presented in this paper. The scientific contribution is the development of a transport modes comparative index, which is then used for evaluations. This paper presents possible alternative transportation conditions based on a multi-criteria evaluation system, proposes a theoretical basis for the optimal solutions from an eco-economic perspective that considers energy, and provides for experimental testing during a specific case study. The final results from the case study provide recommendations and conclusions.</t>
  </si>
  <si>
    <t xml:space="preserve">[Paulauskas, Vytautas; Placiene, Birute; Jonkus, Martynas; Paulauskas, Donatas; Barzdziukas, Raimondas; Kaulitzky, Artur; Simutis, Martynas] Klaipeda Univ, Marine Engn Dept, H Manto 84, LT-92219 Klaipeda, Lithuania; [Henesey, Lawrence] Blekinge Inst Technol, Fac Comp Sci &amp; Engn, Biblioteksgatan 4, SE-37424 Karlshamn, Sweden</t>
  </si>
  <si>
    <t xml:space="preserve">Klaipeda University; Blekinge Institute Technology</t>
  </si>
  <si>
    <t xml:space="preserve">Paulauskas, V (corresponding author), Klaipeda Univ, Marine Engn Dept, H Manto 84, LT-92219 Klaipeda, Lithuania.</t>
  </si>
  <si>
    <t xml:space="preserve">vytautaskltc@gmail.com</t>
  </si>
  <si>
    <t xml:space="preserve">Paulauskas, Vytautas/AAH-8688-2020; Henesey, Lawrence/AFP-0796-2022</t>
  </si>
  <si>
    <t xml:space="preserve">Henesey, Lawrence/0000-0002-0518-6532; Simutis, Martynas/0000-0002-5909-0130</t>
  </si>
  <si>
    <t xml:space="preserve">10.3390/app122010652</t>
  </si>
  <si>
    <t xml:space="preserve">5O0SN</t>
  </si>
  <si>
    <t xml:space="preserve">WOS:000872193800001</t>
  </si>
  <si>
    <t xml:space="preserve">Yap, M; Cats, O; Krasemann, JT; van Oort, N; Hoogendoorn, S</t>
  </si>
  <si>
    <t xml:space="preserve">Yap, Menno; Cats, Oded; Krasemann, Johanna Tornquist; van Oort, Niels; Hoogendoorn, Serge</t>
  </si>
  <si>
    <t xml:space="preserve">Quantification and control of disruption propagation in multi-level public transport networks</t>
  </si>
  <si>
    <t xml:space="preserve">INTERNATIONAL JOURNAL OF TRANSPORTATION SCIENCE AND TECHNOLOGY</t>
  </si>
  <si>
    <t xml:space="preserve">Dynamic assignment; Optimisation; Public transport; Train rescheduling; Vulnerability analysis</t>
  </si>
  <si>
    <t xml:space="preserve">DELAY MANAGEMENT; SMART CARD; VULNERABILITY; ALGORITHM; PREDICTIONS; SANTIAGO; IMPACT; TRAINS; LINKS</t>
  </si>
  <si>
    <t xml:space="preserve">Due to the multi-level nature of public transport networks, disruption impacts may spillover beyond the primary effects occurring at the disrupted network level. During a public transport disruption, it is therefore important to quantify and control the disruption impacts for the total public transport network, instead of delimiting the analysis of their impacts to the public transport network level where this particular disruption occurs. We propose a modelling framework to quantify disruption impact propagation from the train network to the urban tram or bus network. This framework combines an optimisation-based train rescheduling model and a simulation-based dynamic public transport assignment model in an iterative procedure. The iterative process allows devising train schedules that take into account their impact on passenger flow re-distribution and related delays. Our study results in a framework which can improve public transport contingency plans on a strategic and tactical level in response to short- to medium-lasting public transport disruptions, by incorporating how the passenger impact of a train network disruption propagates to the urban network level. Furthermore, this framework allows for a more complete quantification of disruption costs, including their spilled-over impacts, retrospectively. We illustrate the successful implementation of our framework to a multi-level case study network in the Netherlands.&amp; COPY; 2021 Tongji University and Tongji University Press. Publishing Services by Elsevier B.V. This is an open access article under the CC BY-NC-ND license (http://creativecommons.org/ licenses/by-nc-nd/4.0/).</t>
  </si>
  <si>
    <t xml:space="preserve">[Yap, Menno; Cats, Oded; van Oort, Niels; Hoogendoorn, Serge] Delft Univ Technol, Dept Transport &amp; Planning, Delft, Netherlands; [Krasemann, Johanna Tornquist] Blekinge Inst Technol, Karlskrona, Sweden</t>
  </si>
  <si>
    <t xml:space="preserve">Delft University of Technology; Blekinge Institute Technology</t>
  </si>
  <si>
    <t xml:space="preserve">Yap, M (corresponding author), Delft Univ Technol, Dept Transport &amp; Planning, Delft, Netherlands.</t>
  </si>
  <si>
    <t xml:space="preserve">M.D.Yap@TUDelft.nl</t>
  </si>
  <si>
    <t xml:space="preserve">TRANS -FORM (Smart transfers through unravelling urban form and travel flow dynamics) - NWO [438.15.404/298]; Swedish Research Council (Formas) [942-2015-2034]; JPI Urban Europe ERA -NET CoFound Smart Cities and Communities initiative</t>
  </si>
  <si>
    <t xml:space="preserve">TRANS -FORM (Smart transfers through unravelling urban form and travel flow dynamics) - NWO; Swedish Research Council (Formas)(Swedish Research Council Formas); JPI Urban Europe ERA -NET CoFound Smart Cities and Communities initiative</t>
  </si>
  <si>
    <t xml:space="preserve">&amp; nbsp;This research was performed as part of the TRANS -FORM (Smart transfers through unravelling urban form and travel flow dynamics) project funded by NWO grant agreement 438.15.404/298 and the Swedish Research Council (Formas grant agree- ment 942-2015-2034) as part of JPI Urban Europe ERA -NET CoFound Smart Cities and Communities initiative. The authors thank HTM, the urban public transport operator of The Hague, the Netherlands, for their valuable cooperation and data provision.</t>
  </si>
  <si>
    <t xml:space="preserve">KEAI PUBLISHING LTD</t>
  </si>
  <si>
    <t xml:space="preserve">BEIJING</t>
  </si>
  <si>
    <t xml:space="preserve">16 DONGHUANGCHENGGEN NORTH ST, Building 5, Room 411, BEIJING, DONGCHENG DISTRICT 100009, PEOPLES R CHINA</t>
  </si>
  <si>
    <t xml:space="preserve">2046-0430</t>
  </si>
  <si>
    <t xml:space="preserve">2046-0449</t>
  </si>
  <si>
    <t xml:space="preserve">INT J TRANSP SCI TEC</t>
  </si>
  <si>
    <t xml:space="preserve">Int. J. Transp. Sci. Technol.</t>
  </si>
  <si>
    <t xml:space="preserve">10.1016/j.ijtst.2021.02.002</t>
  </si>
  <si>
    <t xml:space="preserve">Transportation; Transportation Science &amp; Technology</t>
  </si>
  <si>
    <t xml:space="preserve">O7VL5</t>
  </si>
  <si>
    <t xml:space="preserve">WOS:001045843700001</t>
  </si>
  <si>
    <t xml:space="preserve">Strand, A; Gunnarson, M; Britto, R; Usman, M</t>
  </si>
  <si>
    <t xml:space="preserve">Strand, Anton; Gunnarson, Markus; Britto, Ricardo; Usman, Muhmmad</t>
  </si>
  <si>
    <t xml:space="preserve">Using a Context-Aware Approach to Recommend Code Reviewers: Findings from an Industrial Case Study</t>
  </si>
  <si>
    <t xml:space="preserve">2020 IEEE/ACM 42ND INTERNATIONAL CONFERENCE ON SOFTWARE ENGINEERING: SOFTWARE ENGINEERING IN PRACTICE (ICSE-SEIP)</t>
  </si>
  <si>
    <t xml:space="preserve">42nd ACM/IEEE International Conference on Software Engineering - Companion Proceedings (ICSE-Companion) / 42nd ACM/IEEE International Conference on Software Engineering - Software Engineering in Practice (ICSE-SEIP)</t>
  </si>
  <si>
    <t xml:space="preserve">JUN 27-JUL 19, 2020</t>
  </si>
  <si>
    <t xml:space="preserve">Assoc Comp Machinery,IEEE,IEEE Comp Soc,IEEE Comp Soc Tech Comm Software Engn,ACM Special Interest Grp Software Engn,Korean Inst Informat Scientists &amp; Engineers,Natl Sci Fdn,Facebook,N Carolina State Univ,Microsoft,Samsung,LG Elect,KAIST,SK Hynix,NAVER,Suresoft,HITACHI,Google</t>
  </si>
  <si>
    <t xml:space="preserve">Code review is a commonly used practice in software development. It refers to the process of reviewing new code changes before they are merged with the code base. However, to perform the review, developers are mostly assigned manually to code changes. This may lead to problems such as: a time-consuming selection process, limited pool of known candidates and risk of over-allocation of a few reviewers. To address the above problems, we developed Carrot, a machine learning-based tool to recommend code reviewers. We conducted an improvement case study at Ericsson. We evaluated Carrot using a mixed approach. we evaluated the prediction accuracy using historical data and the metrical Mean Reciprocal Rank (MRR). Furthermore, we deployed the tool in one Ericsson project and evaluated how adequate the recommendations were from the point of view of the tool users and the recommended reviewers. We also asked the opinion of senior developers about the usefulness of the tool. The results show that Carrot can help identify relevant non-obvious reviewers and be of great assistance to new developers. However, there were mixed opinions on Carrot's ability to assist with workload balancing and the decrease code review lead time.</t>
  </si>
  <si>
    <t xml:space="preserve">[Strand, Anton; Gunnarson, Markus; Britto, Ricardo] Ericsson AB, Stockholm, Sweden; [Britto, Ricardo; Usman, Muhmmad] Blekinge Inst Technol, Karlskrona, Sweden</t>
  </si>
  <si>
    <t xml:space="preserve">Strand, A (corresponding author), Ericsson AB, Stockholm, Sweden.</t>
  </si>
  <si>
    <t xml:space="preserve">anton.strand@ericsson.com; markus.gunnarsson@ericsson.com; ricardo.britto@ericsson.com; muhammad.usman@bth.se</t>
  </si>
  <si>
    <t xml:space="preserve">978-1-4503-7123-0</t>
  </si>
  <si>
    <t xml:space="preserve">10.1145/3377813.3381365</t>
  </si>
  <si>
    <t xml:space="preserve">BS0AJ</t>
  </si>
  <si>
    <t xml:space="preserve">WOS:000680655000001</t>
  </si>
  <si>
    <t xml:space="preserve">Minh, TH; Viberg, M; Pesavento, M</t>
  </si>
  <si>
    <t xml:space="preserve">Trinh-Hoang Minh; Viberg, Mats; Pesavento, Marius</t>
  </si>
  <si>
    <t xml:space="preserve">Cramer-Rao Bound for DOA Estimators Under the Partial Relaxation Framework: Derivation and Comparison</t>
  </si>
  <si>
    <t xml:space="preserve">IEEE TRANSACTIONS ON SIGNAL PROCESSING</t>
  </si>
  <si>
    <t xml:space="preserve">Direction-of-arrival estimation; Estimation; Stochastic processes; Covariance matrices; Manifolds; Sensor arrays; Closed-form solutions; DOA estimation; partial relaxation; cramer-rao bound; local identifiability; asymptotic error performance; MUSIC</t>
  </si>
  <si>
    <t xml:space="preserve">MAXIMUM-LIKELIHOOD; PERFORMANCE; ESPRIT; MUSIC</t>
  </si>
  <si>
    <t xml:space="preserve">A class of computationally efficient DOA estimators under the Partial Relaxation (PR) framework has recently been proposed. Conceptually different from conventional DOA estimation methods in the literature, the estimators under the PR framework rely on the non-complete relaxation of the array manifold while performing a spectral-search in the field of view. This particular type of relaxation essentially implies a modified signal model with partial information loss due to the relaxation. The information loss and its impact on the DOA estimation performance have not yet been analytically quantified in the literature. In this paper, the information loss induced by the relaxation of the array manifold is investigated through the Cramer-Rao Bound (CRB). The closed-form expression of the CRB for DOA estimation under the PR model, on the one hand, provides insight on the information loss in the asymptotic region where the number of snapshots tends to infinity. On the other hand, the proposed CRB characterizes the lower bound for the DOA estimation performance of all PR estimators. We prove that, under the assumptions of Gaussian source signal and noise, the CRB of the PR signal model is lower-bounded by the conventional stochastic CRB. We also prove that the previously proposed Weighted Subspace Fitting estimator under the PR framework asymptotically achieves the CRB of the PR signal model. Furthermore, it is shown that the asymptotic mean-squared errors of all Weighted Subspace Fitting estimators under the PR framework for any positive definite weighting matrix are identical.</t>
  </si>
  <si>
    <t xml:space="preserve">[Trinh-Hoang Minh; Pesavento, Marius] Tech Univ Darmstadt, Commun Syst Grp, D-64289 Darmstadt, Germany; [Viberg, Mats] Blekinge Inst Technol, S-37141 Karlskrona, Sweden</t>
  </si>
  <si>
    <t xml:space="preserve">Technical University of Darmstadt; Blekinge Institute Technology</t>
  </si>
  <si>
    <t xml:space="preserve">Minh, TH (corresponding author), Tech Univ Darmstadt, Commun Syst Grp, D-64289 Darmstadt, Germany.</t>
  </si>
  <si>
    <t xml:space="preserve">thminh@nt.tu-darmstadt.de; mats.viberg@bth.se; pesavento@nt.tu-darmstadt.de</t>
  </si>
  <si>
    <t xml:space="preserve">Viberg, Mats/B-6505-2016</t>
  </si>
  <si>
    <t xml:space="preserve">Viberg, Mats/0000-0003-1549-419X; Trinh-Hoang, Minh/0000-0002-9162-6644; Pesavento, Marius/0000-0003-3395-2588</t>
  </si>
  <si>
    <t xml:space="preserve">DFG PRIDE Project [PE 2080/2-1, 423747006]</t>
  </si>
  <si>
    <t xml:space="preserve">DFG PRIDE Project(German Research Foundation (DFG))</t>
  </si>
  <si>
    <t xml:space="preserve">The work of M. TrinhHoang and M. Pesaventowas supported by the DFG PRIDE Project PE 2080/2-1 under Project 423747006.</t>
  </si>
  <si>
    <t xml:space="preserve">1053-587X</t>
  </si>
  <si>
    <t xml:space="preserve">1941-0476</t>
  </si>
  <si>
    <t xml:space="preserve">IEEE T SIGNAL PROCES</t>
  </si>
  <si>
    <t xml:space="preserve">IEEE Trans. Signal Process.</t>
  </si>
  <si>
    <t xml:space="preserve">10.1109/TSP.2020.2992855</t>
  </si>
  <si>
    <t xml:space="preserve">MF6IW</t>
  </si>
  <si>
    <t xml:space="preserve">WOS:000545444500003</t>
  </si>
  <si>
    <t xml:space="preserve">Moreira, PSE; Öinert, J</t>
  </si>
  <si>
    <t xml:space="preserve">Moreira, Paula S. E.; Oinert, Johan</t>
  </si>
  <si>
    <t xml:space="preserve">Prime groupoid graded rings with applications to partial skew groupoid rings</t>
  </si>
  <si>
    <t xml:space="preserve">Group-type partial action; groupoid graded ring; nearly epsilon-strongly groupoid graded ring; partial skew groupoid ring; prime ring</t>
  </si>
  <si>
    <t xml:space="preserve">INVERSE SEMIGROUP; CATEGORY</t>
  </si>
  <si>
    <t xml:space="preserve">In this paper, we investigate primeness of groupoid graded rings. We provide a set of necessary and sufficient conditions for primeness of a nearly-epsilon strongly groupoid graded ring. Furthermore, we apply our main result to get a characterization of prime partial skew groupoid rings, and in particular of prime groupoid rings, thereby generalizing a classical result by Connell and partially generalizing recent results by Steinberg.</t>
  </si>
  <si>
    <t xml:space="preserve">[Moreira, Paula S. E.] Univ Fed Santa Catarina, Dept Matemat, Florianopolis, Brazil; [Oinert, Johan] Blekinge Inst Technol, Dept Math &amp; Nat Sci, Karlskrona, Sweden; [Moreira, Paula S. E.] Univ Fed Santa Catarina, Dept Matemat, BR-88040900 Florianopolis, Brazil</t>
  </si>
  <si>
    <t xml:space="preserve">Universidade Federal de Santa Catarina (UFSC); Blekinge Institute Technology; Universidade Federal de Santa Catarina (UFSC)</t>
  </si>
  <si>
    <t xml:space="preserve">Moreira, PSE (corresponding author), Univ Fed Santa Catarina, Dept Matemat, BR-88040900 Florianopolis, Brazil.</t>
  </si>
  <si>
    <t xml:space="preserve">savanamatematica@gmail.com</t>
  </si>
  <si>
    <t xml:space="preserve">Estacio Moreira, Paula Savana/0000-0001-7198-1166; Oinert, Johan/0000-0001-8095-0820</t>
  </si>
  <si>
    <t xml:space="preserve">Coordenacao de Aperfeicoamento de Pessoal de Nivel Superior - Brasil (CAPES) [001]</t>
  </si>
  <si>
    <t xml:space="preserve">Coordenacao de Aperfeicoamento de Pessoal de Nivel Superior - Brasil (CAPES)(Coordenacao de Aperfeicoamento de Pessoal de Nivel Superior (CAPES))</t>
  </si>
  <si>
    <t xml:space="preserve">The first named author was financed in part by the Coordenacao de Aperfeicoamento de Pessoal de Nivel Superior - Brasil (CAPES) - Finance Code 001.</t>
  </si>
  <si>
    <t xml:space="preserve">JUL 2</t>
  </si>
  <si>
    <t xml:space="preserve">10.1080/00927872.2024.2315311</t>
  </si>
  <si>
    <t xml:space="preserve">OE9K4</t>
  </si>
  <si>
    <t xml:space="preserve">WOS:001174001000001</t>
  </si>
  <si>
    <t xml:space="preserve">Romare, C; Anderberg, P; Berglund, JS; Skär, L</t>
  </si>
  <si>
    <t xml:space="preserve">Romare, Charlotte; Anderberg, Peter; Berglund, Johan Sanmartin; Skar, Lisa</t>
  </si>
  <si>
    <t xml:space="preserve">Burden of care related to monitoring patient vital signs during intensive care; a descriptive retrospective database study</t>
  </si>
  <si>
    <t xml:space="preserve">INTENSIVE AND CRITICAL CARE NURSING</t>
  </si>
  <si>
    <t xml:space="preserve">Critical care; Intensive care units; Monitoring physiologic; Nursing; Vital signs; Workload</t>
  </si>
  <si>
    <t xml:space="preserve">Objective: The aim of this study was to describe burden of care related to monitoring patient vital signs of intensive care unit patients in a Swedish hospital. Setting: Data collected by The Swedish Intensive Care Registry from one general category II intensive care unit in a Swedish hospital was included in this study. Data from year 2014 to 2020 was analysed comprising a total of 3617 intensive care episodes and 29,165 work shifts. Research methodology: This is a retrospective database study. Descriptive statistics gave an overview of the dataset. To test for differences between variables related to burden of care for Documentation of monitoring Mann Whitney U test and Kruskal Wallis test was performed using STATA. Results: Documentation of monitoring was reported to generate a prominent burden of care during intensive care. Nearly all patients had continuous monitoring. Comparison for burden of care related to Documentation of monitoring for sexes generated no statistically significant difference. Comparison for burden of care related to Documentation of monitoring among age groups, diagnose groups and time of day generated statistically significant differences. Conclusion: Monitoring patient vital signs was clearly present during intensive care, hence impacting intensive care nurses' clinical practice. Further research is endorsed to improve and facilitate monitoring to keep improving patient safety.</t>
  </si>
  <si>
    <t xml:space="preserve">[Romare, Charlotte; Anderberg, Peter; Berglund, Johan Sanmartin; Skar, Lisa] Blekinge Inst Technol, Dept Hlth, Lumavagen 1, S-37150 Karlskrona, Sweden; [Anderberg, Peter] Univ Skovde, Dept Hlth Sci, S-54146 Skovde, Sweden</t>
  </si>
  <si>
    <t xml:space="preserve">Romare, C (corresponding author), Blekinge Inst Technol, Dept Hlth, Lumavagen 1, S-37150 Karlskrona, Sweden.</t>
  </si>
  <si>
    <t xml:space="preserve">Romare, Charlotte/G-1756-2018; Sanmartin Berglund, Johan/HGB-0471-2022; Anderberg, Peter/B-5541-2012</t>
  </si>
  <si>
    <t xml:space="preserve">Anderberg, Peter/0000-0001-9870-8477</t>
  </si>
  <si>
    <t xml:space="preserve">This work was funded by Blekinge Institute of Technology, Sweden. The funder had no role in any part of the study or preparation of the manuscript.</t>
  </si>
  <si>
    <t xml:space="preserve">0964-3397</t>
  </si>
  <si>
    <t xml:space="preserve">1532-4036</t>
  </si>
  <si>
    <t xml:space="preserve">INTENS CRIT CARE NUR</t>
  </si>
  <si>
    <t xml:space="preserve">Intensive Crit. Care Nurs.</t>
  </si>
  <si>
    <t xml:space="preserve">10.1016/j.iccn.2022.103213</t>
  </si>
  <si>
    <t xml:space="preserve">Critical Care Medicine; Nursing</t>
  </si>
  <si>
    <t xml:space="preserve">General &amp; Internal Medicine; Nursing</t>
  </si>
  <si>
    <t xml:space="preserve">3N5LO</t>
  </si>
  <si>
    <t xml:space="preserve">WOS:000836189200001</t>
  </si>
  <si>
    <t xml:space="preserve">Sidorova, J; Anisimova, M</t>
  </si>
  <si>
    <t xml:space="preserve">Sidorova, Julia; Anisimova, Maria</t>
  </si>
  <si>
    <t xml:space="preserve">Impact of Diabetes Mellitus on Voice: A Methodological Commentary</t>
  </si>
  <si>
    <t xml:space="preserve">JOURNAL OF VOICE</t>
  </si>
  <si>
    <t xml:space="preserve">Diabetes; Voice; Perceptual evaluation; Acoustic analysis; Pattern recognition; Vocal biomarker</t>
  </si>
  <si>
    <t xml:space="preserve">PARKINSONS-DISEASE; SPEECH; DIAGNOSIS</t>
  </si>
  <si>
    <t xml:space="preserve">Recent research describes the effect of Type 2 diabetes (T2D) on voice, suggesting that it can be diagnosed based on vocal clues. Although these studies have similar experimental designs with respect to the voice data and the analysis methods, the conclusions regarding the voice changes differ substantially and are at times contradictory. This is unexpected, since the mechanism of pathological deterioration behind the observed changes is the same. This year in an article published in J. of Voice it was suggested that vocal changes may be different among ethnicities. Before this hypothesis can be accepted, the study protocols should be improved and unified, to ensure that the empirical evidence is reliable. Additionally, given the recently published data about the temporal voice changes as a result of glucose swings, we propose that the persons in hypo- and hyperglycemic conditions should be excluded from the experiment. Since no study succeeded in diabetes detection, it is timely to mention that there is an alternative methodology for disease detection from voice, which is far more sensitive than the state of the art procedure. We propose a script that is available from the first author on request.</t>
  </si>
  <si>
    <t xml:space="preserve">[Sidorova, Julia] Blekinge Inst Technol, Vallhallavagan 1, S-37141 Karlskrona, Sweden; [Anisimova, Maria] Zurich Univ Appl Sci, Technikumstr 9, CH-8400 Winterthur, Switzerland</t>
  </si>
  <si>
    <t xml:space="preserve">Blekinge Institute Technology; Zurich University of Applied Sciences</t>
  </si>
  <si>
    <t xml:space="preserve">Sidorova, J (corresponding author), Blekinge Inst Technol, Vallhallavagan 1, S-37141 Karlskrona, Sweden.</t>
  </si>
  <si>
    <t xml:space="preserve">Julia.a.sidorova@gmail.com</t>
  </si>
  <si>
    <t xml:space="preserve">Sidorova, Julia/D-7768-2013</t>
  </si>
  <si>
    <t xml:space="preserve">Anisimova, Maria/0000-0001-8145-7966</t>
  </si>
  <si>
    <t xml:space="preserve">MOSBY-ELSEVIER</t>
  </si>
  <si>
    <t xml:space="preserve">360 PARK AVENUE SOUTH, NEW YORK, NY 10010-1710 USA</t>
  </si>
  <si>
    <t xml:space="preserve">0892-1997</t>
  </si>
  <si>
    <t xml:space="preserve">1873-4588</t>
  </si>
  <si>
    <t xml:space="preserve">J VOICE</t>
  </si>
  <si>
    <t xml:space="preserve">J. Voice</t>
  </si>
  <si>
    <t xml:space="preserve">10.1016/j.jvoice.2020.05.015</t>
  </si>
  <si>
    <t xml:space="preserve">Audiology &amp; Speech-Language Pathology; Otorhinolaryngology</t>
  </si>
  <si>
    <t xml:space="preserve">4X0EL</t>
  </si>
  <si>
    <t xml:space="preserve">Green Accepted</t>
  </si>
  <si>
    <t xml:space="preserve">WOS:000860525600034</t>
  </si>
  <si>
    <t xml:space="preserve">Klotins, E; Gorschek, T</t>
  </si>
  <si>
    <t xml:space="preserve">Mendez, D; Wimmer, M; Winkler, D; Biffl, S; Bergsmann, J</t>
  </si>
  <si>
    <t xml:space="preserve">Klotins, Eriks; Gorschek, Tony</t>
  </si>
  <si>
    <t xml:space="preserve">Continuous Software Engineering in the Wild</t>
  </si>
  <si>
    <t xml:space="preserve">SOFTWARE QUALITY: THE NEXT BIG THING IN SOFTWARE ENGINEERING AND QUALITY, SWQD 2022</t>
  </si>
  <si>
    <t xml:space="preserve">14th International Conference on Software Quality (SWQD)</t>
  </si>
  <si>
    <t xml:space="preserve">MAY 17-19, 2022</t>
  </si>
  <si>
    <t xml:space="preserve">Software Qual Lab GmbH,TU Wien, Inst Informat Syst Engn,Blekinge Inst Technol,Johannes Kepler Univ Linz</t>
  </si>
  <si>
    <t xml:space="preserve">Continuous software engineering; Process improvement; Continuous integration and delivery</t>
  </si>
  <si>
    <t xml:space="preserve">Software is becoming a critical component of most products and organizational functions. The ability to continuously improve software determines how well the organization can respond to market opportunities. Continuous software engineering promises numerous advantages over sprint-based or plan-driven development. However, implementing a continuous software engineering pipeline in an existing organization is challenging. In this invited position paper, we discuss the adoption challenges and argue for a more systematic methodology to drive the adoption of continuous engineering. Our discussion is based on ongoing work with several industrial partners as well as experience reported in both state-of-practice and state-of-the-art. We conclude that the adoption of continuous software engineering primarily requires analysis of the organization, its goals, and constraints. One size does not fit all purposes, meaning that many of the principles behind continuous engineering are relevant for most organizations, but the level of realization and the benefits may still vary. The main hindrances to continuous flow of software arise from sub-optimal organizational structures and the lack of alignment. Once those are removed, the organization can implement automation to further improve the software delivery.</t>
  </si>
  <si>
    <t xml:space="preserve">[Klotins, Eriks; Gorschek, Tony] Blekinge Inst Technol, Software Engn Res Lab SERL, Karlskrona, Sweden; [Gorschek, Tony] Fortiss GmbH, Munich, Germany</t>
  </si>
  <si>
    <t xml:space="preserve">eriks.klotins@bth.se; tony.gorschek@bth.se</t>
  </si>
  <si>
    <t xml:space="preserve">978-3-031-04115-0; 978-3-031-04114-3</t>
  </si>
  <si>
    <t xml:space="preserve">10.1007/978-3-031-04115-0_1</t>
  </si>
  <si>
    <t xml:space="preserve">BU0YM</t>
  </si>
  <si>
    <t xml:space="preserve">WOS:000873371100001</t>
  </si>
  <si>
    <t xml:space="preserve">Challenges and recommendations to publishing and using credible evidence in software engineering</t>
  </si>
  <si>
    <t xml:space="preserve">Evidence-based software engineering; EBSE; Credible evidence; Validity; Relevance</t>
  </si>
  <si>
    <t xml:space="preserve">PREDICTION; COMPLEXITY; CRITIQUE; REVIEWS; NUMBER; SIZE</t>
  </si>
  <si>
    <t xml:space="preserve">Context: An evidence-based scientific discipline should produce, consume and disseminate credible evidence. Unfortunately, mistakes are sometimes made, resulting in the production, consumption and dissemination of invalid or otherwise questionable evidence. In the worst cases, such questionable evidence achieves the status of accepted knowledge. There is, therefore, the need to ensure that producers and consumers seek to identify and rectify such situations. Objectives: To raise awareness of the negative impact of misinterpreting evidence and of propagating that misinterpreted evidence, and to provide guidance on how to improve on the type of issues identified. Methods: We use a case-based approach to present and analyse the production, consumption and dissemination of evidence. The cases are based on the literature and our professional experience. These cases illustrate a range of challenges confronting evidence-based researchers as well as the consequences to research when invalid evidence is not corrected in a timely way. Results: We use the cases and the challenges to formulate a framework and a set of recommendations to help the community in producing and consuming credible evidence. Conclusions: We encourage the community to collectively remain alert to the emergence and dissemination of invalid, or otherwise questionable, evidence, and to proactively seek to identify and rectify it.</t>
  </si>
  <si>
    <t xml:space="preserve">[Wohlin, Claes] Blekinge Inst Technol, SE-37179 Karlskrona, Sweden; [Rainer, Austen] Queens Univ Belfast, 18 Malone Rd,Comp Sci Bldg, Belfast BT9 5BN, Antrim, North Ireland</t>
  </si>
  <si>
    <t xml:space="preserve">10.1016/j.infsof.2021.106555</t>
  </si>
  <si>
    <t xml:space="preserve">RF4GK</t>
  </si>
  <si>
    <t xml:space="preserve">WOS:000634797600005</t>
  </si>
  <si>
    <t xml:space="preserve">Kronkvist, K; Borg, A; Boldt, M; Gerell, M</t>
  </si>
  <si>
    <t xml:space="preserve">Kronkvist, Karl; Borg, Anton; Boldt, Martin; Gerell, Manne</t>
  </si>
  <si>
    <t xml:space="preserve">Predicting Public Violent Crime Using Register and OpenStreetMap Data: A Risk Terrain Modeling Approach Across Three Cities of Varying Size</t>
  </si>
  <si>
    <t xml:space="preserve">APPLIED SPATIAL ANALYSIS AND POLICY</t>
  </si>
  <si>
    <t xml:space="preserve">Crime Mapping; OpenStreetMap; Predictive Accuracy Index; Predictive Efficiency Index; Risk Terrain Modeling; Violent Crime</t>
  </si>
  <si>
    <t xml:space="preserve">SPATIAL-PATTERNS; UTILITY; VISUALIZATION; ALCOHOL</t>
  </si>
  <si>
    <t xml:space="preserve">The aim of the current study is to estimate whether spatial data on place features from OpenStreetMap (OSM) produce results similar to those when employing register data to predict future violent crime in public across three Swedish cities of varying sizes. Using violent crime in public as an outcome, four models for each city are produced using a Risk Terrain Modeling approach. One using spatial data on place features from register data and one from OSM, one model with prior violent crime excluded and one with prior crime included. The results show that several place features are significantly associated with violent crime in public independent of using register or OSM data as input. While models using register data seem to produce more accurate and efficient predictions than OSM data for the two smaller cities, the difference for the largest city is negligible indicating that the models provide similar results. As such, OSM place feature data may be of value when predicting the spatial distribution of future violent crime in public and provide results similar to those when using register data, at least when employed in larger compared to smaller cities. Possibilities, limitations, and avenues for future research when using OSM data in place-based criminological research are discussed.</t>
  </si>
  <si>
    <t xml:space="preserve">[Kronkvist, Karl; Gerell, Manne] Malmo Univ, Dept Criminol, S-20506 Malmo, Sweden; [Borg, Anton; Boldt, Martin] Blekinge Inst Technol, Dept Comp Sci, S-37179 Karlskrona, Sweden</t>
  </si>
  <si>
    <t xml:space="preserve">Kronkvist, K (corresponding author), Malmo Univ, Dept Criminol, S-20506 Malmo, Sweden.</t>
  </si>
  <si>
    <t xml:space="preserve">karl.kronkvist@mau.se</t>
  </si>
  <si>
    <t xml:space="preserve">Boldt, Martin/J-4958-2019; Borg, Anton/AAS-4475-2021; Gerell, Manne/R-1712-2018</t>
  </si>
  <si>
    <t xml:space="preserve">Boldt, Martin/0000-0002-9316-4842; Gerell, Manne/0000-0002-2145-113X; Kronkvist, Karl/0000-0002-4595-054X</t>
  </si>
  <si>
    <t xml:space="preserve">Malmo University; Swedish Research Council [2022-05442]; Swedish Research Council [2022-05442] Funding Source: Swedish Research Council</t>
  </si>
  <si>
    <t xml:space="preserve">Malmo University; Swedish Research Council(Swedish Research Council); Swedish Research Council(Swedish Research Council)</t>
  </si>
  <si>
    <t xml:space="preserve">Open access funding provided by Malmo University. The current study has been funded by the Swedish Research Council under grant 2022-05442</t>
  </si>
  <si>
    <t xml:space="preserve">1874-463X</t>
  </si>
  <si>
    <t xml:space="preserve">1874-4621</t>
  </si>
  <si>
    <t xml:space="preserve">APPL SPAT ANAL POLIC</t>
  </si>
  <si>
    <t xml:space="preserve">Appl. Spat. Anal. Policy</t>
  </si>
  <si>
    <t xml:space="preserve">10.1007/s12061-024-09609-3</t>
  </si>
  <si>
    <t xml:space="preserve">Environmental Studies; Geography; Regional &amp; Urban Planning</t>
  </si>
  <si>
    <t xml:space="preserve">Environmental Sciences &amp; Ecology; Geography; Public Administration</t>
  </si>
  <si>
    <t xml:space="preserve">K9C4T</t>
  </si>
  <si>
    <t xml:space="preserve">WOS:001346802500001</t>
  </si>
  <si>
    <t xml:space="preserve">Simplicity of non-associative skew Laurent polynomial rings</t>
  </si>
  <si>
    <t xml:space="preserve">PROCEEDINGS OF THE EDINBURGH MATHEMATICAL SOCIETY</t>
  </si>
  <si>
    <t xml:space="preserve">non-associative skew Laurent polynomial rings; simplicity</t>
  </si>
  <si>
    <t xml:space="preserve">We introduce non-associative skew Laurent polynomial rings and characterize when they are simple. Thereby, we generalize results by Jordan, Voskoglou, and Nystedt and Oinert.</t>
  </si>
  <si>
    <t xml:space="preserve">[Back, Per] Malardalen Univ, Div Math &amp; Phys, Vasteras, Sweden; [Richter, Johan] Blekinge Inst Technol, Dept Math &amp; Nat Sci, Karlskrona, Sweden</t>
  </si>
  <si>
    <t xml:space="preserve">Bäck, P (corresponding author), Malardalen Univ, Div Math &amp; Phys, Vasteras, Sweden.</t>
  </si>
  <si>
    <t xml:space="preserve">per.back@mdu.se</t>
  </si>
  <si>
    <t xml:space="preserve">Back, Per/0000-0002-6309-8709; Richter, Johan/0000-0003-3931-7358</t>
  </si>
  <si>
    <t xml:space="preserve">0013-0915</t>
  </si>
  <si>
    <t xml:space="preserve">1464-3839</t>
  </si>
  <si>
    <t xml:space="preserve">P EDINBURGH MATH SOC</t>
  </si>
  <si>
    <t xml:space="preserve">Proc. Edinb. Math. Soc.</t>
  </si>
  <si>
    <t xml:space="preserve">2024 NOV 13</t>
  </si>
  <si>
    <t xml:space="preserve">10.1017/S0013091524000683</t>
  </si>
  <si>
    <t xml:space="preserve">M0D4N</t>
  </si>
  <si>
    <t xml:space="preserve">WOS:001354334000001</t>
  </si>
  <si>
    <t xml:space="preserve">Rico, S; Bin Ali, N; Engström, E; Höst, M</t>
  </si>
  <si>
    <t xml:space="preserve">Rico, Sergio; Bin Ali, Nauman; Engstrom, Emelie; Host, Martin</t>
  </si>
  <si>
    <t xml:space="preserve">Experiences from conducting rapid reviews in collaboration with practitioners - Two industrial cases</t>
  </si>
  <si>
    <t xml:space="preserve">Literature reviews; Systematic review; Rapid reviews; Research relevance; Industry-academia collaboration</t>
  </si>
  <si>
    <t xml:space="preserve">SOFTWARE ENGINEERING RESEARCH; ACADEMIA COLLABORATIONS</t>
  </si>
  <si>
    <t xml:space="preserve">Context: Evidence-based software engineering (EBSE) aims to improve research utilization in practice. It relies on systematic methods to identify, appraise, and synthesize existing research findings to answer questions of interest for practice. However, the lack of practitioners' involvement in these studies' design, execution, and reporting indicates a lack of appreciation for the need for knowledge exchange between researchers and practitioners. The resultant systematic literature studies often lack relevance for practice. Objective: This paper explores the use of Rapid Reviews (RRs), in fostering knowledge exchange between academia and industry. Through the lens of two case studies, we delve into the practical application and experience of conducting RRs. Methods: We analyzed the conduct of two rapid reviews by two different groups of researchers and practitioners. We collected data through interviews, and the documents produced during the review (like review protocols, search results, and presentations). The interviews were analyzed using thematic analysis. Results: We report how the two groups of researchers and practitioners performed the rapid reviews. We observed some benefits, like promoting dialogue and paving the way for future collaborations. We also found that practitioners entrusted the researchers to develop and follow a rigorous approach and were more interested in the applicability of the findings in their context. The problems investigated in these two cases were relevant but not the most immediate ones. Therefore, rapidness was not a priority for the practitioners. Conclusion: The study illustrates that rapid reviews can support researcher-practitioner communication and industry-academia collaboration. Furthermore, the recommendations based on the experiences from the two cases complement the detailed guidelines researchers and practitioners may follow to increase interaction and knowledge exchange.</t>
  </si>
  <si>
    <t xml:space="preserve">[Rico, Sergio; Engstrom, Emelie; Host, Martin] Lund Univ, Dept Comp Sci, SE-22100 Lund, Sweden; [Bin Ali, Nauman] Blekinge Inst Technol, Dept Software Engn, Karlskrona SE-37179, Sweden</t>
  </si>
  <si>
    <t xml:space="preserve">Rico, S (corresponding author), Lund Univ, Dept Comp Sci, SE-22100 Lund, Sweden.</t>
  </si>
  <si>
    <t xml:space="preserve">Sergio.Rico@cs.lth.se; nauman.ali@bth.se; emelie.engstrom@cs.lth.se; martin.host@cs.lth.se</t>
  </si>
  <si>
    <t xml:space="preserve">Rico, Sergio/KEJ-0444-2024; Höst, Martin/KDN-4323-2024; Ali, Nauman bin/J-4293-2015; Engstrom, Emelie/AAG-7808-2019</t>
  </si>
  <si>
    <t xml:space="preserve">Rico, Sergio/0000-0002-9348-2912; Ali, Nauman bin/0000-0001-7266-5632; Host, Martin/0000-0002-9360-8693; Engstrom, Emelie/0000-0001-6736-9425</t>
  </si>
  <si>
    <t xml:space="preserve">ELLIIT - Swedish Government; GIST project by the Knowledge Foundation in Sweden [20220235]</t>
  </si>
  <si>
    <t xml:space="preserve">ELLIIT - Swedish Government; GIST project by the Knowledge Foundation in Sweden</t>
  </si>
  <si>
    <t xml:space="preserve">This work has been supported by ELLIIT, a Strategic Area within IT and Mobile Communications, funded by the Swedish Government. The work has also been supported by a research grant for the GIST project (reference number 20220235) by the Knowledge Foundation in Sweden. We would like to thank the researchers and practitioners who participated in the interviews for their time and valuable insights. Additionally, we extend our gratitude to the anonymous reviewers whose dedicated comments and constructive feedback significantly contributed to improving the quality of this paper.</t>
  </si>
  <si>
    <t xml:space="preserve">10.1016/j.infsof.2023.107364</t>
  </si>
  <si>
    <t xml:space="preserve">CX8S5</t>
  </si>
  <si>
    <t xml:space="preserve">WOS:001128629400001</t>
  </si>
  <si>
    <t xml:space="preserve">Ilie, D; Grahn, H; Lundberg, L; Westerhagen, A; Granbom, B; Hoeoek, A</t>
  </si>
  <si>
    <t xml:space="preserve">Ilie, Dragos; Grahn, Hakan; Lundberg, Lars; Westerhagen, Alexander; Granbom, Bo; Hoeoek, Anders</t>
  </si>
  <si>
    <t xml:space="preserve">Avoiding Detection by Hostile Nodes in Airborne Tactical Networks</t>
  </si>
  <si>
    <t xml:space="preserve">mobile ad hoc networks; routing; protocol</t>
  </si>
  <si>
    <t xml:space="preserve">AD HOC NETWORKS; PROTOCOLS</t>
  </si>
  <si>
    <t xml:space="preserve">Contemporary airborne radio networks are usually implemented using omnidirectional antennas. Unfortunately, such networks suffer from disadvantages such as easy detection by hostile aircraft and potential information leakage. In this paper, we present a novel mobile ad hoc network (MANET) routing protocol based on directional antennas and situation awareness data that utilizes adaptive multihop routing to avoid sending information in directions where hostile nodes are present. Our protocol is implemented in the OMNEST simulator and evaluated using two realistic flight scenarios involving 8 and 24 aircraft, respectively. The results show that our protocol has significantly fewer leaked packets than comparative protocols, but at a slightly higher cost in terms of longer packet lifetime.</t>
  </si>
  <si>
    <t xml:space="preserve">[Ilie, Dragos; Grahn, Hakan; Lundberg, Lars] Blekinge Inst Technol, Dept Comp Sci, S-37179 Karlskrona, Sweden; [Westerhagen, Alexander] Saab AB, Surveillance, S-37130 Karlskrona, Sweden; [Granbom, Bo] Saab AB, Aeronaut, S-58188 Linkoping, Sweden; [Hoeoek, Anders] Saab AB, Surveillance, S-41276 Gothenburg, Sweden</t>
  </si>
  <si>
    <t xml:space="preserve">Ilie, D (corresponding author), Blekinge Inst Technol, Dept Comp Sci, S-37179 Karlskrona, Sweden.</t>
  </si>
  <si>
    <t xml:space="preserve">dragos.ilie@bth.se; hakan.grahn@bth.se; lars.lundberg@bth.se; alexander.westerhagen@saabgroup.com; bo.granbom@saabgroup.com; anders.hook@saabgroup.com</t>
  </si>
  <si>
    <t xml:space="preserve">Grahn, Håkan/G-9720-2011; Ilie, Dragos/AHE-6100-2022</t>
  </si>
  <si>
    <t xml:space="preserve">Ilie, Dragos/0000-0001-8453-447X</t>
  </si>
  <si>
    <t xml:space="preserve">VINNOVA, Sweden</t>
  </si>
  <si>
    <t xml:space="preserve">VINNOVA, Sweden(Vinnova)</t>
  </si>
  <si>
    <t xml:space="preserve">This research was partly funded by VINNOVA, Sweden, project NFFP7 (Call 2)-Riktad luftdatalaenk.</t>
  </si>
  <si>
    <t xml:space="preserve">10.3390/fi15060204</t>
  </si>
  <si>
    <t xml:space="preserve">K5XQ4</t>
  </si>
  <si>
    <t xml:space="preserve">WOS:001017172700001</t>
  </si>
  <si>
    <t xml:space="preserve">Berglund, JS; Javeed, A</t>
  </si>
  <si>
    <t xml:space="preserve">Berglund, Johan Sanmartin; Javeed, Ashir</t>
  </si>
  <si>
    <t xml:space="preserve">LONG-TERM PREDICTION OF DEMENTIA USING MACHINE LEARNING ALGORITHMS</t>
  </si>
  <si>
    <t xml:space="preserve">INNOVATION IN AGING</t>
  </si>
  <si>
    <t xml:space="preserve">[Berglund, Johan Sanmartin] Blekinge Inst Technol, Karlskrona, Blekinge Lan, Sweden; [Javeed, Ashir] Karolinska Inst, Stockholm, Stockholms Lan, Sweden</t>
  </si>
  <si>
    <t xml:space="preserve">Blekinge Institute Technology; Karolinska Institutet</t>
  </si>
  <si>
    <t xml:space="preserve">Sanmartin Berglund, Johan/HGB-0471-2022; Javeed, Ashir/ABG-2567-2022</t>
  </si>
  <si>
    <t xml:space="preserve">javeed, ashir/0000-0003-4190-3532</t>
  </si>
  <si>
    <t xml:space="preserve">2399-5300</t>
  </si>
  <si>
    <t xml:space="preserve">INNOV AGING</t>
  </si>
  <si>
    <t xml:space="preserve">Innov. Aging</t>
  </si>
  <si>
    <t xml:space="preserve">Geriatrics &amp; Gerontology; Gerontology</t>
  </si>
  <si>
    <t xml:space="preserve">7V8DU</t>
  </si>
  <si>
    <t xml:space="preserve">WOS:000913044001181</t>
  </si>
  <si>
    <t xml:space="preserve">Fredriksson, H; Dahl, M; Holmgren, J</t>
  </si>
  <si>
    <t xml:space="preserve">Fredriksson, Henrik; Dahl, Mattias; Holmgren, Johan</t>
  </si>
  <si>
    <t xml:space="preserve">OPTIMAL ALLOCATION OF CHARGING STATIONS FOR ELECTRIC VEHICLES USING PROBABILISTIC ROUTE SELECTION</t>
  </si>
  <si>
    <t xml:space="preserve">COMPUTING AND INFORMATICS</t>
  </si>
  <si>
    <t xml:space="preserve">Charging stations; electric vehicle; transportation network; optimal placement; self-avoiding random walk</t>
  </si>
  <si>
    <t xml:space="preserve">REFUELING LOCATION MODEL; RECHARGING STATIONS; FUEL; INFRASTRUCTURE; EXPERIENCE; PLACEMENT; WORKPLACE; ATTITUDES</t>
  </si>
  <si>
    <t xml:space="preserve">Electric vehicles (EVs) are environmentally friendly and are considered to be a promising approach toward a green transportation infrastructure with lower greenhouse gas emissions. However, the limited driving range of EVs demands a strategic allocation of charging facilities, hence providing recharging opportunities that help reduce EV owners' anxiety about their vehicles' range. In this paper, we study a set covering method where self-avoiding walks are utilized to find the most significant locations for charging stations. In the corresponding optimization problem, we derive a lower bound of the number of charging stations in a transportation network to obtain full coverage of the most probable routes. The proposed method is applied to a transportation network of the southern part of Sweden.</t>
  </si>
  <si>
    <t xml:space="preserve">[Fredriksson, Henrik; Dahl, Mattias] Blekinge Inst Technol, Dept Math &amp; Nat Sci, S-37179 Karlskrona, Sweden; [Holmgren, Johan] Malmo Univ, Dept Comp Sci &amp; Media Technol, S-20506 Malmo, Sweden</t>
  </si>
  <si>
    <t xml:space="preserve">Fredriksson, H (corresponding author), Blekinge Inst Technol, Dept Math &amp; Nat Sci, S-37179 Karlskrona, Sweden.</t>
  </si>
  <si>
    <t xml:space="preserve">henrik.fredriksson@bth.se; mattias.dahl@bth.se; johan.holmgren@mau.se</t>
  </si>
  <si>
    <t xml:space="preserve">Holmgren, Johan/J-1041-2014; Dahl, Mattias/AAE-8091-2022</t>
  </si>
  <si>
    <t xml:space="preserve">Dahl, Mattias/0000-0003-3707-2780; Fredriksson, Henrik/0009-0007-0868-9868</t>
  </si>
  <si>
    <t xml:space="preserve">SLOVAK ACAD SCIENCES INST INFORMATICS</t>
  </si>
  <si>
    <t xml:space="preserve">DUBRAVSKA CESTA 9, 84237 BRATISLAVA, SLOVAKIA</t>
  </si>
  <si>
    <t xml:space="preserve">1335-9150</t>
  </si>
  <si>
    <t xml:space="preserve">COMPUT INFORM</t>
  </si>
  <si>
    <t xml:space="preserve">Comput. Inform.</t>
  </si>
  <si>
    <t xml:space="preserve">10.31577/cai_2021_2_408</t>
  </si>
  <si>
    <t xml:space="preserve">WX9HX</t>
  </si>
  <si>
    <t xml:space="preserve">Green Submitted, Bronze</t>
  </si>
  <si>
    <t xml:space="preserve">WOS:000718900400008</t>
  </si>
  <si>
    <t xml:space="preserve">Dorner, M; Mendez, D; Wnuk, K; Zabardast, E; Czerwonka, J</t>
  </si>
  <si>
    <t xml:space="preserve">Dorner, Michael; Mendez, Daniel; Wnuk, Krzysztof; Zabardast, Ehsan; Czerwonka, Jacek</t>
  </si>
  <si>
    <t xml:space="preserve">The upper bound of information diffusion in code review</t>
  </si>
  <si>
    <t xml:space="preserve">Code review; Simulation; Information diffusion; Communication network</t>
  </si>
  <si>
    <t xml:space="preserve">BackgroundCode review, the discussion around a code change among humans, forms a communication network that enables its participants to exchange and spread information. Although reported by qualitative studies, our understanding of the capability of code review as a communication network is still limited.ObjectiveIn this article, we report on a first step towards understanding and evaluating the capability of code review as a communication network by quantifying how fast and how far information can spread through code review: the upper bound of information diffusion in code review.MethodIn an in-silico experiment, we simulate an artificial information diffusion within large (Microsoft), mid-sized (Spotify), and small code review systems (Trivago) modelled as communication networks. We then measure the minimal topological and temporal distances between the participants to quantify how far and how fast information can spread in code review.ResultsAn average code review participants in the small and mid-sized code review systems can spread information to between 72 % and 85 % of all code review participants within four weeks independently of network size and tooling; for the large code review systems, we found an absolute boundary of about 11 000 reachable participants. On average (median), information can spread between two participants in code review in less than five hops and less than five days.ConclusionWe found evidence that the communication network emerging from code review scales well and spreads information fast and broadly, corroborating the findings of prior qualitative work. The study lays the foundation for understanding and improving code review as a communication network.</t>
  </si>
  <si>
    <t xml:space="preserve">[Dorner, Michael; Mendez, Daniel; Wnuk, Krzysztof; Zabardast, Ehsan] Blekinge Inst Technol, Karlskrona, Sweden; [Mendez, Daniel] Fortiss, Munich, Germany; [Czerwonka, Jacek] Microsoft, Seattle, WA USA</t>
  </si>
  <si>
    <t xml:space="preserve">Blekinge Institute Technology; fortiss; Microsoft</t>
  </si>
  <si>
    <t xml:space="preserve">michael.dorner@bth.se</t>
  </si>
  <si>
    <t xml:space="preserve">Zabardast, Ehsan/AAZ-8119-2021; Dorner, Michael/ABG-7730-2020</t>
  </si>
  <si>
    <t xml:space="preserve">Zabardast, Ehsan/0000-0002-1729-5154; Dorner, Michael/0000-0001-8879-6450</t>
  </si>
  <si>
    <t xml:space="preserve">10.1007/s10664-024-10442-y</t>
  </si>
  <si>
    <t xml:space="preserve">J1X6D</t>
  </si>
  <si>
    <t xml:space="preserve">WOS:001335071300002</t>
  </si>
  <si>
    <t xml:space="preserve">Ye, K; Zhao, L; Abbas, Z; Li, CW; Liu, GY; Lei, L; Lu, JH; Islam, MS</t>
  </si>
  <si>
    <t xml:space="preserve">Ye, Kai; Zhao, Lun; Abbas, Zeshan; Li, Chengwang; Liu, Gaoyu; Lei, Le; Lu, Jiehao; Islam, Md Shafiqul</t>
  </si>
  <si>
    <t xml:space="preserve">Static mechanical properties and failure behaviors of self-piercing riveted joints in aluminum alloy 5A06 after aging</t>
  </si>
  <si>
    <t xml:space="preserve">THIN-WALLED STRUCTURES</t>
  </si>
  <si>
    <t xml:space="preserve">Static mechanical properties; Self-piercing riveted joints; Failure behaviors; Heating and cooling process</t>
  </si>
  <si>
    <t xml:space="preserve">STEEL; CONNECTIONS; FRAMEWORK; DESIGN</t>
  </si>
  <si>
    <t xml:space="preserve">This paper conducts an investigation on the static mechanical properties and failure behavior of self-piercing riveted joints in aluminum alloy 5A06 after being subjected to the aging process. The study involves three distinct categories of joint specimens: original specimens, 1-year aged specimens and 1-year aged specimens that have been additionally heat-treated at 200 degrees C. The research findings affirm that strain aging is responsible for a reduction in the peak strength of the joints. Furthermore, the weakest failure chain within the self-piercing riveted joint shifts towards the upper sheet due to a more significant reduction in internal stress experienced by the upper plate. This leads to a failure model characterized by upper sheet pull-off. Through Weibull distribution analysis, it has been established that the 5 % lower limit value for the strength of the SPR joint experiences an 86 % decline following 1-year aging. In practical terms, this means that for a vehicle structure with 7000 riveting points will lose an overall structural strength equivalent to the initial strength of 1000 riveting points within one year.</t>
  </si>
  <si>
    <t xml:space="preserve">[Ye, Kai; Zhao, Lun; Abbas, Zeshan; Li, Chengwang; Liu, Gaoyu; Lei, Le; Lu, Jiehao] Shenzhen Polytech Univ, Inst Ultrason Technol, Shenzhen 518055, Peoples R China; [Islam, Md Shafiqul] Blekinge Inst Technol, Dept Mech Engn, S-37179 Karlskrona, Sweden</t>
  </si>
  <si>
    <t xml:space="preserve">Zhao, L (corresponding author), Shenzhen Polytech Univ, Inst Ultrason Technol, Shenzhen 518055, Peoples R China.</t>
  </si>
  <si>
    <t xml:space="preserve">zhaolun@szpt.edu.cn</t>
  </si>
  <si>
    <t xml:space="preserve">Li, Chengwang/MBG-3498-2025; Abbas, Zeshan/MEO-8370-2025</t>
  </si>
  <si>
    <t xml:space="preserve">Natural Science Foundation of China [12104324]; High -Level Talent Research Startup Project [6022310046K, 6024330003K]; New Dongli Ultrasonic Welding Technology R D Center [602331009PQ]; Postdoctoral Startup Fund of Shenzhen Polytechnic University [6022331008K]; Post -doctoral Later -stage Foundation Project of Shenzhen Polytechnic [6023271014 K1, 6021211014K1]</t>
  </si>
  <si>
    <t xml:space="preserve">Natural Science Foundation of China(National Natural Science Foundation of China (NSFC)); High -Level Talent Research Startup Project; New Dongli Ultrasonic Welding Technology R D Center; Postdoctoral Startup Fund of Shenzhen Polytechnic University; Post -doctoral Later -stage Foundation Project of Shenzhen Polytechnic</t>
  </si>
  <si>
    <t xml:space="preserve">This research is supported by Natural Science Foundation of China (12104324) ; High -Level Talent Research Startup Project (6022310046K; 6024330003K) ; New Dongli Ultrasonic Welding Technology R &amp; D Center (602331009PQ) ; Postdoctoral Startup Fund of Shenzhen Polytechnic University (No. 6022331008K) ; Post -doctoral Later -stage Foundation Project of Shenzhen Polytechnic (6023271014 K1; 6021211014K1) .</t>
  </si>
  <si>
    <t xml:space="preserve">0263-8231</t>
  </si>
  <si>
    <t xml:space="preserve">1879-3223</t>
  </si>
  <si>
    <t xml:space="preserve">THIN WALL STRUCT</t>
  </si>
  <si>
    <t xml:space="preserve">Thin-Walled Struct.</t>
  </si>
  <si>
    <t xml:space="preserve">AUG 15</t>
  </si>
  <si>
    <t xml:space="preserve">10.1016/j.tws.2024.112041</t>
  </si>
  <si>
    <t xml:space="preserve">Engineering, Civil; Engineering, Mechanical; Mechanics</t>
  </si>
  <si>
    <t xml:space="preserve">Engineering; Mechanics</t>
  </si>
  <si>
    <t xml:space="preserve">UG3N3</t>
  </si>
  <si>
    <t xml:space="preserve">WOS:001246867200001</t>
  </si>
  <si>
    <t xml:space="preserve">Singh, SP; Bin Ali, N; Lundberg, L</t>
  </si>
  <si>
    <t xml:space="preserve">Singh, Shailesh Pratap; Bin Ali, Nauman; Lundberg, Lars</t>
  </si>
  <si>
    <t xml:space="preserve">Smart and Adaptive Architecture for a Dedicated Internet of Things Network Comprised of Diverse Entities: A Proposal and Evaluation</t>
  </si>
  <si>
    <t xml:space="preserve">Internet of Things (IoT); smart and adaptive environment; artificial intelligence; multi-access edge computing (MEC); online gaming; 5G; architecture assessment; accounting; authentication; and authorization (AAA)</t>
  </si>
  <si>
    <t xml:space="preserve">SOFTWARE; SYSTEM; 5G</t>
  </si>
  <si>
    <t xml:space="preserve">Advances in 5G and the Internet of Things (IoT) have to cater to the diverse and varying needs of different stakeholders, devices, sensors, applications, networks, and access technologies that come together for a dedicated IoT network for a synergistic purpose. Therefore, there is a need for a solution that can assimilate the various requirements and policies to dynamically and intelligently orchestrate them in the dedicated IoT network. Thus we identify and describe a representative industry-relevant use case for such a smart and adaptive environment through interviews with experts from a leading telecommunication vendor. We further propose and evaluate candidate architectures to achieve dynamic and intelligent orchestration in such a smart environment using a systematic approach for architecture design and by engaging six senior domain and IoT experts. The candidate architecture with an adaptive and intelligent element (Smart AAA agent) was found superior for modifiability, scalability, and performance in the assessments. This architecture also explores the enhanced role of authentication, authorization, and accounting (AAA) and makes the base for complete orchestration. The results indicate that the proposed architecture can meet the requirements for a dedicated IoT network, which may be used in further research or as a reference for industry solutions.</t>
  </si>
  <si>
    <t xml:space="preserve">[Singh, Shailesh Pratap] Ericsson Res &amp; Dev, S-37133 Karlskrona, Sweden; [Singh, Shailesh Pratap; Bin Ali, Nauman; Lundberg, Lars] Blekinge Inst Technol, S-37179 Karlskrona, Sweden</t>
  </si>
  <si>
    <t xml:space="preserve">Singh, SP (corresponding author), Ericsson Res &amp; Dev, S-37133 Karlskrona, Sweden.;Singh, SP (corresponding author), Blekinge Inst Technol, S-37179 Karlskrona, Sweden.</t>
  </si>
  <si>
    <t xml:space="preserve">shailesh.pratap.singh@ericsson.com; nauman.ali@bth.se; lars.lundberg@bth.se</t>
  </si>
  <si>
    <t xml:space="preserve">Ali, Nauman bin/0000-0001-7266-5632; Singh, Shailesh Pratap/0000-0002-2015-407X</t>
  </si>
  <si>
    <t xml:space="preserve">Knowledge Foundation (KKS) in Sweden [20170213, 20180127]; VITS project by KKS [20180127]; ELLIIT, a strategic area within IT and Mobile Communications; Swedish Government</t>
  </si>
  <si>
    <t xml:space="preserve">Knowledge Foundation (KKS) in Sweden; VITS project by KKS; ELLIIT, a strategic area within IT and Mobile Communications; Swedish Government</t>
  </si>
  <si>
    <t xml:space="preserve">This work has been supported by a research grant for the PLENG project (20170213) and the VITS project (20180127) by the Knowledge Foundation (KKS) in Sweden. Nauman has received additional support from the VITS project (20180127) funded by KKS and by ELLIIT, a strategic area within IT and Mobile Communications, funded by the Swedish Government.</t>
  </si>
  <si>
    <t xml:space="preserve">10.3390/s22083017</t>
  </si>
  <si>
    <t xml:space="preserve">0R0VX</t>
  </si>
  <si>
    <t xml:space="preserve">WOS:000785325300001</t>
  </si>
  <si>
    <t xml:space="preserve">Shahmardani, M; Ståhle, P; Islam, MS; Kao-Walter, S</t>
  </si>
  <si>
    <t xml:space="preserve">Shahmardani, Mahdieh; Stahle, Per; Islam, Md Shafiqul; Kao-Walter, Sharon</t>
  </si>
  <si>
    <t xml:space="preserve">Numerical Simulation of Buckling and Post-Buckling Behavior of a Central Notched Thin Aluminum Foil with Nonlinearity in Consideration</t>
  </si>
  <si>
    <t xml:space="preserve">METALS</t>
  </si>
  <si>
    <t xml:space="preserve">buckling behavior; thin metal sheet; central crack; wrinkling; perturbation; buckling mode shape</t>
  </si>
  <si>
    <t xml:space="preserve">PLATES; STABILITY; FRACTURE; MEMBERS; CRACK; MODEL</t>
  </si>
  <si>
    <t xml:space="preserve">In thin notched sheets under tensile loading, wrinkling appears on the sheet surface, specifically around the cracked area. This is due to local buckling and compression stresses near the crack surfaces. This study aims to numerically study the buckling behavior of a thin sheet with a central crack under tension. A numerical model of a notched sheet under tensile loading is developed using the finite element method, which considers both material and geometrical nonlinearity. To overcome the convergence problem caused by the small thickness-to-length/width ratio and to stimulate the buckling, an imperfection is defined as a small perturbation in the numerical model. Both elastic and elasto-plastic behavior are applied, and the influence of them is studied on the critical buckling stress and the post-buckling behavior of the notched sheet. Numerical results for both elastic and elasto-plastic behavior reflect that very small perturbations need more energy for the activation of buckling mode, and a higher buckling mode is predominant. The influences of different parameters, including Poisson's ratio, yield limit, crack length-to-sheet-width ratio, and the sheet aspect ratio are also evaluated with a focus on the critical buckling stress and the buckling mode shape. With increase in Poisson's ratio. First, the critical buckling stress reduces and then remains constant. A higher yield limit results in increases in the critical buckling stress, and no change in the buckling mode shape while adopting various crack length-to-sheet-width ratios, and the sheet aspect ratio changes the buckling mode shape.</t>
  </si>
  <si>
    <t xml:space="preserve">[Shahmardani, Mahdieh; Islam, Md Shafiqul; Kao-Walter, Sharon] Blekinge Inst Technol, Fac Engn, Dept Mech Engn, S-37179 Karlskrona, Sweden; [Stahle, Per] Lund Univ, Div Solid Mech, SE-22100 Lund, Sweden</t>
  </si>
  <si>
    <t xml:space="preserve">Shahmardani, M (corresponding author), Blekinge Inst Technol, Fac Engn, Dept Mech Engn, S-37179 Karlskrona, Sweden.</t>
  </si>
  <si>
    <t xml:space="preserve">Mandieh.shahmardani.firouzjah@bth.se; per.stahle@solid.lth.se; shafiqul.islam@bth.se; sharon.kao-walter@bth.se</t>
  </si>
  <si>
    <t xml:space="preserve">Islam, Shafiqul/AAA-7809-2021; Ståhle, Per/J-3590-2014</t>
  </si>
  <si>
    <t xml:space="preserve">Some of this work is included in a research activity of the Model Driven Development and Decision Support project (MD3S+) at Blekinge Institute of Technology, which is funded by the Swedish Knowledge and Competence Development Foundation (KKS).</t>
  </si>
  <si>
    <t xml:space="preserve">2075-4701</t>
  </si>
  <si>
    <t xml:space="preserve">METALS-BASEL</t>
  </si>
  <si>
    <t xml:space="preserve">Metals</t>
  </si>
  <si>
    <t xml:space="preserve">10.3390/met10050582</t>
  </si>
  <si>
    <t xml:space="preserve">Materials Science, Multidisciplinary; Metallurgy &amp; Metallurgical Engineering</t>
  </si>
  <si>
    <t xml:space="preserve">Materials Science; Metallurgy &amp; Metallurgical Engineering</t>
  </si>
  <si>
    <t xml:space="preserve">LY0ND</t>
  </si>
  <si>
    <t xml:space="preserve">WOS:000540220000030</t>
  </si>
  <si>
    <t xml:space="preserve">Coppola, R; Ardito, L; Torchiano, M; Alégroth, E</t>
  </si>
  <si>
    <t xml:space="preserve">Coppola, Riccardo; Ardito, Luca; Torchiano, Marco; Alegroth, Emil</t>
  </si>
  <si>
    <t xml:space="preserve">Translation from Visual to Layout-based Android Test Cases: a Proof of Concept</t>
  </si>
  <si>
    <t xml:space="preserve">Testing; Android; Mobile Applications; Software Engineering</t>
  </si>
  <si>
    <t xml:space="preserve">Context: 2nd generation (Layout-based) and 3rd generation (Visual) GUI testing are two approaches for testing mobile GUIs, both with individual benefits and drawbacks. Previous research has presented approaches to translate 2nd generation scripts to 3rd generation scripts but not the vice versa. Goal: The objective of this work is to provide Proof of Concept of the effectiveness of automatic translation between existing 3rd generation test scripts to 2nd generation test scripts. Method: A tool architecture is presented and implemented in a tool capable of translating most 3rd generation interactions with the GUI of an Android app into 2nd generation instructions and oracles for the Espresso testing tool. Results: We validate our approach on two test suites of our own creation, consisting of 30 test cases each. The measured success rate of the translation is 96.7% (58 working test cases out of 60 applications of the translator). Conclusion: The study provides support for the feasibility of a translation-based approach from 3rd to 2nd generation test cases. However, additional work is needed to make the approach applicable in real-world scenarios or larger open-source test suites.</t>
  </si>
  <si>
    <t xml:space="preserve">[Coppola, Riccardo; Ardito, Luca; Torchiano, Marco] Politecn Torino, Turin, Italy; [Alegroth, Emil] Blekinge Inst Technol, Karlskrona, Sweden</t>
  </si>
  <si>
    <t xml:space="preserve">Coppola, R (corresponding author), Politecn Torino, Turin, Italy.</t>
  </si>
  <si>
    <t xml:space="preserve">riccardo.coppola@polito.it; luca.ardito@polito.it; marco.torchiano@polito.it; emil.alegroth@bth.se</t>
  </si>
  <si>
    <t xml:space="preserve">Ardito, Luca/AAE-2757-2019</t>
  </si>
  <si>
    <t xml:space="preserve">Torchiano, Marco/0000-0001-5328-368X; ARDITO, LUCA/0000-0002-0501-7886</t>
  </si>
  <si>
    <t xml:space="preserve">10.1109/ICSTW50294.2020.00027</t>
  </si>
  <si>
    <t xml:space="preserve">WOS:000620795100010</t>
  </si>
  <si>
    <t xml:space="preserve">Traffic prediction in SDN for explainable QoS using deep learning approach</t>
  </si>
  <si>
    <t xml:space="preserve">The radical increase of multimedia applications such as voice over Internet protocol (VOIP), image processing, and video-based applications require better quality of service (QoS). Therefore, traffic Predicting and explaining the prediction models is essential. However, elephant flows from those applications still needs to be improved to satisfy Internet users. Elephant flows lead to network congestion, resulting in packet loss, delay and inadequate QoS delivery. Recently, deep learning models become a good alternative for real-time traffic management. This research aims to design a traffic predicting model that can identify elephant flows to prevent network congestion in advance. Thus, we are motivated to develop elephant flow prediction models and explain those models explicitly for network administrators' use in the SDN network. H2O, Deep Autoencoder, and autoML predicting algorithms, including XGBoost, GBM and GDF, were employed to develop the proposed model. The performance of Elephant flow prediction models scored 99.97%, 99.99%, and 100% in validation accuracy of under construction error of 0.0003952, 0.001697, and 0.00000408 using XGBoost, GBM, and GDF algorithms respectively. The models were also explicitly explained using Explainable Artificial Intelligence. Accordingly, packet size and byte size attributes need much attention to detect elephant flows.</t>
  </si>
  <si>
    <t xml:space="preserve">[Wassie, Getahun] Addis Ababa Univ, IP Networking &amp; Mobile Internet, Addis Ababa, Ethiopia; [Ding, Jianguo] Blekinge Inst Technol BTH, Dept Comp Sci, S-37179 Karlskrona, Sweden; [Wondie, Yihenew] Addis Ababa Univ, Dept Elect &amp; Comp Engn, Addis Ababa, Ethiopia</t>
  </si>
  <si>
    <t xml:space="preserve">Wassie, G (corresponding author), Addis Ababa Univ, IP Networking &amp; Mobile Internet, Addis Ababa, Ethiopia.;Ding, JG (corresponding author), Blekinge Inst Technol BTH, Dept Comp Sci, S-37179 Karlskrona, Sweden.</t>
  </si>
  <si>
    <t xml:space="preserve">My thanks go to Ashagre Gibtan(PhD) in Policy Studies Institute of Ethiopia, who motivates me to write and publish papers.</t>
  </si>
  <si>
    <t xml:space="preserve">NOV 23</t>
  </si>
  <si>
    <t xml:space="preserve">10.1038/s41598-023-46471-8</t>
  </si>
  <si>
    <t xml:space="preserve">CG9F6</t>
  </si>
  <si>
    <t xml:space="preserve">WOS:001124211800081</t>
  </si>
  <si>
    <t xml:space="preserve">Towards efficient privacy and trust in decentralized blockchain-based peer-to-peer renewable energy marketplace</t>
  </si>
  <si>
    <t xml:space="preserve">SUSTAINABLE ENERGY GRIDS &amp; NETWORKS</t>
  </si>
  <si>
    <t xml:space="preserve">Renewable energy marketplace; Blockchain technology; Peer-to-peer energy trading; Hyperledger Fabric; Data privacy</t>
  </si>
  <si>
    <t xml:space="preserve">PERFORMANCE</t>
  </si>
  <si>
    <t xml:space="preserve">Renewable energy sources are becoming increasingly important as a substitute for fossil energy pro-duction. However, distributed renewable energy production faces several challenges regarding trading and management, such as inflexible pricing models and inaccurate green consumption information. A decentralized peer-to-peer (P2P) electricity marketplace may address these challenges. It enables prosumers to market their self-produced electricity. However, such a marketplace needs to guarantee that the transactions follow market rules and government regulations, cannot be manipulated, and are consistent with the generated electricity. One of the ways to provide these guarantees is to leverage blockchain technology.This work describes a decentralized blockchain-based P2P energy marketplace addressing privacy, trust, and governance issues. It uses a private permissioned blockchain Hyperledger Fabric (HF) and its smart contracts to perform energy trading settlements. The suggested P2P marketplace includes a particular regulator actor acting as a governmental representative overseeing marketplace operations. In this way, the suggested P2P marketplace can address the governance issues needed in electricity marketplaces. Further, the proposed marketplace ensures actors' data privacy by employing HF's private data collections while preserving the integrity and auditability of all operations. We present an in-depth performance evaluation and provide insights into the security and privacy challenges emerging from such a marketplace. The results demonstrate that partial centralization by the applied regulator does not limit the P2P energy trade settlement execution. Blockchain technology allows for automated marketplace operations enabling better incentives for prosumer electricity production. Finally, the suggested marketplace preserves the user's privacy when P2P energy trade settlements are conducted.&amp; COPY; 2023 The Author(s). Published by Elsevier Ltd.This is an open access article under the CC BY license (http://creativecommons.org/licenses/by/4.0/).</t>
  </si>
  <si>
    <t xml:space="preserve">Ilie, Dragos/AHE-6100-2022; Tutschku, Kurt/B-4310-2013; R. Kebande, Victor/F-3934-2019</t>
  </si>
  <si>
    <t xml:space="preserve">R. Kebande, Victor/0000-0003-4071-4596; Robert, Remi/0000-0003-1724-9796; Ilie, Dragos/0000-0001-8453-447X; Tkachuk, Roman-Valentyn/0000-0001-5458-5241</t>
  </si>
  <si>
    <t xml:space="preserve">The authors would like to acknowledge the funding project that is supporting the work presented in this paper: The work was partly sponsored by the Swedish Knowledge Foundation through the project Symphony-Supply-and-Demand-based Service Exposure using Robust Distributed Concepts . The project partners in Symphony are Ericsson AB (Stockholm, Sweden) and Affaersverken Energi AB (Karlskrona, Sweden) .</t>
  </si>
  <si>
    <t xml:space="preserve">2352-4677</t>
  </si>
  <si>
    <t xml:space="preserve">SUSTAIN ENERGY GRIDS</t>
  </si>
  <si>
    <t xml:space="preserve">Sustain. Energy Grids Netw.</t>
  </si>
  <si>
    <t xml:space="preserve">10.1016/j.segan.2023.101146</t>
  </si>
  <si>
    <t xml:space="preserve">Energy &amp; Fuels; Engineering, Electrical &amp; Electronic</t>
  </si>
  <si>
    <t xml:space="preserve">Energy &amp; Fuels; Engineering</t>
  </si>
  <si>
    <t xml:space="preserve">S1HK2</t>
  </si>
  <si>
    <t xml:space="preserve">WOS:001068745600001</t>
  </si>
  <si>
    <t xml:space="preserve">Laiq, Muhammad; bin Ali, Nauman; Borstler, Jurgen; Engstrom, Emelie</t>
  </si>
  <si>
    <t xml:space="preserve">A data-driven approach for understanding invalid bug reports: An industrial case study</t>
  </si>
  <si>
    <t xml:space="preserve">Software maintenance; Invalid bug reports; Bug management; Topic modeling; LDA; Bug classification; Software analytics</t>
  </si>
  <si>
    <t xml:space="preserve">SEVERITY; MODEL</t>
  </si>
  <si>
    <t xml:space="preserve">Context: Bug reports created during software development and maintenance do not always describe deviations from a system's valid behavior. Such invalid bug reports may consume significant resources and adversely affect the prioritization and resolution of valid bug reports. There is a need to identify preventive actions to reduce the inflow of invalid bug reports. Existing research has shown that manually analyzing invalid bug report descriptions provides cues regarding preventive actions. However, such a manual approach is not cost-effective due to the time required to analyze a sufficiently large number of bug reports needed to identify useful patterns. Furthermore, the analysis needs to be repeated as the underlying causes of invalid bug reports change over time.Objective: In this study, we propose and evaluate the use of Latent Dirichlet Allocation (LDA), a topic modeling approach, to support practitioners in suggesting preventive actions to avoid the creation of similar invalid bug reports in the future. Method: In an industrial case study, we first manually analyzed descriptions of invalid bug reports to identify common patterns in their descriptions. We further investigated to what extent LDA can support this manual process. We used expert-based validation to evaluate the relevance of identified common patterns and their usefulness in suggesting preventive measures. Results: We found that invalid bug reports have common patterns that are perceived as relevant, and they can be used to devise preventive measures. Furthermore, the identification of common patterns can be supported with automation.Conclusion: Using LDA, practitioners can effectively identify representative groups of bug reports (i.e., relevant common patterns) from a large number of bug reports and analyze them further to devise preventive measures.</t>
  </si>
  <si>
    <t xml:space="preserve">[Laiq, Muhammad; bin Ali, Nauman; Borstler, Jurgen] Blekinge Inst Technol, Dept Software Engn, SE-37179 Karlskrona, Sweden; [Engstrom, Emelie] Lund Univ, Dept Software Engn, SE-22100 Lund, Sweden</t>
  </si>
  <si>
    <t xml:space="preserve">Laiq, M (corresponding author), Blekinge Inst Technol, Dept Software Engn, SE-37179 Karlskrona, Sweden.</t>
  </si>
  <si>
    <t xml:space="preserve">; Ali, Nauman bin/J-4293-2015; Engstrom, Emelie/AAG-7808-2019</t>
  </si>
  <si>
    <t xml:space="preserve">Laiq, Muhammad/0000-0002-5964-5554; Ali, Nauman bin/0000-0001-7266-5632; Engstrom, Emelie/0000-0001-6736-9425</t>
  </si>
  <si>
    <t xml:space="preserve">ELLIIT - Swedish government; GIST project; Knowledge Foundation in Sweden; [20220235]</t>
  </si>
  <si>
    <t xml:space="preserve">ELLIIT - Swedish government; GIST project; Knowledge Foundation in Sweden;</t>
  </si>
  <si>
    <t xml:space="preserve">This work has been supported by ELLIIT, a strategic research environment in information technology and mobile communications funded by the Swedish government. The work has also been supported by a research grant for the GIST project (reference number 20220235) from the Knowledge Foundation in Sweden.</t>
  </si>
  <si>
    <t xml:space="preserve">10.1016/j.infsof.2023.107305</t>
  </si>
  <si>
    <t xml:space="preserve">P8ZS8</t>
  </si>
  <si>
    <t xml:space="preserve">WOS:001053508400001</t>
  </si>
  <si>
    <t xml:space="preserve">Thi My Chinh Chu; Zepernick, Hans-Jurgen; Duong, Trung Q.</t>
  </si>
  <si>
    <t xml:space="preserve">Short-Packet Cooperative NOMA Communications with K-Means User Clustering</t>
  </si>
  <si>
    <t xml:space="preserve">2023 IEEE INTERNATIONAL CONFERENCE ON COMMUNICATIONS WORKSHOPS, ICC WORKSHOPS</t>
  </si>
  <si>
    <t xml:space="preserve">IEEE International Conference on Communications Workshops</t>
  </si>
  <si>
    <t xml:space="preserve">IEEE International Conference on Communications (IEEE ICC)</t>
  </si>
  <si>
    <t xml:space="preserve">MAY 28-JUN 01, 2023</t>
  </si>
  <si>
    <t xml:space="preserve">Rome, ITALY</t>
  </si>
  <si>
    <t xml:space="preserve">Short-packet communications; cooperative NOMA; K-means algorithm; block error rate; sum rate</t>
  </si>
  <si>
    <t xml:space="preserve">URLLC</t>
  </si>
  <si>
    <t xml:space="preserve">Sixth-generation (6G) networks are considered as key enablers in the development of the intelligent information society offering ultra-reliable low-latency communications in the context of massive machine-type communications and the emergence of the Internet-of-everything. In this paper, we consider a short-packet cooperative nonorthogonal multiple access (C-NOMA) communication system that uses the K-means algorithm for user clustering. The short-packet component of the system facilitates low-latency communications. In addition, C-NOMA using decode-and-forward relays allows extended coverage in terms of user equipment (UE) clusters and spectral efficiency in terms of sum rate. Given the trend toward irregular deployment of heterogeneous infrastructure elements in 6G networks and massive amounts of UEs, the K-means algorithm is used to generate clusters of UEs around the locations of the relays that assist the communication between the base station and the UEs. Analytical expressions of the block error rate (BLER) and sum rate are derived allowing a performance assessment of the short-packet C-NOMA communication system. Numerical results are provided revealing the impact of the number of channel uses and the number of UEs on the BLER and sum rate of the considered system.</t>
  </si>
  <si>
    <t xml:space="preserve">[Thi My Chinh Chu; Zepernick, Hans-Jurgen] Blekinge Inst Technol, S-37179 Karlskrona, Sweden; [Duong, Trung Q.] Queens Univ Belfast, Belfast BT7 1NN, Antrim, North Ireland</t>
  </si>
  <si>
    <t xml:space="preserve">Duong, Trung Q./AAI-6708-2020; Zepernick, Hans-Jürgen/AFJ-2429-2022</t>
  </si>
  <si>
    <t xml:space="preserve">2164-7038</t>
  </si>
  <si>
    <t xml:space="preserve">979-8-3503-3307-7</t>
  </si>
  <si>
    <t xml:space="preserve">IEEE INT CONF COMM</t>
  </si>
  <si>
    <t xml:space="preserve">10.1109/ICCWORKSHOPS57953.2023.10283610</t>
  </si>
  <si>
    <t xml:space="preserve">BW0DX</t>
  </si>
  <si>
    <t xml:space="preserve">WOS:001094861300296</t>
  </si>
  <si>
    <t xml:space="preserve">Empirical research on requirements quality: a systematic mapping study</t>
  </si>
  <si>
    <t xml:space="preserve">Systematic mapping study; Secondary study; Requirements quality; Empirical research</t>
  </si>
  <si>
    <t xml:space="preserve">RELIABILITY; CLASSIFICATION; CRITERIA</t>
  </si>
  <si>
    <t xml:space="preserve">Research has repeatedly shown that high-quality requirements are essential for the success of development projects. While the term quality is pervasive in the field of requirements engineering and while the body of research on requirements quality is large, there is no meta-study of the field that overviews and compares the concrete quality attributes addressed by the community. To fill this knowledge gap, we conducted a systematic mapping study of the scientific literature. We retrieved 6905 articles from six academic databases, which we filtered down to 105 relevant primary studies. The primary studies use empirical research to explicitly define, improve, or evaluate requirements quality. We found that empirical research on requirements quality focuses on improvement techniques, with very few primary studies addressing evidence-based definitions and evaluations of quality attributes. Among the 12 quality attributes identified, the most prominent in the field are ambiguity, completeness, consistency, and correctness. We identified 111 sub-types of quality attributes such as template conformance for consistency or passive voice for ambiguity. Ambiguity has the largest share of these sub-types. The artefacts being studied are mostly referred to in the broadest sense as requirements, while little research targets quality attributes in specific types of requirements such as use cases or user stories. Our findings highlight the need to conduct more empirically grounded research defining requirements quality, using more varied research methods, and addressing a more diverse set of requirements types.</t>
  </si>
  <si>
    <t xml:space="preserve">[Montgomery, Lloyd; Bouraffa, Abir; Scholz, Lisa; Maalej, Walid] Univ Hamburg, Hamburg, Germany; [Fucci, Davide] Blekinge Tekniska Hgsk, Karlskrona, Sweden</t>
  </si>
  <si>
    <t xml:space="preserve">Montgomery, Lloyd/0000-0002-8249-1418</t>
  </si>
  <si>
    <t xml:space="preserve">European Union Horizon 2020 Research and Innovation programme [732463]; Natural Sciences and Engineering Research Council of Canada (NSERC) [PGSD3-518105-2018]; KKS foundation through the S.E.R.T. Research Profile project at Blekinge Institute of Technology; H2020 - Industrial Leadership [732463] Funding Source: H2020 - Industrial Leadership</t>
  </si>
  <si>
    <t xml:space="preserve">European Union Horizon 2020 Research and Innovation programme(Horizon 2020); Natural Sciences and Engineering Research Council of Canada (NSERC)(Natural Sciences and Engineering Research Council of Canada (NSERC)); KKS foundation through the S.E.R.T. Research Profile project at Blekinge Institute of Technology; H2020 - Industrial Leadership(European Union (EU)H2020 - Industrial Leadership)</t>
  </si>
  <si>
    <t xml:space="preserve">This work was funded by the European Union Horizon 2020 Research and Innovation programme under grant agreement No. 732463. We acknowledge the support of the Natural Sciences and Engineering Research Council of Canada (NSERC) [funding reference number PGSD3-518105-2018]. The work was also partially supported by the KKS foundation through the S.E.R.T. Research Profile project at Blekinge Institute of Technology.</t>
  </si>
  <si>
    <t xml:space="preserve">10.1007/s00766-021-00367-z</t>
  </si>
  <si>
    <t xml:space="preserve">1H4HT</t>
  </si>
  <si>
    <t xml:space="preserve">WOS:000755402900001</t>
  </si>
  <si>
    <t xml:space="preserve">Lugnet, J; Ericson, Å; Larsson, T</t>
  </si>
  <si>
    <t xml:space="preserve">Lugnet, Johan; Ericson, Asa; Larsson, Tobias</t>
  </si>
  <si>
    <t xml:space="preserve">Design of Product-Service Systems: Toward An Updated Discourse</t>
  </si>
  <si>
    <t xml:space="preserve">product-service systems; Industry 4.0; circular economy; digital services; innovation; socio-technical systems; digitalization</t>
  </si>
  <si>
    <t xml:space="preserve">BUSINESS MODEL; INDUSTRY 4.0; PSS</t>
  </si>
  <si>
    <t xml:space="preserve">The engineering rationale, composed of established logic for the design and development of products, has been confronted by a shift to a circular economy. Digitalization (e.g., Industry 4.0) enables transformation, but it also increases relational complexities in scope and number. In Product-Service Systems (PSSs), the combination of manufactured goods and services should be delivered in new business models based on value-adding digital assistance. From a systems science view, such combinations cannot be managed by the same approach as if they were one uniform system; rather, it is an interdependent mix of technical, social, and digital designs. This paper initializes an updated conceptual discourse on PSSs and provides a reflection on the expected challenges in the transformation from linear to circular models. For example, the role of systems thinking to guide early design stages is discussed and the importance of processes for creating shared visions at different systems levels is suggested to be addressed in future research. The intention is to formulate thoughts about radical cognitive changes in order to realize the PSS paradigm.</t>
  </si>
  <si>
    <t xml:space="preserve">[Lugnet, Johan; Ericson, Asa] Lulea Univ Technol, Digital Serv &amp; Syst, SE-97187 Lulea, Sweden; [Larsson, Tobias] Blekinge Inst Technol, Dept Mech Engn, SE-37179 Karlskrona, Sweden</t>
  </si>
  <si>
    <t xml:space="preserve">Lulea University of Technology; Blekinge Institute Technology</t>
  </si>
  <si>
    <t xml:space="preserve">Lugnet, J (corresponding author), Lulea Univ Technol, Digital Serv &amp; Syst, SE-97187 Lulea, Sweden.</t>
  </si>
  <si>
    <t xml:space="preserve">johan.lugnet@ltu.se; asa.ericson@ltu.se; tobias.larsson@bth.se</t>
  </si>
  <si>
    <t xml:space="preserve">Larsson, Tobias/A-6795-2008; Lugnet, Johan/AAO-2593-2020</t>
  </si>
  <si>
    <t xml:space="preserve">Larsson, Tobias/0000-0002-9662-4576; Lugnet, Johan/0000-0002-0280-3160; Ericson, Asa/0000-0002-5706-4588</t>
  </si>
  <si>
    <t xml:space="preserve">Kamprad Family Foundation for Entrepreneurship, Research &amp; Charity at Lulea University of Technology; Knowledge Foundation in Sweden Through the Model-Driven Development and Decision Support+ (MD3S+) research profile at Blekinge Institute of Technology</t>
  </si>
  <si>
    <t xml:space="preserve">This research was funded by The Kamprad Family Foundation for Entrepreneurship, Research &amp; Charity at Lulea University of Technology, and The Knowledge Foundation in Sweden Through the Model-Driven Development and Decision Support+ (MD3S+) research profile at Blekinge Institute of Technology.</t>
  </si>
  <si>
    <t xml:space="preserve">10.3390/systems8040045</t>
  </si>
  <si>
    <t xml:space="preserve">PK2IN</t>
  </si>
  <si>
    <t xml:space="preserve">WOS:000602274500001</t>
  </si>
  <si>
    <t xml:space="preserve">Ghani, Z; Jarl, J; Berglund, JS; Andersson, M; Anderberg, P</t>
  </si>
  <si>
    <t xml:space="preserve">Ghani, Zartashia; Jarl, Johan; Berglund, Johan Sanmartin; Andersson, Martin; Anderberg, Peter</t>
  </si>
  <si>
    <t xml:space="preserve">The Cost-Effectiveness of Mobile Health (mHealth) Interventions for Older Adults: Systematic Review</t>
  </si>
  <si>
    <t xml:space="preserve">aged; cost-benefit analysis; economic evaluation; gerontechnology; telemedicine</t>
  </si>
  <si>
    <t xml:space="preserve">ECONOMIC-EVALUATION; PROGRAM; DISEASE; UTILITY</t>
  </si>
  <si>
    <t xml:space="preserve">The objective of this study was to critically assess and review empirical evidence on the cost-effectiveness of Mobile Health (mHealth) interventions for older adults. We systematically searched databases such as Pubmed, Scopus, and Cumulative Index of Nursing and Allied Literature (CINAHL) for peer-reviewed economic evaluations published in English from 2007 to 2018. We extracted data on methods and empirical evidence (costs, effects, incremental cost-effectiveness ratio) and assessed if this evidence supported the reported findings in terms of cost-effectiveness. The consolidated health economic evaluation reporting standards (CHEERS) checklist was used to assess the reporting quality of the included studies. Eleven studies were identified and categorized into two groups: complex smartphone communication and simple text-based communication. Substantial heterogeneity among the studies in terms of methodological approaches and types of intervention was observed. The cost-effectiveness of complex smartphone communication interventions cannot be judged due to lack of information. Limited evidence of cost-effectiveness was found for interventions related to simple text-based communications. Comprehensive economic evaluation studies are warranted to assess the cost-effectiveness of mHealth interventions designed for older adults.</t>
  </si>
  <si>
    <t xml:space="preserve">[Ghani, Zartashia; Berglund, Johan Sanmartin; Anderberg, Peter] Blekinge Inst Technol, Dept Hlth, SE-37179 Karlskrona, Sweden; [Jarl, Johan] Lund Univ, Dept Clin Sci, Hlth Econ Unit, SE-22100 Lund, Sweden; [Andersson, Martin] Blekinge Inst Technol, Dept Ind Econ, SE-37179 Karlskrona, Sweden</t>
  </si>
  <si>
    <t xml:space="preserve">Blekinge Institute Technology; Lund University; Blekinge Institute Technology</t>
  </si>
  <si>
    <t xml:space="preserve">Ghani, Z (corresponding author), Blekinge Inst Technol, Dept Hlth, SE-37179 Karlskrona, Sweden.</t>
  </si>
  <si>
    <t xml:space="preserve">zartashia.ghani@bth.se; johan.jarl@med.lu.se; johan.sanmartin.berglund@bth.se; martin.andersson@bth.se; peter.anderberg@bth.se</t>
  </si>
  <si>
    <t xml:space="preserve">Sanmartin Berglund, Johan/HGB-0471-2022; Andersson, Martin/AAB-5164-2021; Jarl, Johan/AFW-0684-2022; ghani, zartashia/ABE-4097-2020; Anderberg, Peter/B-5541-2012</t>
  </si>
  <si>
    <t xml:space="preserve">Anderberg, Peter/0000-0001-9870-8477; ghani, zartashia/0000-0001-9360-2809; Jarl, Johan/0000-0002-9274-2479; Berglund, Johan/0000-0003-4312-2246</t>
  </si>
  <si>
    <t xml:space="preserve">Blekinge Institute of Technology, Sweden; Support, Monitoring and Reminder Technology for Mild Dementia (SMART4MD) project - European Commission Horizon 2020 Research and Innovation programme [643399]; H2020 Societal Challenges Programme [643399] Funding Source: H2020 Societal Challenges Programme</t>
  </si>
  <si>
    <t xml:space="preserve">Blekinge Institute of Technology, Sweden; Support, Monitoring and Reminder Technology for Mild Dementia (SMART4MD) project - European Commission Horizon 2020 Research and Innovation programme; H2020 Societal Challenges Programme(Horizon 2020European Union (EU)H2020 Societal Challenges Programme)</t>
  </si>
  <si>
    <t xml:space="preserve">This research was funded by Blekinge Institute of Technology, Sweden, and The Support, Monitoring and Reminder Technology for Mild Dementia (SMART4MD) project which is financially supported by the European Commission Horizon 2020 Research and Innovation programme [Grant Number 643399 (www.smart4md.eu)].</t>
  </si>
  <si>
    <t xml:space="preserve">10.3390/ijerph17155290</t>
  </si>
  <si>
    <t xml:space="preserve">NL2SF</t>
  </si>
  <si>
    <t xml:space="preserve">WOS:000567271000001</t>
  </si>
  <si>
    <t xml:space="preserve">Shahmardani, M; Vajragupta, N; Hartmaier, A</t>
  </si>
  <si>
    <t xml:space="preserve">Shahmardani, Mahdieh; Vajragupta, Napat; Hartmaier, Alexander</t>
  </si>
  <si>
    <t xml:space="preserve">Robust Optimization Scheme for Inverse Method for Crystal Plasticity Model Parametrization</t>
  </si>
  <si>
    <t xml:space="preserve">MATERIALS</t>
  </si>
  <si>
    <t xml:space="preserve">nanoindentation test; inverse analysis; trust-region-reflective algorithm; nonlocal crystal plasticity; geometry necessary dislocation; BCC material</t>
  </si>
  <si>
    <t xml:space="preserve">AUSTENITIC STAINLESS-STEEL; MECHANICAL-PROPERTIES; INSTRUMENTED INDENTATION; NANOINDENTATION TECHNIQUE; SPHERICAL INDENTATION; ELASTOPLASTIC PROPERTIES; CONICAL INDENTATION; CONSTITUTIVE MODELS; TENSILE PROPERTIES; FE ANALYSIS</t>
  </si>
  <si>
    <t xml:space="preserve">A bottom-up material modeling based on a nonlocal crystal plasticity model requires information of a large set of physical and phenomenological parameters. Because of the many material parameters, it is inherently difficult to determine the nonlocal crystal plasticity parameters. Therefore, a robust method is proposed to parameterize the nonlocal crystal plasticity model of a body-centered cubic (BCC) material by combining a nanoindentation test and inverse analysis. Nanoindentation tests returned the load-displacement curve and surface imprint of the considered sample. The inverse analysis is developed based on trust-region-reflective algorithm, which is the most robust optimization algorithm for the considered non-convex problem. The discrepancy function is defined to minimize both the load-displacement curves and the surface topologies of the considered material under applying varied indentation forces obtained from numerical models and experimental output. The numerical model results based on the identified material properties show good agreement with the experimental output. Finally, a sensitivity analysis performed changing the nonlocal crystal plasticity parameters in a predefined range emphasized that the geometrical factor has the most significant influence on the load-displacement curve and surface imprint parameters.</t>
  </si>
  <si>
    <t xml:space="preserve">[Shahmardani, Mahdieh; Vajragupta, Napat; Hartmaier, Alexander] Ruhr Univ Bochum, ICAMS, Univ Str 150, D-44801 Bochum, Germany; [Shahmardani, Mahdieh] Blekinge Inst Technol, Fac Engn, Dept Mech Engn, S-37179 Karlskrona, Sweden</t>
  </si>
  <si>
    <t xml:space="preserve">Ruhr University Bochum; Blekinge Institute Technology</t>
  </si>
  <si>
    <t xml:space="preserve">Shahmardani, M (corresponding author), Ruhr Univ Bochum, ICAMS, Univ Str 150, D-44801 Bochum, Germany.;Shahmardani, M (corresponding author), Blekinge Inst Technol, Fac Engn, Dept Mech Engn, S-37179 Karlskrona, Sweden.</t>
  </si>
  <si>
    <t xml:space="preserve">mahdieh.shahmardanifirouzjah@rub.de; napat.vajragupta@rub.de; alexander.hartmaier@rub.de</t>
  </si>
  <si>
    <t xml:space="preserve">Vajragupta, Napat/M-6347-2017; Hartmaier, Alexander/O-2087-2013</t>
  </si>
  <si>
    <t xml:space="preserve">Hartmaier, Alexander/0000-0002-3710-1169; Vajragupta, Napat/0000-0001-6085-7493</t>
  </si>
  <si>
    <t xml:space="preserve">Deutsche Forschungsgemeinschaft (DFG) through Project C4 of the collaborative research center SFB/Transregio 103 superalloy single; Blekinge Institute of Technology, Karlskrona, Sweden</t>
  </si>
  <si>
    <t xml:space="preserve">Deutsche Forschungsgemeinschaft (DFG) through Project C4 of the collaborative research center SFB/Transregio 103 superalloy single(German Research Foundation (DFG)); Blekinge Institute of Technology, Karlskrona, Sweden</t>
  </si>
  <si>
    <t xml:space="preserve">The authors acknowledge funding from the Deutsche Forschungsgemeinschaft (DFG) through Project C4 of the collaborative research center SFB/Transregio 103 superalloy single. M.S. is also grateful to Sharon Kao-Walter, Blekinge Institute of Technology, Karlskrona, Sweden for financial support.</t>
  </si>
  <si>
    <t xml:space="preserve">1996-1944</t>
  </si>
  <si>
    <t xml:space="preserve">Materials</t>
  </si>
  <si>
    <t xml:space="preserve">10.3390/ma13030735</t>
  </si>
  <si>
    <t xml:space="preserve">Chemistry, Physical; Materials Science, Multidisciplinary; Metallurgy &amp; Metallurgical Engineering; Physics, Applied; Physics, Condensed Matter</t>
  </si>
  <si>
    <t xml:space="preserve">Chemistry; Materials Science; Metallurgy &amp; Metallurgical Engineering; Physics</t>
  </si>
  <si>
    <t xml:space="preserve">KO4FB</t>
  </si>
  <si>
    <t xml:space="preserve">WOS:000515503100242</t>
  </si>
  <si>
    <t xml:space="preserve">Vizcaíno, A; Suárez, J; Smite, D; García, FO</t>
  </si>
  <si>
    <t xml:space="preserve">Vizcaino, Aurora; Suarez, Julio; Smite, Darja; Garcia, Felix O.</t>
  </si>
  <si>
    <t xml:space="preserve">Understanding Remote Work Experience: Insights Into Well-Being</t>
  </si>
  <si>
    <t xml:space="preserve">motivation; performance; PLS-SEM; remote work; stress; well-being</t>
  </si>
  <si>
    <t xml:space="preserve">SOFTWARE PROCESS IMPROVEMENT; ORGANIZATIONS; DEVELOPERS; MOTIVATORS; CULTURE; SUCCESS; TEAMS</t>
  </si>
  <si>
    <t xml:space="preserve">BackgroundAfter the pandemic, software engineers were forced to work remotely, in many cases without prior experience of doing so.ObjectiveThe objective of this work is to analyze the factors that influence engineers' motivation, stress and performance when working remotely after the pandemic, and to what level.MethodsA significant number (around 1000) of Latin-American software development professionals from different countries who work remotely were surveyed in order to study the factors that affect them and how when they work in this manner. The data collected from the survey were then statistically analyzed using the partial least square-structural equation modeling (PLS-SEM) method.ConclusionsThe analysis of the data made it possible to conclude that there are direct negative effects of stress on performance and direct positive effects of motivation on performance. In addition, we found that skills, experience, and teamwork behavior, such as trust, communication, and knowledge sharing, play an important role when working remotely.</t>
  </si>
  <si>
    <t xml:space="preserve">[Vizcaino, Aurora; Suarez, Julio; Garcia, Felix O.] Univ Castilla La Mancha, Ciudad Real, Spain; [Smite, Darja] Blekinge Inst Technol, Karlskrona, Sweden</t>
  </si>
  <si>
    <t xml:space="preserve">Universidad de Castilla-La Mancha; Blekinge Institute Technology</t>
  </si>
  <si>
    <t xml:space="preserve">Vizcaíno, A (corresponding author), Univ Castilla La Mancha, Ciudad Real, Spain.</t>
  </si>
  <si>
    <t xml:space="preserve">aurora.vizcaino@uclm.es</t>
  </si>
  <si>
    <t xml:space="preserve">Vizcaino, Aurora/D-4452-2011</t>
  </si>
  <si>
    <t xml:space="preserve">Vizcaino, Aurora/0000-0002-2072-5581</t>
  </si>
  <si>
    <t xml:space="preserve">MICIU/AEI [PID2021-122554OB-C31, SBPLY/21/180501/000115]; JCCM; EU; ERDF funds; UCLM Own Research Plan [2022-GRIN-34110, PDC2022-133249-C31]; European Regional Development Fund (FEDER) UNION; European Union [NextGenerationEU/ PRTR, TED2021-129245B-C22]; European Union NextGenerationEU/PRTR [RED2022-134656-T]; European Regional Development Fund (ERDF)</t>
  </si>
  <si>
    <t xml:space="preserve">MICIU/AEI; JCCM; EU(European Union (EU)); ERDF funds; UCLM Own Research Plan; European Regional Development Fund (FEDER) UNION(European Union (EU)Marie Curie Actions); European Union(European Union (EU)); European Union NextGenerationEU/PRTR(European Union (EU)); European Regional Development Fund (ERDF)(European Union (EU))</t>
  </si>
  <si>
    <t xml:space="preserve">This work has been supported by of the OASSIS project (PID2021-122554OB-C31) funded by MICIU/AEI (10.13039/501100011033) and by Project SBPLY/21/180501/000115, funded by JCCM, EU, MFPF, and ERDF funds. It additionally received financial support for the execution of applied research projects, within the framework of the UCLM Own Research Plan, co-financed at 85% by the European Regional Development Fund (FEDER) UNION (2022-GRIN-34110). This work is also part of the SEEAT project (PDC2022-133249-C31), funded by MICIU/AEI (10.13039/501100011033) and by the European Union NextGenerationEU/ PRTR. This work is part of the PLAGEMIS project (TED2021-129245B-C22), funded by MICIU/AEI (10.13039/501100011033) and the European Union NextGenerationEU/PRTR. This work was also supported by the Network of Excellence in Software Quality and Sustainability (RED2022-134656-T). These projects are also funded by the European Regional Development Fund (ERDF).</t>
  </si>
  <si>
    <t xml:space="preserve">e2757</t>
  </si>
  <si>
    <t xml:space="preserve">10.1002/smr.2757</t>
  </si>
  <si>
    <t xml:space="preserve">S5M8Q</t>
  </si>
  <si>
    <t xml:space="preserve">WOS:001398668800001</t>
  </si>
  <si>
    <t xml:space="preserve">Villamizar, H; Kalinowski, M; Lopes, H; Mendez, D</t>
  </si>
  <si>
    <t xml:space="preserve">Villamizar, Hugo; Kalinowski, Marcos; Lopes, Helio; Mendez, Daniel</t>
  </si>
  <si>
    <t xml:space="preserve">Identifying concerns when specifying machine learning-enabled systems: A perspective-based approach☆</t>
  </si>
  <si>
    <t xml:space="preserve">Requirements engineering; Machine learning-enabled systems; Technology transfer; Case study</t>
  </si>
  <si>
    <t xml:space="preserve">ACCEPTANCE; MODEL</t>
  </si>
  <si>
    <t xml:space="preserve">Engineering successful machine learning (ML)-enabled systems poses various challenges from both a theoretical and a practical side. Among those challenges are how to effectively address unrealistic expectations of ML capabilities from customers, managers and even other team members, and how to connect business value to engineering and data science activities composed by interdisciplinary teams. In this paper, we present PerSpecML , a perspective-based approach for specifying ML-enabled systems that helps practitioners identify which attributes, including ML and non -ML components, are important to contribute to the overall system's quality. The approach involves analyzing 60 concerns related to 28 tasks that practitioners typically face in ML projects, grouping them into five perspectives: system objectives, user experience, infrastructure, model, and data. Together, these perspectives serve to mediate the communication between business owners, domain experts, designers, software and ML engineers, and data scientists. The creation of PerSpecML involved a series of formative evaluations conducted in different contexts: (i) in academia, (ii) with industry representatives, and (iii) in two real industrial case studies. As a result of the diverse validations and continuous improvements, PerSpecML stands as a promising approach, poised to positively impact the specification of ML-enabled systems, particularly helping to reveal key components that would have been otherwise missed without using PerSpecML . Editor's note: Open Science material was validated by the Journal of Systems and Software Open Science Board .</t>
  </si>
  <si>
    <t xml:space="preserve">[Villamizar, Hugo; Kalinowski, Marcos; Lopes, Helio] Pontifical Catholic Univ Rio de Janeiro, Rio De Janeiro, Brazil; [Mendez, Daniel] Blekinge Inst Technol, Karlskrona, Sweden</t>
  </si>
  <si>
    <t xml:space="preserve">hvillamizar@inf.puc-rio.br; kalinowski@inf.puc-rio.br; lopes@inf.puc-rio.br; daniel.mendez@bth.se</t>
  </si>
  <si>
    <t xml:space="preserve">Lopes, Helio/A-2369-2009</t>
  </si>
  <si>
    <t xml:space="preserve">Lopes, Helio/0000-0003-4584-1455; Kalinowski, Marcos/0000-0003-1445-3425; Villamizar, Hugo/0000-0003-4142-6967; Mendez Fernandez, Daniel/0000-0003-0619-6027</t>
  </si>
  <si>
    <t xml:space="preserve">CAPES; CNPq [312827/2020-2]</t>
  </si>
  <si>
    <t xml:space="preserve">CAPES(Coordenacao de Aperfeicoamento de Pessoal de Nivel Superior (CAPES)); CNPq(Conselho Nacional de Desenvolvimento Cientifico e Tecnologico (CNPQ))</t>
  </si>
  <si>
    <t xml:space="preserve">We would like to thank the employees of Loggi, of the ExACTa Initiative at PUC-Rio and of Americanas S.A. Thanks also for the financial support of the Brazilian CAPES and CNPq agencies (grant 312827/2020-2) .</t>
  </si>
  <si>
    <t xml:space="preserve">10.1016/j.jss.2024.112053</t>
  </si>
  <si>
    <t xml:space="preserve">SK7I2</t>
  </si>
  <si>
    <t xml:space="preserve">WOS:001234407600001</t>
  </si>
  <si>
    <t xml:space="preserve">Wnuk, K; Madeyski, L; Abdeen, W; Penmetsa, S; Lingampalli, N</t>
  </si>
  <si>
    <t xml:space="preserve">Nguyen, NT; Franczyk, B; Ludwig, A; Nunez, M; Treur, J; Vossen, G; Kozierkiewicz, A</t>
  </si>
  <si>
    <t xml:space="preserve">Wnuk, Krzysztof; Madeyski, Lech; Abdeen, Waleed; Penmetsa, Sneha; Lingampalli, Navya</t>
  </si>
  <si>
    <t xml:space="preserve">An Empirical Analysis of the Usage of Requirements Attributes in Requirements Engineering Research and Practice</t>
  </si>
  <si>
    <t xml:space="preserve">COMPUTATIONAL COLLECTIVE INTELLIGENCE, PT II, ICCCI 2024</t>
  </si>
  <si>
    <t xml:space="preserve">Lecture Notes in Artificial Intelligence</t>
  </si>
  <si>
    <t xml:space="preserve">16th International Conference on Computational Collective Intelligence (ICCCI)</t>
  </si>
  <si>
    <t xml:space="preserve">SEP 09-11, 2024</t>
  </si>
  <si>
    <t xml:space="preserve">Leipzig Univ, Leipzig, GERMANY</t>
  </si>
  <si>
    <t xml:space="preserve">Wroclaw Univ Sci &amp; Tech,IEEE SMC Tech Comm Comp Collect Intelligence,European Res Center Informat Systems,Int Univ-VNU-HCM</t>
  </si>
  <si>
    <t xml:space="preserve">Leipzig Univ</t>
  </si>
  <si>
    <t xml:space="preserve">requirements attributes; case study; literature review; empirical study; requirements management</t>
  </si>
  <si>
    <t xml:space="preserve">Requirements attributes play an important role in storing and managing meta-information about requirements. This paper presents the results of a literature review and two industrial case studies performed at two large organizations developing software-intensive products for a global market. We performed seven snowballing iterations and identified 18 studies where we extracted requirements attributes. Next, we compare these identified attributes with those of two large companies developing software-intensive products for a global market. We found common attributes that describe stakeholders and roles, support change management, tracing and communication, tracking the status, and estimating the business value of requirements.</t>
  </si>
  <si>
    <t xml:space="preserve">[Wnuk, Krzysztof; Madeyski, Lech; Abdeen, Waleed; Penmetsa, Sneha; Lingampalli, Navya] Blekinge Inst Technol, Karlskrona, Sweden; [Madeyski, Lech] Wroclaw Univ Sci &amp; Technol, Wroclaw, Poland</t>
  </si>
  <si>
    <t xml:space="preserve">Blekinge Institute Technology; Wroclaw University of Science &amp; Technology</t>
  </si>
  <si>
    <t xml:space="preserve">Wnuk, K (corresponding author), Blekinge Inst Technol, Karlskrona, Sweden.</t>
  </si>
  <si>
    <t xml:space="preserve">krw@bth.se; lech.madeyski@pwr.edu.pl; wxa@bth.se</t>
  </si>
  <si>
    <t xml:space="preserve">Madeyski, Lech/0000-0003-3907-3357</t>
  </si>
  <si>
    <t xml:space="preserve">2945-9133</t>
  </si>
  <si>
    <t xml:space="preserve">978-3-031-70818-3; 978-3-031-70819-0</t>
  </si>
  <si>
    <t xml:space="preserve">LECT NOTES ARTIF INT</t>
  </si>
  <si>
    <t xml:space="preserve">10.1007/978-3-031-70819-0_3</t>
  </si>
  <si>
    <t xml:space="preserve">BX8JV</t>
  </si>
  <si>
    <t xml:space="preserve">WOS:001331826200003</t>
  </si>
  <si>
    <t xml:space="preserve">Stentagg, M; Skär, L; Lindberg, T</t>
  </si>
  <si>
    <t xml:space="preserve">Stentagg, Magnus; Skar, Lisa; Lindberg, Terese</t>
  </si>
  <si>
    <t xml:space="preserve">Sexuality is not age-related: an interview study</t>
  </si>
  <si>
    <t xml:space="preserve">SEXUAL AND RELATIONSHIP THERAPY</t>
  </si>
  <si>
    <t xml:space="preserve">Aging; nursing; older people; sexual health; sexuality</t>
  </si>
  <si>
    <t xml:space="preserve">LATER LIFE; HEALTH</t>
  </si>
  <si>
    <t xml:space="preserve">Increased knowledge of how sexuality is expressed in older persons may create opportunities for healthcare professionals to perform care according to a person-centered approach. To describe older people's experiences of sexuality concerning aging, a qualitative study was conducted. Eight persons aged 60 and above were interviewed, and the obtained data were analyzed using content analysis. The findings revealed that the participants were certain of being sexually active as they got older. Awareness of what old age can bring regarding illness and increased medication intake was clear, alongside the importance of discussing sexuality with friends or a partner. Age was not seen as an obstacle to continuously being sexually active, and new ways to maintain intimacy and sexuality were identified. According to our results sexuality in older people is about well-being and intimate relationships. Creating opportunities for a trusting, caring relationship can strengthen older people's sexual health. Healthcare professionals must, therefore, make possibilities for trustful relationships to support and discuss sexuality with older people. In this study, eight persons aged 60 and above were interviewed about their experiences of sexuality concerning aging. They described sexuality in terms of well-being and intimate relationships and spoke about the need for support and discussions about sexuality in meetings with healthcare personnel.</t>
  </si>
  <si>
    <t xml:space="preserve">[Stentagg, Magnus] Malmo Univ, Malmo, Sweden; [Skar, Lisa; Lindberg, Terese] Blekinge Inst Technol, Dept Hlth, Karlskrona, Sweden; [Lindberg, Terese] Blekinge Inst technol, Dept Hlth, SE-37179 Karlskrona, Sweden</t>
  </si>
  <si>
    <t xml:space="preserve">Malmo University; Blekinge Institute Technology; Blekinge Institute Technology</t>
  </si>
  <si>
    <t xml:space="preserve">Lindberg, T (corresponding author), Blekinge Inst technol, Dept Hlth, SE-37179 Karlskrona, Sweden.</t>
  </si>
  <si>
    <t xml:space="preserve">1468-1994</t>
  </si>
  <si>
    <t xml:space="preserve">1468-1749</t>
  </si>
  <si>
    <t xml:space="preserve">SEX RELATSH THER</t>
  </si>
  <si>
    <t xml:space="preserve">Sex. Relatsh. Ther.</t>
  </si>
  <si>
    <t xml:space="preserve">10.1080/14681994.2023.2259325</t>
  </si>
  <si>
    <t xml:space="preserve">Psychology, Clinical</t>
  </si>
  <si>
    <t xml:space="preserve">Psychology</t>
  </si>
  <si>
    <t xml:space="preserve">W7C6O</t>
  </si>
  <si>
    <t xml:space="preserve">WOS:001080714600001</t>
  </si>
  <si>
    <t xml:space="preserve">Palm, BG; Javadi, S; Vu, VT; Pettersson, MI; Sjögren, T</t>
  </si>
  <si>
    <t xml:space="preserve">Zelnio, E; Garber, FD</t>
  </si>
  <si>
    <t xml:space="preserve">Palm, Bruna G.; Javadi, Saleh; Vu, Viet T.; Pettersson, Mats I.; Sjogren, Thomas</t>
  </si>
  <si>
    <t xml:space="preserve">Wavelength Resolution SAR Change Detection: New Measurement Campaign for New Research Data Set</t>
  </si>
  <si>
    <t xml:space="preserve">ALGORITHMS FOR SYNTHETIC APERTURE RADAR IMAGERY XXX</t>
  </si>
  <si>
    <t xml:space="preserve">Conference on Algorithms for Synthetic Aperture Radar Imagery XXX</t>
  </si>
  <si>
    <t xml:space="preserve">MAY 02-03, 2023</t>
  </si>
  <si>
    <t xml:space="preserve">Change detection; SAR images; Wavelength resolution SAR data</t>
  </si>
  <si>
    <t xml:space="preserve">CARABAS; PERFORMANCE</t>
  </si>
  <si>
    <t xml:space="preserve">This paper describes a new measurement campaign for SAR images. The data consists of images collected by the Swedish LORA system associated with VHF-band (19-90 MHz). Due to the system frequency, detecting targets concealed in a forest is possible. Thus, this paper aims to share with the community the results of utilizing new VHF-band SAR data that allows the development of new methods for target and other change detection. In particular, to show the applicability of the new data set, a simple change detection method was performed to detect targets in a forest, resulting in 100% of detection, associated with no false alarm in a particular region of interest.</t>
  </si>
  <si>
    <t xml:space="preserve">[Palm, Bruna G.; Javadi, Saleh; Vu, Viet T.; Pettersson, Mats I.] Blekinge Inst Technol, Karlskrona, Sweden; [Sjogren, Thomas] Swedish Def Res Agcy, Linkoping, Sweden</t>
  </si>
  <si>
    <t xml:space="preserve">Palm, BG (corresponding author), Blekinge Inst Technol, Karlskrona, Sweden.</t>
  </si>
  <si>
    <t xml:space="preserve">bruna.palm@bth.se</t>
  </si>
  <si>
    <t xml:space="preserve">Javadi, Saleh/0000-0002-6834-5676; Pettersson, Mats/0000-0002-6643-312X</t>
  </si>
  <si>
    <t xml:space="preserve">978-1-5106-6154-7; 978-1-5106-6155-4</t>
  </si>
  <si>
    <t xml:space="preserve">10.1117/12.2663452</t>
  </si>
  <si>
    <t xml:space="preserve">Computer Science, Artificial Intelligence; Remote Sensing; Telecommunications</t>
  </si>
  <si>
    <t xml:space="preserve">Computer Science; Remote Sensing; Telecommunications</t>
  </si>
  <si>
    <t xml:space="preserve">BV2ZP</t>
  </si>
  <si>
    <t xml:space="preserve">WOS:001012855700008</t>
  </si>
  <si>
    <t xml:space="preserve">Palma, F; Olsson, T; Wingkvist, A; Gonzalez-Huerta, J</t>
  </si>
  <si>
    <t xml:space="preserve">Palma, Francis; Olsson, Tobias; Wingkvist, Anna; Gonzalez-Huerta, Javier</t>
  </si>
  <si>
    <t xml:space="preserve">Assessing the linguistic quality of REST APIs for IoT applications</t>
  </si>
  <si>
    <t xml:space="preserve">REST APIs; IoT applications; Linguistic quality; Pattern; Antipattern; Detection</t>
  </si>
  <si>
    <t xml:space="preserve">Internet of Things (IoT) is a growing technology that relies on connected 'things' that gather data from peer devices and send data to servers via APIs (Application Programming Interfaces). The design quality of those APIs has a direct impact on their understandability and reusability. This study focuses on the linguistic design quality of REST APIs for IoT applications and assesses their linguistic quality by performing the detection of linguistic patterns and antipatterns in REST APIs for IoT applications. Linguistic antipatterns are considered poor practices in the naming, documentation, and choice of identifiers. In contrast, linguistic patterns represent best practices to APIs design. The linguistic patterns and their corresponding antipatterns are hence contrasting pairs. We propose the SARAv2 (Semantic Analysis of REST APIs version two) approach to perform syntactic and semantic analyses of REST APIs for IoT applications. Based on the SARAv2 approach, we develop the REST-Ling tool and empirically validate the detection results of nine linguistic antipatterns. We analyse 19 REST APIs for IoT applications. Our detection results show that the linguistic antipatterns are prevalent and the REST-Ling tool can detect linguistic patterns and antipatterns in REST APIs for IoT applications with an average accuracy of over 80%. Moreover, the tool performs the detection of linguistic antipatterns on average in the order of seconds, i.e., 8.396 s. We found that APIs generally follow good linguistic practices, although the prevalence of poor practices exists. (C) 2022 The Author(s). Published by Elsevier Inc.</t>
  </si>
  <si>
    <t xml:space="preserve">[Palma, Francis; Olsson, Tobias; Wingkvist, Anna] Linnaeus Univ, Dept Comp Sci &amp; Media Technol, Vaxjo, Sweden; [Gonzalez-Huerta, Javier] Blekinge Inst Technol, Dept Software Engn, Karlskrona, Sweden</t>
  </si>
  <si>
    <t xml:space="preserve">Palma, F (corresponding author), Linnaeus Univ, Dept Comp Sci &amp; Media Technol, Vaxjo, Sweden.</t>
  </si>
  <si>
    <t xml:space="preserve">francis.palma@lnu.se; tobias.olsson@lnu.se; anna.wingkvist@lnu.se; javier.gonzalez.huerta@bth.se</t>
  </si>
  <si>
    <t xml:space="preserve">Palma, Francis/HPC-9574-2023; Gonzalez-Huerta, Javier/V-4258-2019</t>
  </si>
  <si>
    <t xml:space="preserve">Wingkvist, Anna/0000-0002-0835-823X; Olsson, Tobias/0000-0003-1154-5308</t>
  </si>
  <si>
    <t xml:space="preserve">Knowledge Foundation, Sweden [2017/0176]; Linnaeus University Centre for Data Intensive Sciences and Applications (DISA) , Sweden</t>
  </si>
  <si>
    <t xml:space="preserve">Knowledge Foundation, Sweden; Linnaeus University Centre for Data Intensive Sciences and Applications (DISA) , Sweden</t>
  </si>
  <si>
    <t xml:space="preserve">We would like to thank Niklas Emevi, a full stack Web de-veloper at Tieto CEM, for taking part in the validation process. We are thankful to Osama Zarraa and Ahmad Sadia for their contributions in developing the tool. We extend gratitude to The Knowledge Foundation, Sweden that partially supported this research through the SHADE H?G-project 2017/0176. This study was also conducted with the support from Linnaeus University Centre for Data Intensive Sciences and Applications (DISA) , Sweden.</t>
  </si>
  <si>
    <t xml:space="preserve">10.1016/j.jss.2022.111369</t>
  </si>
  <si>
    <t xml:space="preserve">2I1JZ</t>
  </si>
  <si>
    <t xml:space="preserve">WOS:000814741100004</t>
  </si>
  <si>
    <t xml:space="preserve">Sundelin, A; Gonzalez-huerta, J; Wnuk, K; Gorschek, T</t>
  </si>
  <si>
    <t xml:space="preserve">Sundelin, Anders; Gonzalez-huerta, Javier; Wnuk, Krzysztof; Gorschek, Tony</t>
  </si>
  <si>
    <t xml:space="preserve">Towards an Anatomy of Software Craftsmanship</t>
  </si>
  <si>
    <t xml:space="preserve">Software craftsmanship; principles of software development; deliberate practice</t>
  </si>
  <si>
    <t xml:space="preserve">Context: The concept of software craftsmanship has early roots in computing, and in 2009, theManifesto for Software Craftsmanship was formulated as a reaction to how the Agile methods were practiced and taught. But software craftsmanship has seldom been studied from a software engineering perspective. Objective: The objective of this article is to systematize an anatomy of software craftsmanship through literature studies and a longitudinal case study. Method: We performed a snowballing literature review based on an initial set of nine papers, resulting in 18 papers and 11 books. We also performed a case study following seven years of software development of a product for the financial market, eliciting qualitative, and quantitative results. We used thematic coding to synthesize the results into categories. Results: The resulting anatomy is centered around four themes, containing 17 principles and 47 hierarchical practices connected to the principles. We present the identified practices based on the experiences gathered from the case study, triangulating with the literature results. Conclusion: We provide our systematically derived anatomy of software craftsmanship with the goal of inspiring more research into the principles and practices of software craftsmanship and how these relate to other principles within software engineering in general.</t>
  </si>
  <si>
    <t xml:space="preserve">[Sundelin, Anders] Ericsson AB, S-37435 Karlskrona, Sweden; [Sundelin, Anders; Gonzalez-huerta, Javier; Wnuk, Krzysztof; Gorschek, Tony] Blekinge Inst Technol, Software Engn Res Lab, S-37435 Karlskrona, Sweden</t>
  </si>
  <si>
    <t xml:space="preserve">Sundelin, A (corresponding author), Ericsson AB, S-37435 Karlskrona, Sweden.;Sundelin, A (corresponding author), Blekinge Inst Technol, Software Engn Res Lab, S-37435 Karlskrona, Sweden.</t>
  </si>
  <si>
    <t xml:space="preserve">anders.sundelin@ericsson.com; javier.gonzalez.huerta@bth.se; krzysztof.wnuk@bth.se; tony.gorschek@bth.se</t>
  </si>
  <si>
    <t xml:space="preserve">Gonzalez-Huerta, Javier/V-4258-2019; Gorschek, Tony/E-3445-2013</t>
  </si>
  <si>
    <t xml:space="preserve">Gonzalez-Huerta, Javier/0000-0003-1350-7030; Sundelin, Anders/0000-0001-9898-2222</t>
  </si>
  <si>
    <t xml:space="preserve">10.1145/3468504</t>
  </si>
  <si>
    <t xml:space="preserve">5L8HX</t>
  </si>
  <si>
    <t xml:space="preserve">WOS:000870650700006</t>
  </si>
  <si>
    <t xml:space="preserve">Synchronous Remote Rendering for VR</t>
  </si>
  <si>
    <t xml:space="preserve">INTERNATIONAL JOURNAL OF COMPUTER GAMES TECHNOLOGY</t>
  </si>
  <si>
    <t xml:space="preserve">Remote rendering for VR is a technology that enables high-quality VR on low-powered devices. This is realized by offloading heavy computation and rendering to high-powered servers that stream VR as video to the clients. This article focuses on one specific issue in remote rendering when imperfect frame timing between client and server may cause recurring frame drops. We propose a system design that executes synchronously and eliminates the aforementioned problem. The design is presented, and an implementation is tested using various networks and hardware. The design cannot drop frames due to synchronization issues but may on the other hand stall if temporal disturbances occur, e.g., due to network delay spikes or loss. However, experiments confirm that such events can remain rare given an appropriate environment. For example, remote rendering on an intranet at 90 fps with a server located approximately 50 km away yielded just 0.002% stalled frames while rendering with extra latency corresponding to the duration of exactly one frame (11.1 ms at 90 fps). In a LAN without extra latency setting, i.e., with latency equal to locally rendered VR, 0.009% stalls were observed while using a wired Ethernet connection and 0.058% stalls when using 5 GHz wireless IEEE 802.11 ac.</t>
  </si>
  <si>
    <t xml:space="preserve">[Kelkkanen, Viktor] Blekinge Inst Technol, Dept Comp Sci, S-37179 Karlskrona, Sweden; [Fiedler, Markus] Blekinge Inst Technol, Dept Technol &amp; Aesthet, S-37435 Karlshamn, Sweden; [Lindero, David] Ericsson AB, Ericsson Res, S-97753 Lulea, Sweden</t>
  </si>
  <si>
    <t xml:space="preserve">Kelkkanen, V (corresponding author), Blekinge Inst Technol, Dept Comp Sci, S-37179 Karlskrona, Sweden.</t>
  </si>
  <si>
    <t xml:space="preserve">Fiedler, Markus/0000-0001-8929-4911; KELKKANEN, VIKTOR/0000-0002-0536-7165</t>
  </si>
  <si>
    <t xml:space="preserve">KK Foundation, Sweden, through the project ViaTecH [20170056]</t>
  </si>
  <si>
    <t xml:space="preserve">KK Foundation, Sweden, through the project ViaTecH</t>
  </si>
  <si>
    <t xml:space="preserve">Thanks to Mattias Schertell and Siamak Khatibi for letting us borrow their server with the GTX Titan X GPU. Thanks to Bjorn Mattsson for setting up the intranet network environment at BTH. Thanks to the anonymous reviewers for your feedback. Thanks to Jesper Gladh for running around at LTU and doing the 5G measurements. And finally, thanks to Hans-Jurgen Zepernick and our colleagues in the ViaTecH project for fruitful discussions and feedback. This work was supported in part by the KK Foundation, Sweden, through the project ViaTecH under contract number (20170056).</t>
  </si>
  <si>
    <t xml:space="preserve">1687-7047</t>
  </si>
  <si>
    <t xml:space="preserve">1687-7055</t>
  </si>
  <si>
    <t xml:space="preserve">INT J COMPUT GAMES T</t>
  </si>
  <si>
    <t xml:space="preserve">Int. J. Comput. Games Technol.</t>
  </si>
  <si>
    <t xml:space="preserve">JUL 20</t>
  </si>
  <si>
    <t xml:space="preserve">10.1155/2021/6676644</t>
  </si>
  <si>
    <t xml:space="preserve">TT2PV</t>
  </si>
  <si>
    <t xml:space="preserve">WOS:000680193300001</t>
  </si>
  <si>
    <t xml:space="preserve">New Forms of Likelihood Ratio Test for SAR Change Detection</t>
  </si>
  <si>
    <t xml:space="preserve">Synthetic aperture radar; Clutter; Testing; Surveillance; Probability; Radar polarimetry; Licenses; Change detection; normal distribution; SAR; TanDEM-X</t>
  </si>
  <si>
    <t xml:space="preserve">The Neyman-Pearson lemma, i.e., the likelihood ratio test and its generalized version, have been used for the development of the synthetic aperture radar (SAR) change detection methods. For detecting changes caused by targets on the ground such as vehicles, a target model, or at least certain assumptions concerning the targets, is always required for deriving a statistical hypothesis test. Without the prior knowledge on targets, it is difficult to make any assumption. An inappropriate assumption can degrade change detection performance significantly. To avoid this technical issue, some new forms of likelihood ratio test for SAR change detection are introduced in this paper. The proposed forms are shown to be flexible. They can be utilized to develop change detection methods for different types of data, e.g., data in scalar form, data in vector form, data represented in complex number, and data represented in real number. The flexibility of the proposed forms is also shown by the capability to implement change detection methods in the iterative and non-iterative ways. For the illustration purpose, a new change detection method is developed on one of the introduced forms and tested with TanDEM-X data measured in Karlshamn, Sweden in 2016.</t>
  </si>
  <si>
    <t xml:space="preserve">[Vu, Viet T.; Pettersson, Mats, I] Blekinge Inst Technol, S-37179 Karlskrona, Sweden; [Sjogren, Thomas K.] Swedish Def Res Agcy, Linkoping, Sweden</t>
  </si>
  <si>
    <t xml:space="preserve">Pettersson, Mats/0000-0002-6643-312X; Sjogren, Thomas/0000-0002-9663-5902</t>
  </si>
  <si>
    <t xml:space="preserve">10.1109/ACCESS.2021.3111039</t>
  </si>
  <si>
    <t xml:space="preserve">UT0HY</t>
  </si>
  <si>
    <t xml:space="preserve">WOS:000697807600001</t>
  </si>
  <si>
    <t xml:space="preserve">Vendor Switching: Factors that matter when engineers onboard their own replacement</t>
  </si>
  <si>
    <t xml:space="preserve">Global software engineering; Offshore outsourcing; Vendor switching; Opportunism; Knowledge transfer; Empirical</t>
  </si>
  <si>
    <t xml:space="preserve">COMMITMENT</t>
  </si>
  <si>
    <t xml:space="preserve">Offshore outsourcing is a common way of working, but sourcing collaborations do not always last, and sometimes vendors are switched. Vendor switching results in a complex form of relationship, in which the competing outgoing and incoming vendors are expected to cooperate. The success of such transitions highly depends on successful knowledge transfer and thus the willingness of the outgoing vendor to train their own replacement. While switching decisions have gained attention, the role of the vendor relationship is still relatively unexplored. In this paper, we report findings from a multicase study of vendor switching in three projects based on 22 interviews with 27 interviewees. We developed a theoretical model explaining the complex interplay between the factors affecting such transitions. Our results confirm that opportunistic behavior of outgoing vendors is a probable threat. We found that the vendor relationship moderates the link between initial negative emotions and the opportunistic behavior of the outgoing vendor. Other important factors affecting the success of the transition include the relationship with the client, outgoing vendor's management engagement, and the cultural and organizational fit between vendors. We conclude with recommendations for companies switching vendors. (C) 2020 Elsevier Inc. All rights reserved.</t>
  </si>
  <si>
    <t xml:space="preserve">[Smite, Darja] Blekinge Inst Technol, Software Engn, Karlskrona, Sweden; [Moe, Nils Brede] SINTEF Digital, Trondheim, Norway</t>
  </si>
  <si>
    <t xml:space="preserve">Smite, D (corresponding author), Blekinge Inst Technol, Software Engn, Karlskrona, Sweden.</t>
  </si>
  <si>
    <t xml:space="preserve">Darja.Smite@bth.se; Nils.B.Moe@sintef.no</t>
  </si>
  <si>
    <t xml:space="preserve">GoLD project; Swedish Knowledge Foundation under the KKHog grant [2016/0191]; A-team project; Research council of Norway [267704, 285542]; SMED project</t>
  </si>
  <si>
    <t xml:space="preserve">GoLD project; Swedish Knowledge Foundation under the KKHog grant; A-team project; Research council of Norway(Research Council of Norway); SMED project</t>
  </si>
  <si>
    <t xml:space="preserve">We would like to thank the studied client company for their engagement in our research, and especially for opening the doors to their external vendors, which is uncommon in outsourcing research studies. This research is partially funded by the GoLD project and the Swedish Knowledge Foundation under the KKHog grant 2016/0191, by the A-team project and the Research council of Norway through grant 267704 and by the SMED project and the Research council of Norway through grant 285542.</t>
  </si>
  <si>
    <t xml:space="preserve">10.1016/j.jss.2020.110719</t>
  </si>
  <si>
    <t xml:space="preserve">WOS:000567509300002</t>
  </si>
  <si>
    <t xml:space="preserve">Machado, N; Öinert, J; Wagner, S</t>
  </si>
  <si>
    <t xml:space="preserve">Machado, Nata; Oinert, Johan; Wagner, Stefan</t>
  </si>
  <si>
    <t xml:space="preserve">Non-Abelian Extensions of Groupoids and Their Groupoid Rings</t>
  </si>
  <si>
    <t xml:space="preserve">APPLIED CATEGORICAL STRUCTURES</t>
  </si>
  <si>
    <t xml:space="preserve">Non-Abelian extension of groupoids; Factor system; Groupoid cohomology; Groupoid crossed product; Groupoid ring</t>
  </si>
  <si>
    <t xml:space="preserve">We present a geometrically oriented classification theory for non-Abelian extensions of groupoids generalizing the classification theory for Abelian extensions of groupoids by Westman as well as the familiar classification theory for non-Abelian extensions of groups by Schreier and Eilenberg-MacLane. As an application of our techniques we demonstrate that each extension of groupoids N -&gt;epsilon -&gt; G gives rise to a groupoid crossed product of G by the groupoid ring of N which recovers the groupoid ring of epsilon up to isomorphism. Furthermore, we make the somewhat surprising observation that our classification methods naturally transfer to the class of groupoid crossed products, thus providing a classification theory for this class of rings. Our study is motivated by the search for natural examples of groupoid crossed products.</t>
  </si>
  <si>
    <t xml:space="preserve">[Machado, Nata] Univ Fed Santa Catarina, Dept Matemat, BR-88040900 Florianopolis, Brazil; [Oinert, Johan; Wagner, Stefan] Blekinge Inst Technol, Dept Math &amp; Nat Sci, SE-37179 Karlskrona, Sweden</t>
  </si>
  <si>
    <t xml:space="preserve">n.machado@ufsc.br; johan.oinert@bth.se; stefan.wagner@bth.se</t>
  </si>
  <si>
    <t xml:space="preserve">Coordenaco de Aperfeicoamento de Pessoal de Nivel Superior- Brasil (CAPES) [001]</t>
  </si>
  <si>
    <t xml:space="preserve">Coordenaco de Aperfeicoamento de Pessoal de Nivel Superior- Brasil (CAPES)(Coordenacao de Aperfeicoamento de Pessoal de Nivel Superior (CAPES))</t>
  </si>
  <si>
    <t xml:space="preserve">The first named author was financed by the Coordenac &amp; atilde;o de Aperfeicoamento de Pessoal de Nivel Superior- Brasil (CAPES)- Finance Code 001.</t>
  </si>
  <si>
    <t xml:space="preserve">0927-2852</t>
  </si>
  <si>
    <t xml:space="preserve">1572-9095</t>
  </si>
  <si>
    <t xml:space="preserve">APPL CATEGOR STRUCT</t>
  </si>
  <si>
    <t xml:space="preserve">Appl. Categ. Struct.</t>
  </si>
  <si>
    <t xml:space="preserve">10.1007/s10485-024-09795-8</t>
  </si>
  <si>
    <t xml:space="preserve">P7G5N</t>
  </si>
  <si>
    <t xml:space="preserve">WOS:001379547600001</t>
  </si>
  <si>
    <t xml:space="preserve">Wang, LM; Zhao, XZ; Yang, D; Liu, ZL; Kulesza, WJ; Tang, JM; Zhang, W</t>
  </si>
  <si>
    <t xml:space="preserve">Wang, Liming; Zhao, Xuanzhi; Yang, Di; Liu, Zengli; Kulesza, Wlodek J.; Tang, Jingmin; Zhang, Wen</t>
  </si>
  <si>
    <t xml:space="preserve">Optimizing DV-Hop localization through topology-based straight-line distance estimation</t>
  </si>
  <si>
    <t xml:space="preserve">COMPUTER NETWORKS</t>
  </si>
  <si>
    <t xml:space="preserve">Wireless sensor networks; Planar topological structure; DV-Hop; Path's Straight Distance; Euler's four-point formula; Geometric modeling</t>
  </si>
  <si>
    <t xml:space="preserve">ALGORITHM; OPTIMIZATION</t>
  </si>
  <si>
    <t xml:space="preserve">Wireless sensor networks often use a distributed configuration and rely on self-organizing mechanisms to integrate local information into a global context. This paper considers the 3-hop path as the basic component of a multi-hop path; the 3-hop path has two types of planar topological structures,'S'-shaped and 'U'-shaped. This paper provides a deduction of all possible topological structures when a 4-hop structure is merged into a 3-hop structure. Additionally, it offers an iterative method for determining the overall direct distance between the start and end points of an n-hop path along a polyline, given that each node is aware of the distances to nearby nodes. Euler's four-point formula is utilized in the proposed method to perform two key functions: identifying whether a 3-hop path is 'U'-shaped or 'S'-shaped and calculating the straight-line distance within a virtual quadrilateral. The above method is combined with the distance vector routing (DV-Hop) algorithm, and the resulting algorithm is called Path's Straight Distance DV-Hop (PSDDV-Hop). PSDDV-Hop significantly increases the accuracy of localization by eliminating the polyline bending errors in the distance estimation for an n-hop path. Several issues related to the implementation of PSDDV-Hop are analyzed, and corresponding solutions are provided, including a method of estimating the straight-line distance within no more than 3hop and the replacement of nonlinear distance-area functions with linear fitting to reduce complexity and compensate for estimation bias. Two distinct strategies for setting the communication radius are introduced to accommodate diverse scenarios. Ultimately, the experiments confirm that PSDDV-Hop provides greater accuracy in localization across diverse network configurations.</t>
  </si>
  <si>
    <t xml:space="preserve">[Wang, Liming; Zhao, Xuanzhi; Yang, Di; Liu, Zengli; Tang, Jingmin; Zhang, Wen] Kunming Univ Sci &amp; Technol, Kunming 650500, Peoples R China; [Kulesza, Wlodek J.] Blekinge Inst Technol, Karlskrona, Sweden</t>
  </si>
  <si>
    <t xml:space="preserve">Kunming University of Science &amp; Technology; Blekinge Institute Technology</t>
  </si>
  <si>
    <t xml:space="preserve">Zhao, XZ; Tang, JM (corresponding author), Kunming Univ Sci &amp; Technol, Kunming 650500, Peoples R China.</t>
  </si>
  <si>
    <t xml:space="preserve">zhaoxuanzhi@kust.edu.cn; 20110101@kust.edu.cn</t>
  </si>
  <si>
    <t xml:space="preserve">Yang, Di/KZV-6475-2024; Wang, Liming/A-6924-2012</t>
  </si>
  <si>
    <t xml:space="preserve">Defense Science and Technology Key Laboratory Fund [2023JCJQLB3301]</t>
  </si>
  <si>
    <t xml:space="preserve">Defense Science and Technology Key Laboratory Fund</t>
  </si>
  <si>
    <t xml:space="preserve">We will thank the anonymous reviewers for their valuable comments, which helped us improve the content, structure, and organization of this paper. This research was supported by the Defense Science and Technology Key Laboratory Fund under Grant No. 2023JCJQLB3301.</t>
  </si>
  <si>
    <t xml:space="preserve">1389-1286</t>
  </si>
  <si>
    <t xml:space="preserve">1872-7069</t>
  </si>
  <si>
    <t xml:space="preserve">COMPUT NETW</t>
  </si>
  <si>
    <t xml:space="preserve">Comput. Netw.</t>
  </si>
  <si>
    <t xml:space="preserve">10.1016/j.comnet.2024.111025</t>
  </si>
  <si>
    <t xml:space="preserve">Computer Science, Hardware &amp; Architecture; Computer Science, Information Systems; Engineering, Electrical &amp; Electronic; Telecommunications</t>
  </si>
  <si>
    <t xml:space="preserve">S6M7L</t>
  </si>
  <si>
    <t xml:space="preserve">WOS:001399345900001</t>
  </si>
  <si>
    <t xml:space="preserve">Kruchten, P; Gregory, P</t>
  </si>
  <si>
    <t xml:space="preserve">Defining a Remote Work Policy: Aligning Actions and Intentions</t>
  </si>
  <si>
    <t xml:space="preserve">AGILE PROCESSES IN SOFTWARE ENGINEERING AND EXTREME PROGRAMMING - WORKSHOPS, XP 2022 WORKSHOPS, XP 2023 WORKSHOPS</t>
  </si>
  <si>
    <t xml:space="preserve">Flexible work policy; Flexibility; Remote work; Work from home; WFH; Hybrid work; Management; Teams</t>
  </si>
  <si>
    <t xml:space="preserve">FUTURE</t>
  </si>
  <si>
    <t xml:space="preserve">After the long period of forced work from home, many knowledge workers have not only developed a strong habit of remote work, but also consider flexibility as their personal right and no longer as a privilege. Existing research suggest that the majority prefers to work two or three days per week from home and are likely to quit or search for a new job if forced to return to full time office work. Given these changes, companies are challenged to alter their work policies and satisfy the employee demands to retain talents. The subsequent decrease in office presence, also calls for transformations in the offices, as the free space opens up opportunities for cutting the rental costs, as well as the other expenses related to office maintenance, amenities, and perks. In this paper, we report our findings from comparing work policies in three Nordic tech and fintech companies and identify the discrepancies in the way the corporate intentions are communicated to the employees. We discuss the need for a more systematic approach to setting the goals behind a revised work policy and aligning the intensions with the company's actions. Further, we discuss the need to resolve the inherent conflicts of interest between the individual employees (flexibility, individual productivity, and wellbeing) and the companies (profitability, quality of products and services, employee retention, attractiveness in the job market).</t>
  </si>
  <si>
    <t xml:space="preserve">Research Council of Norway [309344]; Swedish Knowledge Foundation through the KK-Hog project WorkFlex [2022/0047]</t>
  </si>
  <si>
    <t xml:space="preserve">Research Council of Norway(Research Council of Norway); Swedish Knowledge Foundation through the KK-Hog project WorkFlex</t>
  </si>
  <si>
    <t xml:space="preserve">This research is funded by the Research Council of Norway through the 10xTeams project (grant 309344) and the Swedish Knowledge Foundation through the KK-Hog project WorkFlex (grant 2022/0047).</t>
  </si>
  <si>
    <t xml:space="preserve">978-3-031-48549-7; 978-3-031-48550-3</t>
  </si>
  <si>
    <t xml:space="preserve">10.1007/978-3-031-48550-3_15</t>
  </si>
  <si>
    <t xml:space="preserve">BX4KG</t>
  </si>
  <si>
    <t xml:space="preserve">WOS:001290448500016</t>
  </si>
  <si>
    <t xml:space="preserve">Mattsson, P; Reshid, A</t>
  </si>
  <si>
    <t xml:space="preserve">Mattsson, Pontus; Reshid, Abdulaziz</t>
  </si>
  <si>
    <t xml:space="preserve">Productivity divergence and the role of digitalisation</t>
  </si>
  <si>
    <t xml:space="preserve">Productivity divergence; Digitalisation; Laggard firms; Firm dynamics</t>
  </si>
  <si>
    <t xml:space="preserve">CREATES JOBS; FIRM GROWTH; SELECTION</t>
  </si>
  <si>
    <t xml:space="preserve">Productivity development in general has been extensively studied. Behind the aggregates, there are a variety of firms which potentially show substantial productivity differences. The productivity distribution is, to a large extent, unexploited in a Swedish context. This paper investigates productivity development in different parts of the productivity distribution, trends in the rate of mobility of the least productive firms to the upper productivity ladder, and whether differences can be observed depending on the digital intensity and the intangible asset intensity of the sector. We find increases in productivity differences over time, with greater increases in digital-intensive sectors and sectors characterised by a large share of intangible assets. Although there is a positive catch-up rate of laggard firms, the catch-up effect in the above sectors is found to decline over time, which is a sign of increasing barriers to the adoption and diffusion of new technology and knowledge over time. Moreover, the catch-up is stronger for young firms and firms with higher levels of managerial quality. Policies designed to promote the absorptive capabilities, firm dynamics and knowledge diffusion can be effective tools to promote strong catch-up of laggard firms as well as productivity growth in general.&amp; COPY; 2023 Economic Society of Australia, Queensland. Published by Elsevier B.V. All rights reserved.</t>
  </si>
  <si>
    <t xml:space="preserve">[Mattsson, Pontus; Reshid, Abdulaziz] Swedish Agcy Growth Policy Anal, Studentplan 3, S-83140 Ostersund, Sweden; [Mattsson, Pontus] Swedish Post &amp; Telecom Author, Stockholm, Sweden; [Mattsson, Pontus] Blekinge Inst Technol, Dept Ind Econ &amp; Management, Karlskrona, Sweden</t>
  </si>
  <si>
    <t xml:space="preserve">Mattsson, P (corresponding author), Swedish Agcy Growth Policy Anal, Studentplan 3, S-83140 Ostersund, Sweden.;Mattsson, P (corresponding author), Swedish Post &amp; Telecom Author, Stockholm, Sweden.;Mattsson, P (corresponding author), Blekinge Inst Technol, Dept Ind Econ &amp; Management, Karlskrona, Sweden.</t>
  </si>
  <si>
    <t xml:space="preserve">pontus.mattsson@pts.se; abdulaziz.reshid@tillvaxtanalys.se</t>
  </si>
  <si>
    <t xml:space="preserve">Reshid, Abdulaziz/0000-0002-2905-6281</t>
  </si>
  <si>
    <t xml:space="preserve">10.1016/j.eap.2023.07.005</t>
  </si>
  <si>
    <t xml:space="preserve">P5YI3</t>
  </si>
  <si>
    <t xml:space="preserve">WOS:001051425800001</t>
  </si>
  <si>
    <t xml:space="preserve">Dost, S; Saud, F; Shabbir, M; Khan, MG; Shahid, M; Lovstrom, B</t>
  </si>
  <si>
    <t xml:space="preserve">Dost, Shahi; Saud, Faryal; Shabbir, Maham; Khan, Muhammad Gufran; Shahid, Muhammad; Lovstrom, Benny</t>
  </si>
  <si>
    <t xml:space="preserve">Reduced reference image and video quality assessments: review of methods</t>
  </si>
  <si>
    <t xml:space="preserve">EURASIP JOURNAL ON IMAGE AND VIDEO PROCESSING</t>
  </si>
  <si>
    <t xml:space="preserve">Multimedia quality assessment; Reduced reference image quality approaches; Image quality parameters; Reduced reference video quality approaches; Video quality parameters</t>
  </si>
  <si>
    <t xml:space="preserve">STRUCTURAL SIMILARITY; NATURAL SCENE; INFORMATION; DCT; CLASSIFICATION; COMPRESSION; TRANSFORM; FRAMEWORK; INDEX</t>
  </si>
  <si>
    <t xml:space="preserve">With the growing demand for image and video-based applications, the requirements of consistent quality assessment metrics of image and video have increased. Different approaches have been proposed in the literature to estimate the perceptual quality of images and videos. These approaches can be divided into three main categories; full reference (FR), reduced reference (RR) and no-reference (NR). In RR methods, instead of providing the original image or video as a reference, we need to provide certain features (i.e., texture, edges, etc.) of the original image or video for quality assessment. During the last decade, RR-based quality assessment has been a popular research area for a variety of applications such as social media, online games, and video streaming. In this paper, we present review and classification of the latest research work on RR-based image and video quality assessment. We have also summarized different databases used in the field of 2D and 3D image and video quality assessment. This paper would be helpful for specialists and researchers to stay well-informed about recent progress of RR-based image and video quality assessment. The review and classification presented in this paper will also be useful to gain understanding of multimedia quality assessment and state-of-the-art approaches used for the analysis. In addition, it will help the reader select appropriate quality assessment methods and parameters for their respective applications.</t>
  </si>
  <si>
    <t xml:space="preserve">[Dost, Shahi] TIB Leibniz Informat Ctr Sci &amp; Technol, Hannover, Germany; [Saud, Faryal; Shabbir, Maham] Natl Univ Comp &amp; Emerging Sci, Dept Comp Sci, Faisalabad, Pakistan; [Khan, Muhammad Gufran] Natl Univ Comp &amp; Emerging Sci, Dept Elect Engn, Faisalabad, Pakistan; [Shahid, Muhammad] Blekinge Inst Technol, Blekinge, Sweden; [Lovstrom, Benny] Blekinge Inst Technol, Karlskrona, Sweden</t>
  </si>
  <si>
    <t xml:space="preserve">Dost, S (corresponding author), TIB Leibniz Informat Ctr Sci &amp; Technol, Hannover, Germany.</t>
  </si>
  <si>
    <t xml:space="preserve">shahidost@gmail.com</t>
  </si>
  <si>
    <t xml:space="preserve">Shahid, Muhammad/L-9331-2014; Lövström, Benny/C-6732-2015</t>
  </si>
  <si>
    <t xml:space="preserve">DOST, Shahi/0000-0001-5712-1565</t>
  </si>
  <si>
    <t xml:space="preserve">FBK Trento, Italy; University of Padua, Italy; FAST-National University of Computer and Emerging Sciences, Chiniot-Faisalabad, Pakistan</t>
  </si>
  <si>
    <t xml:space="preserve">We would like to thank: (1) FBK Trento, Italy; (2) University of Padua, Italy, and (3) FAST-National University of Computer and Emerging Sciences, Chiniot-Faisalabad, Pakistan, for their support and providing administrative help for conducting this research.</t>
  </si>
  <si>
    <t xml:space="preserve">1687-5176</t>
  </si>
  <si>
    <t xml:space="preserve">1687-5281</t>
  </si>
  <si>
    <t xml:space="preserve">EURASIP J IMAGE VIDE</t>
  </si>
  <si>
    <t xml:space="preserve">EURASIP J. Image Video Process.</t>
  </si>
  <si>
    <t xml:space="preserve">JAN 12</t>
  </si>
  <si>
    <t xml:space="preserve">10.1186/s13640-021-00578-y</t>
  </si>
  <si>
    <t xml:space="preserve">Engineering, Electrical &amp; Electronic; Imaging Science &amp; Photographic Technology</t>
  </si>
  <si>
    <t xml:space="preserve">Engineering; Imaging Science &amp; Photographic Technology</t>
  </si>
  <si>
    <t xml:space="preserve">YF7TA</t>
  </si>
  <si>
    <t xml:space="preserve">WOS:000742003800001</t>
  </si>
  <si>
    <t xml:space="preserve">Gradolewski, D; Dziak, D; Kaniecki, D; Jaworski, A; Skakuj, M; Kulesza, WJ</t>
  </si>
  <si>
    <t xml:space="preserve">Gradolewski, Dawid; Dziak, Damian; Kaniecki, Damian; Jaworski, Adam; Skakuj, Michal; Kulesza, Wlodek J.</t>
  </si>
  <si>
    <t xml:space="preserve">A Runway Safety System Based on Vertically Oriented Stereovision</t>
  </si>
  <si>
    <t xml:space="preserve">bird monitoring; bird strike; distributed computing; runway safety; localization; Internet of Things; environmental sustainability; monitoring of avifauna; safety system; stereovision; visual sensor network</t>
  </si>
  <si>
    <t xml:space="preserve">BIRD DETECTION; RADAR SYSTEMS; RESPONSES; AIRCRAFT; IMAGES</t>
  </si>
  <si>
    <t xml:space="preserve">In 2020, over 10,000 bird strikes were reported in the USA, with average repair costs exceeding $200 million annually, rising to $1.2 billion worldwide. These collisions of avifauna with airplanes pose a significant threat to human safety and wildlife. This article presents a system dedicated to monitoring the space over an airport and is used to localize and identify moving objects. The solution is a stereovision based real-time bird protection system, which uses IoT and distributed computing concepts together with advanced HMI to provide the setup's flexibility and usability. To create a high degree of customization, a modified stereovision system with freely oriented optical axes is proposed. To provide a market tailored solution affordable for small and medium size airports, a user-driven design methodology is used. The mathematical model is implemented and optimized in MATLAB. The implemented system prototype is verified in a real environment. The quantitative validation of the system performance is carried out using fixed-wing drones with GPS recorders. The results obtained prove the system's high efficiency for detection and size classification in real-time, as well as a high degree of localization certainty.</t>
  </si>
  <si>
    <t xml:space="preserve">[Gradolewski, Dawid; Dziak, Damian; Kaniecki, Damian; Jaworski, Adam] Bioseco Sp Zoo, Budowlanych 68, PL-80298 Gdansk, Poland; [Gradolewski, Dawid; Kulesza, Wlodek J.] Blekinge Inst Technol, Dept Math &amp; Nat Sci, S-37179 Karlskrona, Sweden; [Skakuj, Michal] Ekoaviation, Ul Piecewska 30B-16, PL-80288 Gdansk, Poland</t>
  </si>
  <si>
    <t xml:space="preserve">Gradolewski, D (corresponding author), Bioseco Sp Zoo, Budowlanych 68, PL-80298 Gdansk, Poland.;Gradolewski, D (corresponding author), Blekinge Inst Technol, Dept Math &amp; Nat Sci, S-37179 Karlskrona, Sweden.</t>
  </si>
  <si>
    <t xml:space="preserve">dawid.gradolewski@bioseco.com; damian.dziak@bioseco.com; damian.kaniecki@bioseco.com; adam.jaworski@bioseco.com; ekoaviation@michalskakuj.com; wlodek.kulesza@bth.se</t>
  </si>
  <si>
    <t xml:space="preserve">This research was conducted within grant Carrying out research and development works necessary to develop a new autonomous AIRPORT FAUNA MONITORING SYSTEM (AFMS) reducing the number of collisions between aircraft and birds and mammals (No. POIR.01.01.01-00-0020/19) from The National Centre for Research and Development of Poland.</t>
  </si>
  <si>
    <t xml:space="preserve">10.3390/s21041464</t>
  </si>
  <si>
    <t xml:space="preserve">QQ7EN</t>
  </si>
  <si>
    <t xml:space="preserve">WOS:000624684500001</t>
  </si>
  <si>
    <t xml:space="preserve">Voigt, GHM; Alves, DI; Müller, C; Machado, R; Ramos, LP; Vu, VT; Pettersson, MI</t>
  </si>
  <si>
    <t xml:space="preserve">Voigt, Gustavo Henrique Mittmann; Alves, Dimas Irion; Mueller, Cristian; Machado, Renato; Ramos, Lucas Pedroso; Vu, Viet Thuy; Pettersson, Mats I.</t>
  </si>
  <si>
    <t xml:space="preserve">A Statistical Analysis for Intensity Wavelength-Resolution SAR Difference Images</t>
  </si>
  <si>
    <t xml:space="preserve">background statistics; CARABAS-II; change detection method; SAR; UWB</t>
  </si>
  <si>
    <t xml:space="preserve">This paper presents a statistical analysis of intensity wavelength-resolution synthetic aperture radar (SAR) difference images. In this analysis, Anderson Darling goodness-of-fit tests are performed, considering two different statistical distributions as candidates for modeling the clutter-plus-noise, i.e., the background statistics. The results show that the Gamma distribution is a good fit for the background of the tested SAR images, especially when compared with the Exponential distribution. Based on the results of this statistical analysis, a change detection application for the detection of concealed targets is presented. The adequate selection of the background distribution allows for the evaluated change detection method to achieve a better performance in terms of probability of detection and false alarm rate, even when compared with competitive performance change detection methods in the literature. For instance, in an experimental evaluation considering a data set obtained by the Coherent All Radio Band Sensing (CARABAS) II UWB SAR system, the evaluated change detection method reached a detection probability of 0.981 for a false alarm rate of 1/km(2).</t>
  </si>
  <si>
    <t xml:space="preserve">[Voigt, Gustavo Henrique Mittmann; Mueller, Cristian] Fed Univ Pampa UNIPAMPA, Telecommun Engn, BR-97546550 Alegrete, Brazil; [Alves, Dimas Irion; Machado, Renato; Ramos, Lucas Pedroso] Aeronaut Inst Technol ITA, Dept Telecommun, BR-12228900 Sao Jose Dos Campos, Brazil; [Vu, Viet Thuy; Pettersson, Mats I.] Blekinge Inst Technol BTH, Dept Math &amp; Nat Sci, S-37179 Karlskrona, Sweden</t>
  </si>
  <si>
    <t xml:space="preserve">Universidade Federal do Pampa; Blekinge Institute Technology</t>
  </si>
  <si>
    <t xml:space="preserve">Alves, DI (corresponding author), Aeronaut Inst Technol ITA, Dept Telecommun, BR-12228900 Sao Jose Dos Campos, Brazil.</t>
  </si>
  <si>
    <t xml:space="preserve">gustavovoigt.aluno@unipampa.edu.br; dimasirion@ita.br; cristianmuller@unipampa.edu.br; rmachado@ita.br; lucaspr@ita.br; viet.thuy.vu@bth.se; mats.pettersson@bth.se</t>
  </si>
  <si>
    <t xml:space="preserve">Irion Alves, Dimas/AAY-4651-2021; Vu, Viet/JDW-0738-2023; Ramos, Lucas/ABF-6724-2020; Machado, Renato/P-8515-2018; Pettersson, Mats/N-1063-2016</t>
  </si>
  <si>
    <t xml:space="preserve">Pettersson, Mats/0000-0002-6643-312X; Pedroso Ramos, Lucas/0000-0001-9267-6718; Machado, Renato/0000-0003-0856-5391; Irion Alves, Dimas/0000-0002-5443-6446</t>
  </si>
  <si>
    <t xml:space="preserve">Brazilian Agency National Council for Scientific and Technological Development (CNPq); Brazilian Agency Coordination for the Improvement of Higher Education Personnel (CAPES) [001]; Brazilian Agency Sao Paulo Research Foundation (FAPESP) [2020/09838-0]</t>
  </si>
  <si>
    <t xml:space="preserve">Brazilian Agency National Council for Scientific and Technological Development (CNPq)(Conselho Nacional de Desenvolvimento Cientifico e Tecnologico (CNPQ)Fundacao de Apoio a Pesquisa do Distrito Federal (FAPDF)); Brazilian Agency Coordination for the Improvement of Higher Education Personnel (CAPES)(Coordenacao de Aperfeicoamento de Pessoal de Nivel Superior (CAPES)); Brazilian Agency Sao Paulo Research Foundation (FAPESP)(Fundacao de Amparo a Pesquisa do Estado de Sao Paulo (FAPESP))</t>
  </si>
  <si>
    <t xml:space="preserve">This work was supported in part by the Brazilian Agencies National Council for Scientific and Technological Development (CNPq), Coordination for the Improvement of Higher Education Personnel (CAPES) - Finance Code 001 (Pro-Defesa IV), and Sao Paulo Research Foundation (FAPESP) under grant #2020/09838-0 (BI0S-Brazilian Institute of Data Science).</t>
  </si>
  <si>
    <t xml:space="preserve">10.3390/rs15092401</t>
  </si>
  <si>
    <t xml:space="preserve">G3IH3</t>
  </si>
  <si>
    <t xml:space="preserve">WOS:000988128500001</t>
  </si>
  <si>
    <t xml:space="preserve">Ghazi, SN; Berner, J; Anderberg, P; Berglund, JS</t>
  </si>
  <si>
    <t xml:space="preserve">Ghazi, Sarah Nauman; Berner, Jessica; Anderberg, Peter; Berglund, Johan Sanmartin</t>
  </si>
  <si>
    <t xml:space="preserve">The prevalence of eHealth literacy and its relationship with perceived health status and psychological distress during Covid-19: a cross-sectional study of older adults in Blekinge, Sweden</t>
  </si>
  <si>
    <t xml:space="preserve">BMC GERIATRICS</t>
  </si>
  <si>
    <t xml:space="preserve">eHealth literacy; COVID-19; Psychological distress; Health status; Gerontology; Aging and care; Public health; eHealth</t>
  </si>
  <si>
    <t xml:space="preserve">COGNITIVE FUNCTION; INTERNET USE; INFORMATION; FRAILTY; CARE</t>
  </si>
  <si>
    <t xml:space="preserve">Background and aims eHealth literacy is important as it influences health-promoting behaviors and health. The ability to use eHealth resources is essential to maintaining health, especially during COVID-19 when both physical and psychological health were affected. This study aimed to assess the prevalence of eHealth literacy and its association with psychological distress and perceived health status among older adults in Blekinge, Sweden. Furthermore, this study aimed to assess if perceived health status influences the association between eHealth literacy and psychological distress. Methods This cross-sectional study (October 2021-December 2021) included 678 older adults' as participants of the Swedish National Study on Aging and Care, Blekinge (SNAC-B). These participants were sent questionnaires about their use of Information and Communications Technology (ICT) during the COVID-19 pandemic. In this study, we conducted the statistical analysis using the Kruskal-Wallis one-way analysis of variance, Kendall's tau-b rank correlation, and multiple linear regression. Results We found that 68.4% of the participants had moderate to high levels of eHealth literacy in the population. Being female, age &lt; 75 years, and having a higher education are associated with high eHealth literacy ( p &lt; 0.05). eHealth literacy is significantly correlated (tau =0.12, p-value=0.002) and associated with perceived health status (beta =0.39, p-value=0.008). It is also significantly correlated (tau=-0.12, p-value=0.001) and associated with psychological distress (beta=-0.14, p-value=0.002). The interaction of eHealth literacy and good perceived health status reduced psychological distress (beta=-0.30, p-value=0.002). Conclusions In our cross-sectional study, we found that the point prevalence of eHealth literacy among older adults living in Blekinge, Sweden is moderate to high, which is a positive finding. However, there are still differences among older adults based on factors such as being female, younger than 75 years, highly educated, in good health, and without psychological distress. The results indicated that psychological distress could be mitigated during the pandemic increasing eHealth and maintaining good health status.</t>
  </si>
  <si>
    <t xml:space="preserve">[Ghazi, Sarah Nauman; Berner, Jessica; Anderberg, Peter; Berglund, Johan Sanmartin] Blekinge Inst Technol, Dept Hlth, S-37179 Karlskrona, Sweden; [Anderberg, Peter] Univ Skovde, Sch Hlth Sci, S-54128 Skovde, Sweden</t>
  </si>
  <si>
    <t xml:space="preserve">Ghazi, SN (corresponding author), Blekinge Inst Technol, Dept Hlth, S-37179 Karlskrona, Sweden.</t>
  </si>
  <si>
    <t xml:space="preserve">sarah.n.ghazi@bth.se</t>
  </si>
  <si>
    <t xml:space="preserve">Ghazi, Sarah Nauman/0000-0001-8114-8813; Anderberg, Peter/0000-0001-9870-8477; Berglund, Johan/0000-0003-4312-2246; Berner, Jessica/0000-0002-2848-2377</t>
  </si>
  <si>
    <t xml:space="preserve">This study was done as a part of Swedish National study on Aging and Care - SNAC (www.snac.org), accessed on (20 May 2022). SNAC is financially supported by the Ministry of Health and Social Affairs, Sweden, and the participating county councils, municipalities, and university departments. The authors are especially grateful to the participants of SNAC-Blekinge for their help and interest in this study. Authors are also thankful to Ulrika Isaksson, Data Manager at Blekinge Institute of Technology and Dr. Ahmad Nauman Ghazi for their support.</t>
  </si>
  <si>
    <t xml:space="preserve">BMC</t>
  </si>
  <si>
    <t xml:space="preserve">CAMPUS, 4 CRINAN ST, LONDON N1 9XW, ENGLAND</t>
  </si>
  <si>
    <t xml:space="preserve">1471-2318</t>
  </si>
  <si>
    <t xml:space="preserve">BMC GERIATR</t>
  </si>
  <si>
    <t xml:space="preserve">BMC Geriatr.</t>
  </si>
  <si>
    <t xml:space="preserve">JAN 4</t>
  </si>
  <si>
    <t xml:space="preserve">10.1186/s12877-022-03723-y</t>
  </si>
  <si>
    <t xml:space="preserve">7N1OK</t>
  </si>
  <si>
    <t xml:space="preserve">WOS:000907115400001</t>
  </si>
  <si>
    <t xml:space="preserve">Sala, R; Bertoni, A; Pirola, F; Pezzotta, G</t>
  </si>
  <si>
    <t xml:space="preserve">Lalic, B; Marjanovic, U; Romero, D; Majstorovic, V; VonCieminski, G</t>
  </si>
  <si>
    <t xml:space="preserve">Sala, Roberto; Bertoni, Alessandro; Pirola, Fabiana; Pezzotta, Giuditta</t>
  </si>
  <si>
    <t xml:space="preserve">The Data-Driven Product-Service Systems Design and Delivery (4DPSS) Methodology</t>
  </si>
  <si>
    <t xml:space="preserve">ADVANCES IN PRODUCTION MANAGEMENT SYSTEMS: TOWARDS SMART AND DIGITAL MANUFACTURING, PT II</t>
  </si>
  <si>
    <t xml:space="preserve">IFIP WG 5.7 International Conference on Advances in Production Management Systems (APMS)</t>
  </si>
  <si>
    <t xml:space="preserve">AUG 30-SEP 03, 2020</t>
  </si>
  <si>
    <t xml:space="preserve">Novi Sad, SERBIA</t>
  </si>
  <si>
    <t xml:space="preserve">IFIP WG 5 7</t>
  </si>
  <si>
    <t xml:space="preserve">Product-service system; Data-driven design; Data-driven delivery</t>
  </si>
  <si>
    <t xml:space="preserve">The design of Product-Service Systems (PSS) has been approached from several perspectives like the process, innovation, engineering and operational ones providing, for each one of those, a specific view on the problem. This paper proposes a Data-Driven Product-Service System Design and Delivery (4DPSS) methodology focusing on the collection and exploitation of delivery data to feed the design phase. The logic of the methodology relies on aggregating operational data (collected in the delivery phase) to build a consistent body of knowledge to be exploited in iterative PSS design activities, thanks to better identification of customer needs, and product and service process design issues. This paper presents the 4DPSS methodology at a theoretical level, the implementations of the different methods constituting the methodology are referred to in the text, while its implementation and test as a whole are demanded to future work.</t>
  </si>
  <si>
    <t xml:space="preserve">[Sala, Roberto; Pirola, Fabiana; Pezzotta, Giuditta] Univ Bergamo, Dept Management Informat &amp; Prod Engn, Viale Marconi 5, I-24044 Dalmine, BG, Italy; [Bertoni, Alessandro] Blekinge Inst Technol, Dept Mech Engn, S-37179 Karlskrona, Sweden</t>
  </si>
  <si>
    <t xml:space="preserve">Sala, R (corresponding author), Univ Bergamo, Dept Management Informat &amp; Prod Engn, Viale Marconi 5, I-24044 Dalmine, BG, Italy.</t>
  </si>
  <si>
    <t xml:space="preserve">Bertoni, Alessandro/AAG-6876-2020; Pezzotta, Giuditta/AAF-2297-2021; Sala, Roberto/D-8617-2017</t>
  </si>
  <si>
    <t xml:space="preserve">Bertoni, Alessandro/0000-0001-5114-4811; Pezzotta, Giuditta/0000-0001-7983-8356; Sala, Roberto/0000-0001-7671-6927; Pirola, Fabiana/0000-0003-4633-7568</t>
  </si>
  <si>
    <t xml:space="preserve">978-3-030-57997-5</t>
  </si>
  <si>
    <t xml:space="preserve">10.1007/978-3-030-57997-5_37</t>
  </si>
  <si>
    <t xml:space="preserve">BS0DP</t>
  </si>
  <si>
    <t xml:space="preserve">WOS:000681218300037</t>
  </si>
  <si>
    <t xml:space="preserve">Barlo, A; Aeddula, O; Chezan, AR; Pilthammar, J; Sigvant, M</t>
  </si>
  <si>
    <t xml:space="preserve">Barlo, A.; Aeddula, O.; Chezan, A. R.; Pilthammar, J.; Sigvant, M.</t>
  </si>
  <si>
    <t xml:space="preserve">Creating a Virtual Shadow of the Manufacturing of Automotive Components</t>
  </si>
  <si>
    <t xml:space="preserve">Within the automotive industry, there is an increasing demand for a paradigm shift in terms of which materials are used for the manufacturing of the automotive body. Global climate goals are forcing a rapid adaption of new, advanced, sustainable material grades such as the fossil free steels and materials containing higher scrap content. With the introduction of these new and untested materials, methods for accounting for variation in material properties are needed directly in the press lines. The following study will focus on creating an initial virtual shadow of the manufacturing of a Volvo XC90 inner door panel through the application of Artificial Neural Networks (ANN). The virtual shadow differs from the concept of the digital twin by only being a virtual representation of the production line, with training data generated exclusively by numerical simulations, and having no automated communication with the physical press line control system. The virtual shadow can be used as an assistance to the press line operators to see how different press line settings and material parameter variations will impact the quality of the stamped component. The study aims to validate the virtual shadow through accurate predictions of the material draw-in measured in the physical press line.</t>
  </si>
  <si>
    <t xml:space="preserve">[Barlo, A.; Aeddula, O.; Pilthammar, J.; Sigvant, M.] Blekinge Inst Technol, Dept Mech Engn, Karlskrona, Sweden; [Chezan, A. R.] TATA Steel R&amp;D, POB 10-000, NL-1970 CA Ijmuiden, Netherlands; [Pilthammar, J.] 81013 Mfg Technol Dev, Volvo Cars Dept, Olofstrom, Sweden; [Sigvant, M.] AutoForm Engn Sweden AB, Olofstrom, Sweden</t>
  </si>
  <si>
    <t xml:space="preserve">Blekinge Institute of Technology - VINNOVA in the EUREKA Smart program [2021-03144]; Vinnova [2021-03144] Funding Source: Vinnova</t>
  </si>
  <si>
    <t xml:space="preserve">Blekinge Institute of Technology - VINNOVA in the EUREKA Smart program; Vinnova(Vinnova)</t>
  </si>
  <si>
    <t xml:space="preserve">Open Access funding was provided by Blekinge Institute of Technology. This study was also funded by VINNOVA in the EUREKA Smart program (grant number 2021-03144).</t>
  </si>
  <si>
    <t xml:space="preserve">10.1088/1757-899X/1307/1/012037</t>
  </si>
  <si>
    <t xml:space="preserve">WOS:001245186500037</t>
  </si>
  <si>
    <t xml:space="preserve">Zhang, Y; Larsson, A; Larsson, T; Tian, WC; Zhang, L; Wang, W</t>
  </si>
  <si>
    <t xml:space="preserve">Camarinha-Matos, LM; Ortiz, A; Boucher, X; Barthe-Delanoe, AM</t>
  </si>
  <si>
    <t xml:space="preserve">Zhang, Yan; Larsson, Andreas; Larsson, Tobias; Tian, Wenchong; Zhang, Lan; Wang, Wei</t>
  </si>
  <si>
    <t xml:space="preserve">Utilizing Natural Language Processing for Enhancing Collaborative Value-Driven Design of Smart Product Service System: Smart E-Vehicle Application</t>
  </si>
  <si>
    <t xml:space="preserve">NAVIGATING UNPREDICTABILITY: COLLABORATIVE NETWORKS IN NON-LINEAR WORLDS, PRO-VE 2024, PT I</t>
  </si>
  <si>
    <t xml:space="preserve">25th IFIP WG 5.5 Working Conference on Virtual Enterprises (PRO-VE)</t>
  </si>
  <si>
    <t xml:space="preserve">OCT 28-30, 2024</t>
  </si>
  <si>
    <t xml:space="preserve">Albi, FRANCE</t>
  </si>
  <si>
    <t xml:space="preserve">IFIP WG 5.5 COVE, Co Operat Infrastructure Virtual Enterprises &amp; Elect Business,Soc Collaborat Network,SAGIP,IMT Mines Albi Carmaux,Nova Univ Lisbon,Ctr Tech &amp; Syst,Univ Polytech Valencia,Mines Saint Etienne</t>
  </si>
  <si>
    <t xml:space="preserve">Smart Product Service System; Value-Driven Design; Natural Language Processing; Scenario; Case</t>
  </si>
  <si>
    <t xml:space="preserve">PSS; FIRMS</t>
  </si>
  <si>
    <t xml:space="preserve">Manufacturing companies are increasingly transitioning from a product-centric to a smart Product Service System (smart PSS) approach to enhance customer satisfaction, service offerings, and product competitiveness through a combination of usage scenarios and digital components. In the context of Industry 5.0 transformation such as developing the Smart Electric Vehicle (SEV), the automotive industry faces the challenge of understanding customers' descriptions of usage scenarios and translating the qualitative aspects of these scenarios into quantitatively assessed product features for collaborative value co-creation in smart PSS design. This paper addresses this challenge through utilizing Natural Language Processing (NLP) joint with Value-Driven Design (VDD) method for successfully supported a collaborative value exploration of in the smart PSS design stage. A case study was collaborated with a global automotive Original Equipment Manufacturer (OEM), Volkswagen, through proposing a NLP BERT model for VDD of Smart Electric Vehicle (SEV) design. Validation activities were performed by deploying the developed BERT model to the case company based on the scenario design of new car models.</t>
  </si>
  <si>
    <t xml:space="preserve">[Zhang, Yan; Larsson, Andreas; Larsson, Tobias] Blekinge Inst Technol, Dept Mech Engn, Karlskrona, Sweden; [Zhang, Yan] BIGMind Innovat, Shanghai, Peoples R China; [Tian, Wenchong] City Univ HongKong, Sch Energy &amp; Environm, Hong Kong, Peoples R China; [Zhang, Lan; Wang, Wei] Volkswagen Grp, Beijing, Peoples R China</t>
  </si>
  <si>
    <t xml:space="preserve">Larsson, T (corresponding author), Blekinge Inst Technol, Dept Mech Engn, Karlskrona, Sweden.</t>
  </si>
  <si>
    <t xml:space="preserve">zhang.yan@bth.se; andreas.larsson@bth.se; tobias.larsson@bth.se; wenchongdmc@qq.cn; lan.zhang@volkswagen.com.cn; wei.wang@volkswagen.com.cn</t>
  </si>
  <si>
    <t xml:space="preserve">Tian, WenChong/0000-0002-9418-6306; Larsson, Tobias/0000-0002-9662-4576; Zhang, Yan/0000-0003-3711-264X</t>
  </si>
  <si>
    <t xml:space="preserve">Knowledge Foundation (KK-stiftelsen); VINNOVA; BIGmind; Volkswagen</t>
  </si>
  <si>
    <t xml:space="preserve">Knowledge Foundation (KK-stiftelsen); VINNOVA(Vinnova); BIGmind; Volkswagen(Volkswagen)</t>
  </si>
  <si>
    <t xml:space="preserve">The research has received financial support from the Knowledge Foundation (KK-stiftelsen), VINNOVA, BIGmind, and Volkswagen.</t>
  </si>
  <si>
    <t xml:space="preserve">978-3-031-71741-3; 978-3-031-71739-0; 978-3-031-71738-3</t>
  </si>
  <si>
    <t xml:space="preserve">10.1007/978-3-031-71739-0_20</t>
  </si>
  <si>
    <t xml:space="preserve">BX8PQ</t>
  </si>
  <si>
    <t xml:space="preserve">WOS:001336708500020</t>
  </si>
  <si>
    <t xml:space="preserve">Schwartz, C; Ramos, LP; Duarte, LT; Pinho, MD; Pettersson, MI; Vu, VT; Machado, R</t>
  </si>
  <si>
    <t xml:space="preserve">Schwartz, Christofer; Ramos, Lucas P.; Duarte, Leonardo T.; Pinho, Marcelo da S.; Pettersson, Mats I.; Vu, Viet T.; Machado, Renato</t>
  </si>
  <si>
    <t xml:space="preserve">Change Detection in UWB SAR Images Based on Robust Principal Component Analysis</t>
  </si>
  <si>
    <t xml:space="preserve">synthetic aperture radar; CARABAS-II; RPCA; change detection; blind source separation</t>
  </si>
  <si>
    <t xml:space="preserve">SYSTEM; RADAR; RPCA</t>
  </si>
  <si>
    <t xml:space="preserve">This paper addresses the use of a data analysis tool, known as robust principal component analysis (RPCA), in the context of change detection (CD) in ultrawideband (UWB) very high-frequency (VHF) synthetic aperture radar (SAR) images. The method considers image pairs of the same scene acquired at different time instants. The CD method aims to maximize the probability of detection (PD) and minimize the false alarm rate (FAR). Such aim fits into a multiobjective optimization problem, since maximizing the probability of detection generally implies an increase in the number of false alarms. In that sense, varying the RPCA regularization parameter leads to PD variation with respect to FAR, which is known as receiver operating characteristic (ROC) curve. To evaluate the proposed method, the CARABAS-II data set was considered. The experimental results show that RPCA via principal component pursuit (PCP) can provide a good trade-off between PD and FAR. A comparison between the results obtained with the proposed method and a classical CD algorithm based on the likelihood ratio test provides the pros and cons of the proposed method.</t>
  </si>
  <si>
    <t xml:space="preserve">[Schwartz, Christofer; Ramos, Lucas P.; Pinho, Marcelo da S.; Machado, Renato] Aeronaut Inst Technol ITA, BR-12228900 Sao Jose Dos Campos, SP, Brazil; [Duarte, Leonardo T.] Univ Campinas UNICAMP, Sch Appl Sci FCA, BR-13484350 Limeira, SP, Brazil; [Pettersson, Mats I.; Vu, Viet T.] Blekinge Inst Technol BTH, S-37179 Karlskrona, Sweden</t>
  </si>
  <si>
    <t xml:space="preserve">Universidade Estadual de Campinas; Blekinge Institute Technology</t>
  </si>
  <si>
    <t xml:space="preserve">Schwartz, C (corresponding author), Aeronaut Inst Technol ITA, BR-12228900 Sao Jose Dos Campos, SP, Brazil.</t>
  </si>
  <si>
    <t xml:space="preserve">christofer@ieee.org; lucaspr@ieee.org; leonardo.duarte@fca.unicamp.br; mpinho@ieee.org; mats.pettersson@bth.se; viet.thuy.vu@bth.se; renatomachado@ieee.org</t>
  </si>
  <si>
    <t xml:space="preserve">Tomazeli Duarte, Leonardo/N-4806-2015; Machado, Renato/P-8515-2018; Vu, Viet/JDW-0738-2023; Ramos, Lucas/ABF-6724-2020; Pettersson, Mats/N-1063-2016</t>
  </si>
  <si>
    <t xml:space="preserve">Tomazeli Duarte, Leonardo/0000-0003-0290-0080; Pedroso Ramos, Lucas/0000-0001-9267-6718; Machado, Renato/0000-0003-0856-5391; Schwartz, Christofer/0000-0002-1405-4718; Pettersson, Mats/0000-0002-6643-312X</t>
  </si>
  <si>
    <t xml:space="preserve">Coordenacao de Aperfeicoamento de Pessoal de Nivel Superior-Brazil (CAPES-Brazil) [001]; scholarship PNPD-CAPES grant [88882.316964/2019-01]; Conselho Nacional de Desenvolvimento Cientifico e Tecnologico (CNPq-Brazil) [311357/2017-2]</t>
  </si>
  <si>
    <t xml:space="preserve">Coordenacao de Aperfeicoamento de Pessoal de Nivel Superior-Brazil (CAPES-Brazil)(Coordenacao de Aperfeicoamento de Pessoal de Nivel Superior (CAPES)); scholarship PNPD-CAPES grant; Conselho Nacional de Desenvolvimento Cientifico e Tecnologico (CNPq-Brazil)(Conselho Nacional de Desenvolvimento Cientifico e Tecnologico (CNPQ))</t>
  </si>
  <si>
    <t xml:space="preserve">This study was financed in part by the Coordenacao de Aperfeicoamento de Pessoal de Nivel Superior-Brazil (CAPES-Brazil)-Finance Code 001 (Pro-Defesa IV) and through the scholarship PNPD-CAPES grant 88882.316964/2019-01 (Corresponding author C.S.). The authors also thank the Conselho Nacional de Desenvolvimento Cientifico e Tecnologico (CNPq-Brazil) for partial financial support, grant 311357/2017-2 (Corresponding author L.T.D.).</t>
  </si>
  <si>
    <t xml:space="preserve">10.3390/rs12121916</t>
  </si>
  <si>
    <t xml:space="preserve">MR4LA</t>
  </si>
  <si>
    <t xml:space="preserve">WOS:000553559300001</t>
  </si>
  <si>
    <t xml:space="preserve">Aouissi, M; Harzallah, S; Cheddad, A</t>
  </si>
  <si>
    <t xml:space="preserve">Aouissi, Meftah; Harzallah, Salaheddine; Cheddad, Abbas</t>
  </si>
  <si>
    <t xml:space="preserve">Crack growth optimization using eddy current testing and genetic algorithm for estimating the stress intensity factors</t>
  </si>
  <si>
    <t xml:space="preserve">ACTA MECHANICA</t>
  </si>
  <si>
    <t xml:space="preserve">FINITE-ELEMENT-METHOD; 3D CRACK; SIMULATION; RECONSTRUCTION; SURFACE; SHAPE</t>
  </si>
  <si>
    <t xml:space="preserve">This study developed a procedure for rapidly reconstructing a crack profile for calculating the parameters of fracture mechanics such as stress intensity factor with energy release rate (J) and displacement opening crack tip using data from the eddy current sensor. The inverse problem focused on adopting genetic algorithms to solve the direct problem iteratively. The use of the differential probe allows a rapid and precise resolution of the direct problem. The incident field produced by the two coils is determined using the 3D finite element results and the variation of impedance in each coil due to the crack. For the inverse problem, the crack's surface is considered regular shape in terms of dimensions, and the sensor's impedance expresses the objective function in terms of the width and length of the crack. The evaluation of the shape function and mesh matrix is made dependent on the iterative process, which makes the reversal procedure computationally lightweight when using genetic algorithms.</t>
  </si>
  <si>
    <t xml:space="preserve">[Aouissi, Meftah; Harzallah, Salaheddine] Ziane Achour Univ, Fac Sci &amp; Technol, Dept Civil Engn, Djelfa 17000, Algeria; [Cheddad, Abbas] Blekinge Inst Technol, Dept Comp Sci, S-37179 Karlskrona, Sweden</t>
  </si>
  <si>
    <t xml:space="preserve">Universite de Djelfa; Blekinge Institute Technology</t>
  </si>
  <si>
    <t xml:space="preserve">Harzallah, S (corresponding author), Ziane Achour Univ, Fac Sci &amp; Technol, Dept Civil Engn, Djelfa 17000, Algeria.</t>
  </si>
  <si>
    <t xml:space="preserve">meftahaouissi@gmail.com; s.harzallah@univ-djelfa.dz; abbas.cheddad@bth.se</t>
  </si>
  <si>
    <t xml:space="preserve">Direction Gnrale de la Recherche Scientifique et du Dveloppement Technologique</t>
  </si>
  <si>
    <t xml:space="preserve">SPRINGER WIEN</t>
  </si>
  <si>
    <t xml:space="preserve">Vienna</t>
  </si>
  <si>
    <t xml:space="preserve">Prinz-Eugen-Strasse 8-10, A-1040 Vienna, AUSTRIA</t>
  </si>
  <si>
    <t xml:space="preserve">0001-5970</t>
  </si>
  <si>
    <t xml:space="preserve">1619-6937</t>
  </si>
  <si>
    <t xml:space="preserve">ACTA MECH</t>
  </si>
  <si>
    <t xml:space="preserve">Acta Mech.</t>
  </si>
  <si>
    <t xml:space="preserve">10.1007/s00707-024-03903-4</t>
  </si>
  <si>
    <t xml:space="preserve">Mechanics</t>
  </si>
  <si>
    <t xml:space="preserve">SS0D7</t>
  </si>
  <si>
    <t xml:space="preserve">WOS:001190213600001</t>
  </si>
  <si>
    <t xml:space="preserve">Dasari, SK; Cheddad, A; Palmquist, J; Lundberg, L</t>
  </si>
  <si>
    <t xml:space="preserve">Dasari, Siva Krishna; Cheddad, Abbas; Palmquist, Jonatan; Lundberg, Lars</t>
  </si>
  <si>
    <t xml:space="preserve">Clustering-based adaptive data augmentation for class-imbalance in machine learning (CADA): additive manufacturing use case</t>
  </si>
  <si>
    <t xml:space="preserve">Class-imbalance; Melt-pool defects classification; Aerospace application; Additive manufacturing; Polar transformation; Random forests</t>
  </si>
  <si>
    <t xml:space="preserve">Large amount of data are generated from in-situ monitoring of additive manufacturing (AM) processes which is later used in prediction modelling for defect classification to speed up quality inspection of products. A high volume of this process data is defect-free (majority class) and a lower volume of this data has defects (minority class) which result in the class-imbalance issue. Using imbalanced datasets, classifiers often provide sub-optimal classification results, i.e. better performance on the majority class than the minority class. However, it is important for process engineers that models classify defects more accurately than the class with no defects since this is crucial for quality inspection. Hence, we address the class-imbalance issue in manufacturing process data to support in-situ quality control of additive manufactured components. For this, we propose cluster-based adaptive data augmentation (CADA) for oversampling to address the class-imbalance problem. Quantitative experiments are conducted to evaluate the performance of the proposed method and to compare with other selected oversampling methods using AM datasets from an aerospace industry and a publicly available casting manufacturing dataset. The results show that CADA outperformed random oversampling and the SMOTE method and is similar to random data augmentation and cluster-based oversampling. Furthermore, the results of the statistical significance test show that there is a significant difference between the studied methods. As such, the CADA method can be considered as an alternative method for oversampling to improve the performance of models on the minority class.</t>
  </si>
  <si>
    <t xml:space="preserve">[Dasari, Siva Krishna; Cheddad, Abbas; Lundberg, Lars] Blekinge Inst Technol, Dept Comp Sci, S-37141 Karlskrona, Sweden; [Dasari, Siva Krishna; Palmquist, Jonatan] GKN Aerosp Engine Syst Sweden, Proc Engn Dept, Dept 9635-TL3, SE-46181 Trollhattan, Sweden</t>
  </si>
  <si>
    <t xml:space="preserve">Blekinge Institute Technology; GKN; GKN Aerospace</t>
  </si>
  <si>
    <t xml:space="preserve">Dasari, SK (corresponding author), Blekinge Inst Technol, Dept Comp Sci, S-37141 Karlskrona, Sweden.;Dasari, SK (corresponding author), GKN Aerosp Engine Syst Sweden, Proc Engn Dept, Dept 9635-TL3, SE-46181 Trollhattan, Sweden.</t>
  </si>
  <si>
    <t xml:space="preserve">siva.krishna.dasari@bth.se; abbas.cheddad@bth.se; Jonatan.Palmquist@gknaerospace.com; lars.lundberg@bth.se</t>
  </si>
  <si>
    <t xml:space="preserve">2022 MAY 23</t>
  </si>
  <si>
    <t xml:space="preserve">10.1007/s00521-022-07347-6</t>
  </si>
  <si>
    <t xml:space="preserve">1N9WG</t>
  </si>
  <si>
    <t xml:space="preserve">WOS:000800995800001</t>
  </si>
  <si>
    <t xml:space="preserve">Petersen, K; Börstler, J; bin Ali, N; Engström, E</t>
  </si>
  <si>
    <t xml:space="preserve">Petersen, Kai; Borstler, Jurgen; bin Ali, Nauman; Engstrom, Emelie</t>
  </si>
  <si>
    <t xml:space="preserve">Revisiting the construct and assessment of industrial relevance in software engineering research</t>
  </si>
  <si>
    <t xml:space="preserve">Industrial relevance is essential for an applied research area like software engineering. However, it is unclear how to achieve industrial relevance and how we communicate and assess it. We propose a reasoning framework to support the design, reporting, and assessment of research for industrial relevance.</t>
  </si>
  <si>
    <t xml:space="preserve">[Petersen, Kai; Borstler, Jurgen; bin Ali, Nauman] Blekinge Inst Technol, Karlskrona, Sweden; [Petersen, Kai] Univ Appl Sci, Flensburg, Germany; [Engstrom, Emelie] Lund Univ, Lund, Sweden</t>
  </si>
  <si>
    <t xml:space="preserve">Petersen, K (corresponding author), Blekinge Inst Technol, Karlskrona, Sweden.;Petersen, K (corresponding author), Univ Appl Sci, Flensburg, Germany.</t>
  </si>
  <si>
    <t xml:space="preserve">Engström, Emelie/AAG-7808-2019; Ali, Nauman bin/J-4293-2015</t>
  </si>
  <si>
    <t xml:space="preserve">ELLIIT, a Strategic Research Area within IT and Mobile Communications - Swedish Government; GIST project from the Knowledge Foundation, Sweden [20220235]</t>
  </si>
  <si>
    <t xml:space="preserve">ELLIIT, a Strategic Research Area within IT and Mobile Communications - Swedish Government; GIST project from the Knowledge Foundation, Sweden</t>
  </si>
  <si>
    <t xml:space="preserve">We want to thank the anonymous reviewers for their constructive and insightful feedback, which greatly improved the quality of the paper. The revised manuscript reflects their comments and suggestions. We also want to thank Dr. Mohsin Irshad for their time and insightful discussion regarding industrial relevance. This work has been supported by ELLIIT, a Strategic Research Area within IT and Mobile Communications funded by the Swedish Government, and the GIST project (ref#20220235) from the Knowledge Foundation, Sweden.</t>
  </si>
  <si>
    <t xml:space="preserve">10.1145/3643664.3648205</t>
  </si>
  <si>
    <t xml:space="preserve">WOS:001293147200004</t>
  </si>
  <si>
    <t xml:space="preserve">Idrisoglu, A; Dallora, AL; Anderberg, P; Berglund, JS</t>
  </si>
  <si>
    <t xml:space="preserve">Idrisoglu, Alper; Dallora, Ana Luiza; Anderberg, Peter; Berglund, Johan Sanmartin</t>
  </si>
  <si>
    <t xml:space="preserve">Applied Machine Learning Techniques to Diagnose Voice-Affecting Conditions and Disorders: Systematic Literature Review</t>
  </si>
  <si>
    <t xml:space="preserve">JOURNAL OF MEDICAL INTERNET RESEARCH</t>
  </si>
  <si>
    <t xml:space="preserve">diagnosis; digital biomarkers; machine learning; monitoring; voice-affecting disorder; voice features</t>
  </si>
  <si>
    <t xml:space="preserve">PARKINSONS-DISEASE CLASSIFICATION; SIGNAL-PROCESSING ALGORITHMS; MILD COGNITIVE IMPAIRMENT; SPEECH SIGNALS; NEUROLOGICAL DISEASES; SENSITIVITY-ANALYSIS; AUTOMATIC DETECTION; FEATURE-SELECTION; ACOUSTIC ANALYSIS; ACCURACY</t>
  </si>
  <si>
    <t xml:space="preserve">Background: Normal voice production depends on the synchronized cooperation of multiple physiological systems, which makes the voice sensitive to changes. Any systematic, neurological, and aerodigestive distortion is prone to affect voice production through reduced cognitive, pulmonary, and muscular functionality. This sensitivity inspired using voice as a biomarker to examine disorders that affect the voice. Technological improvements and emerging machine learning (ML) technologies have enabled possibilities of extracting digital vocal features from the voice for automated diagnosis and monitoring systems. Objective: This study aims to summarize a comprehensive view of research on voice-affecting disorders that uses ML techniques for diagnosis and monitoring through voice samples where systematic conditions, nonlaryngeal aerodigestive disorders, and neurological disorders are specifically of interest. Methods: This systematic literature review (SLR) investigated the state of the art of voice-based diagnostic and monitoring systems with ML technologies, targeting voice-affecting disorders without direct relation to the voice box from the point of view of applied health technology. Through a comprehensive search string, studies published from 2012 to 2022 from the databases Scopus, PubMed, and Web of Science were scanned and collected for assessment. To minimize bias, retrieval of the relevant references in other studies in the field was ensured, and 2 authors assessed the collected studies. Low-quality studies were removed through a quality assessment and relevant data were extracted through summary tables for analysis. The articles were checked for similarities between author groups to prevent cumulative redundancy bias during the screening process, where only 1 article was included from the same author group. Results: In the analysis of the 145 included studies, support vector machines were the most utilized ML technique (51/145, 35.2%), with the most studied disease being Parkinson disease (PD; reported in 87/145, 60%, studies). After 2017, 16 additional voice-affecting disorders were examined, in contrast to the 3 investigated previously. Furthermore, an upsurge in the use of artificial neural network-based architectures was observed after 2017. Almost half of the included studies were published in last 2 years (2021 and 2022). A broad interest from many countries was observed. Notably, nearly one-half (n=75) of the studies relied on 10 distinct data sets, and 11/145 (7.6%) used demographic data as an input for ML models. Conclusions: This SLR revealed considerable interest across multiple countries in using ML techniques for diagnosing and monitoring voice-affecting disorders, with PD being the most studied disorder. However, the review identified several gaps, including limited and unbalanced data set usage in studies, and a focus on diagnostic test rather than disorder-specific monitoring. Despite the limitations of being constrained by only peer-reviewed publications written in English, the SLR provides valuable insights into the current state of research on ML-based voice-affecting disorder diagnosis and monitoring and highlighting areas to address in future research.</t>
  </si>
  <si>
    <t xml:space="preserve">[Idrisoglu, Alper; Dallora, Ana Luiza; Anderberg, Peter; Berglund, Johan Sanmartin] Blekinge Inst Technol, Dept Hlth, Valhallavagen 1, S-37141 Karslkrona, Sweden; [Anderberg, Peter] Univ Skovde, Sch Hlth Sci, Skovde, Sweden</t>
  </si>
  <si>
    <t xml:space="preserve">Idrisoglu, A (corresponding author), Blekinge Inst Technol, Dept Hlth, Valhallavagen 1, S-37141 Karslkrona, Sweden.</t>
  </si>
  <si>
    <t xml:space="preserve">Berglund, Johan/0000-0003-4312-2246; Anderberg, Peter/0000-0001-9870-8477; Idrisoglu, Alper/0000-0003-1558-2309; Dallora Moraes, Ana Luiza/0000-0002-6752-017X</t>
  </si>
  <si>
    <t xml:space="preserve">1438-8871</t>
  </si>
  <si>
    <t xml:space="preserve">J MED INTERNET RES</t>
  </si>
  <si>
    <t xml:space="preserve">J. Med. Internet Res.</t>
  </si>
  <si>
    <t xml:space="preserve">JUL 19</t>
  </si>
  <si>
    <t xml:space="preserve">e46105</t>
  </si>
  <si>
    <t xml:space="preserve">10.2196/46105</t>
  </si>
  <si>
    <t xml:space="preserve">P2JM9</t>
  </si>
  <si>
    <t xml:space="preserve">WOS:001048954300007</t>
  </si>
  <si>
    <t xml:space="preserve">Pilthammar, J; Sigvant, M; Islam, MS; Schill, M; Sjöblom, S; Sjöblom, V; Lind, M</t>
  </si>
  <si>
    <t xml:space="preserve">Pilthammar, J.; Sigvant, M.; Islam, M. S.; Schill, M.; Sjoblom, S.; Sjoblom, V.; Lind, M.</t>
  </si>
  <si>
    <t xml:space="preserve">Three Industrial Cases of Sheet Metal Forming Simulations with Elastic Dies</t>
  </si>
  <si>
    <t xml:space="preserve">Previous research and experience points to many advantages if sheet metal forming is simulated with elastic dies. Some areas that are enabled by simulations with elastic dies are virtual spotting, improved digital twins, and improved production support. A promising method was selected from the literature, and after important modifications it is deemed to be fast and robust for simulating industrial sized dies. The method consists of meshing die solids with a coarse mesh to represent the structural behaviour of the die. The forming surfaces are then represented by a fine shell mesh connected to the solid mesh by tied contacts with an offset. With additional modifications to reduce solver time this yields a robust and flexible way of modelling sheet metal forming with elastic dies. There is an increase in preprocessing and simulation time compared to using rigid tools, but industrial dies can now be modeled within an hour and solved within a working day. It is also easy to update the model by replacing separate parts such as die solids or forming surfaces. One of the main criteria in favor of the selected approach is the realistic modeling of blankholder and cushion systems. In this paper simulations of three industrial cases are demonstrated: one case of virtual die spotting and two cases of production support. The three cases demonstrate the importance and potential of using elastic dies during virtual die tryout, production support, and for cases like digital twins and production control.</t>
  </si>
  <si>
    <t xml:space="preserve">[Pilthammar, J.; Sigvant, M.] Volvo Cars, Dept Strategy Dev, S-81110 Olofstrom, Sweden; [Pilthammar, J.; Sigvant, M.; Islam, M. S.; Sjoblom, S.; Sjoblom, V.; Lind, M.] Blekinge Inst Technol, Dept Mech Engn, Karlskrona, Sweden; [Schill, M.] Dynamore Nord, Linkoping, Sweden</t>
  </si>
  <si>
    <t xml:space="preserve">Volvo; Blekinge Institute Technology</t>
  </si>
  <si>
    <t xml:space="preserve">Pilthammar, J (corresponding author), Volvo Cars, Dept Strategy Dev, S-81110 Olofstrom, Sweden.;Pilthammar, J (corresponding author), Blekinge Inst Technol, Dept Mech Engn, Karlskrona, Sweden.</t>
  </si>
  <si>
    <t xml:space="preserve">johan.pilthammar@volvocars.com</t>
  </si>
  <si>
    <t xml:space="preserve">Sigvant, Mats/JJG-2577-2023; Islam, Shafiqul/AAA-7809-2021</t>
  </si>
  <si>
    <t xml:space="preserve">project Reduced Lead Time through Advanced Die Structure Analysis - Swedish Innovation Agency Vinnova within the Strategic Vehicle Research and Innovation (FFI) Programme [2016-03324]; project Advanced numerical solutions and experimental deflection measuring devices for an efficient stamping tool cambering (CAMBER) - Vinnova within the SMART EUREKA Cluster program in Advanced Manufacturing [2018-03331]; Vinnova [2018-03331, 2016-03324] Funding Source: Vinnova</t>
  </si>
  <si>
    <t xml:space="preserve">project Reduced Lead Time through Advanced Die Structure Analysis - Swedish Innovation Agency Vinnova within the Strategic Vehicle Research and Innovation (FFI) Programme(Vinnova); project Advanced numerical solutions and experimental deflection measuring devices for an efficient stamping tool cambering (CAMBER) - Vinnova within the SMART EUREKA Cluster program in Advanced Manufacturing; Vinnova(Vinnova)</t>
  </si>
  <si>
    <t xml:space="preserve">This research received funding within the project Reduced Lead Time through Advanced Die Structure Analysis financed by the Swedish Innovation Agency Vinnova within the Strategic Vehicle Research and Innovation (FFI) Programme. Grant number: 2016-03324. This research received funding within the project Advanced numerical solutions and experimental deflection measuring devices for an efficient stamping tool cambering (CAMBER) financed by Vinnova within the SMART EUREKA Cluster program in Advanced Manufacturing. Grant number: Vinnova, 2018-03331.</t>
  </si>
  <si>
    <t xml:space="preserve">10.1088/1757-899X/1284/1/012055</t>
  </si>
  <si>
    <t xml:space="preserve">WOS:001017824300055</t>
  </si>
  <si>
    <t xml:space="preserve">Dhont, M; Tsiporkova, E; Boeva, V</t>
  </si>
  <si>
    <t xml:space="preserve">Dhont, Michiel; Tsiporkova, Elena; Boeva, Veselka</t>
  </si>
  <si>
    <t xml:space="preserve">Advanced Discretisation and Visualisation Methods for Performance Profiling of Wind Turbines</t>
  </si>
  <si>
    <t xml:space="preserve">wind turbine; operating mode labelling; multi-source data; performance monitoring; non-negative matrix factorisation; circular binning</t>
  </si>
  <si>
    <t xml:space="preserve">PARAMETERS</t>
  </si>
  <si>
    <t xml:space="preserve">Wind turbines are typically organised as a fleet in a wind park, subject to similar, but varying, environmental conditions. This makes it possible to assess and benchmark a turbine's output performance by comparing it to the other assets in the fleet. However, such a comparison cannot be performed straightforwardly on time series production data since the performance of a wind turbine is affected by a diverse set of factors (e.g., weather conditions). All these factors also produce a continuous stream of data, which, if discretised in an appropriate fashion, might allow us to uncover relevant insights into the turbine's operations and behaviour. In this paper, we exploit the outcome of two inherently different discretisation approaches by statistical and visual analytics. As the first discretisation method, a complex layered integration approach is used. The DNA-like outcome allows us to apply advanced visual analytics, facilitating insightful operating mode monitoring. The second discretisation approach is applying a novel circular binning approach, capitalising on the circular nature of the angular variables. The resulting bins are then used to construct circular power maps and extract prototypical profiles via non-negative matrix factorisation, enabling us to detect anomalies and perform production forecasts.</t>
  </si>
  <si>
    <t xml:space="preserve">[Dhont, Michiel; Tsiporkova, Elena] EluciDATA Lab Sirris, Bd A Reyerslaan 80, B-1030 Brussels, Belgium; [Dhont, Michiel] Vrije Univ Brussel, Dept Elect &amp; Informat Proc ETRO, Pl Laan 2, B-1050 Brussels, Belgium; [Boeva, Veselka] Blekinge Inst Technol, S-37179 Karlskrona, Sweden</t>
  </si>
  <si>
    <t xml:space="preserve">Vrije Universiteit Brussel; Blekinge Institute Technology</t>
  </si>
  <si>
    <t xml:space="preserve">Dhont, M (corresponding author), EluciDATA Lab Sirris, Bd A Reyerslaan 80, B-1030 Brussels, Belgium.;Dhont, M (corresponding author), Vrije Univ Brussel, Dept Elect &amp; Informat Proc ETRO, Pl Laan 2, B-1050 Brussels, Belgium.</t>
  </si>
  <si>
    <t xml:space="preserve">michiel.dhont@sirris.com; elena.tsiporkova@sirris.be; veselka.boeva@bth.se</t>
  </si>
  <si>
    <t xml:space="preserve">Dhont, Michiel/KIC-1175-2024; Boeva, Veselka/IAP-9371-2023</t>
  </si>
  <si>
    <t xml:space="preserve">Dhont, Michiel/0000-0002-5679-0991</t>
  </si>
  <si>
    <t xml:space="preserve">Region of Bruxelles-Capitale-Innoviris; Flemish Government</t>
  </si>
  <si>
    <t xml:space="preserve">This research was funded by the Region of Bruxelles-Capitale-Innoviris through the projects MISTic and ReWind and by the Flemish Government through the AI Research Program.</t>
  </si>
  <si>
    <t xml:space="preserve">10.3390/en14196216</t>
  </si>
  <si>
    <t xml:space="preserve">2A9QL</t>
  </si>
  <si>
    <t xml:space="preserve">WOS:000809830800001</t>
  </si>
  <si>
    <t xml:space="preserve">Lindberg, T; Fagerström, C</t>
  </si>
  <si>
    <t xml:space="preserve">Lindberg, Terese; Fagerstrom, Cecilia</t>
  </si>
  <si>
    <t xml:space="preserve">Nonpharmacological methods: frequency of use and follow-up actions among healthcare staff in the care of older people</t>
  </si>
  <si>
    <t xml:space="preserve">elderly care; health problems; nonpharmacological methods; older people; survey</t>
  </si>
  <si>
    <t xml:space="preserve">COGNITIVE FUNCTION; PHYSICAL-ACTIVITY; INTERVENTIONS; DEMENTIA; COMPLEMENTARY; SYMPTOMS</t>
  </si>
  <si>
    <t xml:space="preserve">Older people are at risk of developing multi-comorbidity and thus being exposed to multiple treatments and drugs to manage the emerging health complaints. More focus has been put on nonpharmacological alternatives. However, studies revealing the healthcare staff perspective on using nonpharmacological methods (NPMs) in the care of older people are still lacking. Thus, the aim of this study was to map the use of NPMs in daily practices and the follow-up thereof. A population-based survey with questionnaires was performed, included all healthcare professionals (n = 163; nurses and paramedical professionals) working in one district of elderly care in Sweden. The older person's anxiety and worry (76.1%), sleeping problems (53.1%) and pain (41.1%) were the health problems in daily life most likely to trigger use of NPMs. To manage the emerging health problems, interactions (87.1%), diet and nutrition supplements (63.2%) and physical activity were commonly used, particularly by nurses. One third (n = 54) stated that they did not evaluate the NPMs used, with no statistical differences between nurses and paramedical professionals. The present study indicated that NPMs were used in care of older people among nurses and paramedical professionals, but not in a systematic way and often without follow-up.</t>
  </si>
  <si>
    <t xml:space="preserve">[Lindberg, Terese] Blekinge Inst Technol, Dept Hlth, S-37179 Karlskrona, Sweden; [Fagerstrom, Cecilia] Blekinge Cty Council, Blekinge Ctr Competence, Karlskrona, Sweden; [Fagerstrom, Cecilia] Linnaeus Univ, Fac Hlth &amp; Life Sci, Dept Hlth &amp; Caring Sci, Kalmar, Sweden</t>
  </si>
  <si>
    <t xml:space="preserve">Blekinge Competence Centre (Blekinge county council)</t>
  </si>
  <si>
    <t xml:space="preserve">This study was supported by the Blekinge Competence Centre (Blekinge county council).</t>
  </si>
  <si>
    <t xml:space="preserve">10.1111/scs.12761</t>
  </si>
  <si>
    <t xml:space="preserve">OCT 2019</t>
  </si>
  <si>
    <t xml:space="preserve">NE9NF</t>
  </si>
  <si>
    <t xml:space="preserve">WOS:000492671500001</t>
  </si>
  <si>
    <t xml:space="preserve">Wixe, S; Rouchy, P</t>
  </si>
  <si>
    <t xml:space="preserve">Wixe, Sofia; Rouchy, Philippe</t>
  </si>
  <si>
    <t xml:space="preserve">Quality of Life of Non-Self-Sufficient Immigrants: A Neighborhood Perspective</t>
  </si>
  <si>
    <t xml:space="preserve">FORUM FOR SOCIAL ECONOMICS</t>
  </si>
  <si>
    <t xml:space="preserve">Quality of life, non-self-sufficiency, ethnic background, neighborhood patterns, residential segregation; D69; I31; J15; R23</t>
  </si>
  <si>
    <t xml:space="preserve">ETHNIC RESIDENTIAL SEGREGATION; SOCIAL ASSISTANCE; HEALTH; SATISFACTION; SWEDEN; INCOME; PREFERENCES; EMPLOYMENT; EARNINGS; TIME</t>
  </si>
  <si>
    <t xml:space="preserve">This paper explores the quality of life of non-self-sufficient immigrants in Sweden, focusing on their residential patterns while controlling for individual characteristics. We find large differences in both individual and locational attributes across income levels and ethnic backgrounds, illustrating that the status of 'immigrant' is far from being a homogenous group. The results show that non-self-sufficient individuals, especially those from Africa and the Middle East, may face limitations in their life satisfaction as these groups are most likely to reside in socioeconomically weak neighborhoods. Additionally, the results show that the motivation for residential choices varies across ethnic backgrounds. For example, ethnicity rather than income level determines the neighborhood patterns of African immigrants, while non-self-sufficiency is the major determinant for Nordic immigrants residing in poor, ethnic neighborhoods. We thus argue that the location of residence and differences across ethnic backgrounds deserve more attention in research and policy discussions on quality-of-life issues.</t>
  </si>
  <si>
    <t xml:space="preserve">[Wixe, Sofia] Jonkoping Univ, Ctr Entrepreneurship &amp; Spatial Econ CEnSE, Jonkoping Int Business Sch, Jonkoping, Sweden; [Rouchy, Philippe] Blekinge Inst Technol, Dept Ind Econ, Karlskrona, Sweden</t>
  </si>
  <si>
    <t xml:space="preserve">Wixe, S (corresponding author), Jonkoping Univ, Ctr Entrepreneurship &amp; Spatial Econ CEnSE, Jonkoping Int Business Sch, Jonkoping, Sweden.</t>
  </si>
  <si>
    <t xml:space="preserve">Wixe, Sofia/KIB-6701-2024; Rouchy, Philippe/L-9566-2013</t>
  </si>
  <si>
    <t xml:space="preserve">Forte - the Swedish Research Council for Health, Working Life and Welfare [2019-01320]; Forte [2019-01320] Funding Source: Forte</t>
  </si>
  <si>
    <t xml:space="preserve">Forte - the Swedish Research Council for Health, Working Life and Welfare(Swedish Research Council for Health Working Life &amp; Welfare (Forte)); Forte(Swedish Research Council for Health Working Life &amp; Welfare (Forte))</t>
  </si>
  <si>
    <t xml:space="preserve">This work was supported by Forte - the Swedish Research Council for Health, Working Life and Welfare (grant number 2019-01320).</t>
  </si>
  <si>
    <t xml:space="preserve">0736-0932</t>
  </si>
  <si>
    <t xml:space="preserve">1874-6381</t>
  </si>
  <si>
    <t xml:space="preserve">FORUM SOC ECON</t>
  </si>
  <si>
    <t xml:space="preserve">Forum Soc. Econ.</t>
  </si>
  <si>
    <t xml:space="preserve">2024 MAY 11</t>
  </si>
  <si>
    <t xml:space="preserve">10.1080/07360932.2024.2354719</t>
  </si>
  <si>
    <t xml:space="preserve">RO5R2</t>
  </si>
  <si>
    <t xml:space="preserve">WOS:001228621900001</t>
  </si>
  <si>
    <t xml:space="preserve">Midlöv, EM; Lindberg, T; Sterner, T; Skär, L</t>
  </si>
  <si>
    <t xml:space="preserve">Midlov, Elina Mikaelsson; Lindberg, Terese; Sterner, Therese; Skar, Lisa</t>
  </si>
  <si>
    <t xml:space="preserve">Support given by health professionals before and after a patient's death to relatives involved in general palliative care at home in Sweden: Findings from the Swedish Register of Palliative Care</t>
  </si>
  <si>
    <t xml:space="preserve">PALLIATIVE &amp; SUPPORTIVE CARE</t>
  </si>
  <si>
    <t xml:space="preserve">Home care; palliative care; relatives; support</t>
  </si>
  <si>
    <t xml:space="preserve">OF-LIFE CARE; FAMILY CAREGIVERS; END; CANCER; PEOPLE; NEEDS</t>
  </si>
  <si>
    <t xml:space="preserve">ObjectivesGeneral palliative care (PC) is provided more at home, leading to increased involvement of relatives. Although support for relatives is a fundamental component of PC, there are deficiencies in the support provided to relatives when general PC is provided at home. This study aimed to describe the support provided by health professionals before and after a patient's death to relatives involved in general PC at home.MethodsA cross-sectional register study was implemented, with data from the Swedish Register of Palliative care. The sample consisted of 160 completed surveys from relatives who had been involved in general PC at home, with 160 related surveys answered by health professionals. Only the questions about support to relatives were used from the surveys.ResultsThe findings showed that although many relatives appear to receive support in general PC at home, not all relatives receive optimal support before or after a patient's death. The findings also indicated differences in whether relatives received some support before and after a patient's death depending on the type of relative. There were also differences in responses between health professionals and relatives regarding if relatives received counseling from a doctor about whether the patient was dying.Significance of resultsThere is potential for improvements regarding support for relatives, especially after a patient's death, which has been confirmed in previous studies. The differences in whether relatives received support before and after a patient's death depending on the type of relative highlight the need for future research on how to support different types of relatives before and after a patient's death when general PC is provided at home.</t>
  </si>
  <si>
    <t xml:space="preserve">[Midlov, Elina Mikaelsson; Lindberg, Terese; Skar, Lisa] Blekinge Inst Technol, Fac Engn, Dept Hlth, Karlskrona, Sweden; [Midlov, Elina Mikaelsson; Sterner, Therese] Malmo Univ, Fac Hlth &amp; Soc, Dept Care Sci, Malmo, Sweden</t>
  </si>
  <si>
    <t xml:space="preserve">Midlöv, EM (corresponding author), Blekinge Inst Technol, Fac Engn, Dept Hlth, Karlskrona, Sweden.;Midlöv, EM (corresponding author), Malmo Univ, Fac Hlth &amp; Soc, Dept Care Sci, Malmo, Sweden.</t>
  </si>
  <si>
    <t xml:space="preserve">elina.mikaelsson.midlov@bth.se</t>
  </si>
  <si>
    <t xml:space="preserve">Skar, Lisa/0000-0002-5731-2799; MIKAELSSON MIDLOV, ELINA/0000-0002-2782-147X; Sterner, Therese/0000-0002-6625-7031</t>
  </si>
  <si>
    <t xml:space="preserve">1478-9515</t>
  </si>
  <si>
    <t xml:space="preserve">1478-9523</t>
  </si>
  <si>
    <t xml:space="preserve">PALLIAT SUPPORT CARE</t>
  </si>
  <si>
    <t xml:space="preserve">Palliat. Support Care</t>
  </si>
  <si>
    <t xml:space="preserve">10.1017/S1478951523001323</t>
  </si>
  <si>
    <t xml:space="preserve">Health Policy &amp; Services</t>
  </si>
  <si>
    <t xml:space="preserve">O1E0I</t>
  </si>
  <si>
    <t xml:space="preserve">WOS:001071522700001</t>
  </si>
  <si>
    <t xml:space="preserve">A Tailored cGAN SAR Synthetic Data Augmentation Method for ATR Application</t>
  </si>
  <si>
    <t xml:space="preserve">Synthetic Aperture Radar; Conditional Generative Adversarial Network; Automatic Target Recognition; Data Augmentation; Image Translation</t>
  </si>
  <si>
    <t xml:space="preserve">This article proposes a method to simulate Synthetic Aperture Radar (SAR) targets for specific incidence and azimuth angles. Images synthesized by Electromagnetic Computing (EMC) are used to train a Conditional Generative Adversarial Network (cGAN). Two synthetic image chips of the same class and incidence angle, separated by two degrees in azimuth, are used as input to the cGAN. The cGAN predicts the image of the same class and incidence angle whose azimuth angle corresponds to the bisector of the two input chips. An evaluation using the SAMPLE dataset was performed to verify the quality of the image prediction. Running through a total of 100 training epochs, the cGAN converges, reaching the best Mean Squared Error (MSE) after 77 epochs. The results demonstrate that the proposed method is promising for Automatic Target Recognition (ATR) applications.</t>
  </si>
  <si>
    <t xml:space="preserve">[Araujo, Gustavo F.; Machado, Renato] Aeronaut Inst Technol, Sao Jose Dos Campos, Brazil; [Pettersson, Mats I.] Blekinge Inst Technol, Karlskrona, Sweden</t>
  </si>
  <si>
    <t xml:space="preserve">Comando-Geral de Tecnologia Aeroespacial (CTA); Instituto Tecnologico de Aeronautica (ITA); Blekinge Institute Technology</t>
  </si>
  <si>
    <t xml:space="preserve">Araujo, GF (corresponding author), Aeronaut Inst Technol, Sao Jose Dos Campos, Brazil.</t>
  </si>
  <si>
    <t xml:space="preserve">gustavogfa@ita.br; rmachado@ita.br; mats.pettersson@bth.se</t>
  </si>
  <si>
    <t xml:space="preserve">Araujo, Gustavo/0000-0002-1115-5097; Pettersson, Mats/0000-0002-6643-312X</t>
  </si>
  <si>
    <t xml:space="preserve">Graduate Program in Operational Applications - Aeronautics Institute of Technology - Brazil (PPGAO - ITA - Brazil); Coordination for the Improvement of Higher Education Personnel - Brazil (CAPES - Brazil) [001]</t>
  </si>
  <si>
    <t xml:space="preserve">Graduate Program in Operational Applications - Aeronautics Institute of Technology - Brazil (PPGAO - ITA - Brazil); Coordination for the Improvement of Higher Education Personnel - Brazil (CAPES - Brazil)</t>
  </si>
  <si>
    <t xml:space="preserve">This study was financed by the Graduate Program in Operational Applications - Aeronautics Institute of Technology - Brazil (PPGAO - ITA - Brazil), and by the Coordination for the Improvement of Higher Education Personnel - Brazil (CAPES - Brazil) - Finance Code 001 (Pro-Defesa IV).</t>
  </si>
  <si>
    <t xml:space="preserve">10.1109/RADARCONF2351548.2023.10149587</t>
  </si>
  <si>
    <t xml:space="preserve">WOS:001031599600049</t>
  </si>
  <si>
    <t xml:space="preserve">van Dreven, J; Boeva, V; Abghari, S; Grahn, H; Al Koussa, J</t>
  </si>
  <si>
    <t xml:space="preserve">van Dreven, Jonne; Boeva, Veselka; Abghari, Shahrooz; Grahn, Hakan; Al Koussa, Jad</t>
  </si>
  <si>
    <t xml:space="preserve">A systematic approach for data generation for intelligent fault detection and diagnosis in District Heating</t>
  </si>
  <si>
    <t xml:space="preserve">ENERGY</t>
  </si>
  <si>
    <t xml:space="preserve">District Heating; Fault detection and diagnosis; Data mining; Outlier detection; Machine Learning</t>
  </si>
  <si>
    <t xml:space="preserve">This study introduces a novel systematic approach to address the challenge of labeled data scarcity for fault detection and diagnosis (FDD) in District Heating (DH) systems. To replicate real-world DH fault scenarios, we have created a controlled laboratory emulation of a generic DH substation integrated with a climate chamber. Furthermore, we present an FDD pipeline using an isolation forest and a one-class support vector machine for fault detection alongside a random forest and a support vector machine for fault diagnosis. Our research analyzed the impact of data sampling frequencies on the FDD models, revealing that shorter intervals, such as 1-min and 5-min, significantly improve FDD performance. We provide detailed information on six scenarios, including normal operation, a minor valve leak, a valve leak, a stuck valve, a high heat curve, and a temperature sensor deviation. For each scenario, we present their signature, quantifying their unique behavior and providing deeper insights into the operational implications. The signatures suggest that, while variable, faults have a consistent pattern seen in the generic DH substation. While this work contributes directly to the DH field, our methodology also extends its applicability to a broader context where labeled data is scarce.</t>
  </si>
  <si>
    <t xml:space="preserve">[van Dreven, Jonne; Boeva, Veselka; Abghari, Shahrooz; Grahn, Hakan] Blekinge Inst Technol, Dept Comp Sci, Valhallavagen 1, S-37141 Karlskrona, Blekinge, Sweden; [van Dreven, Jonne; Al Koussa, Jad] Flemish Inst Technol Res VITO, Unit Energy Technol, Boeretang 200, B-2400 Mol, Antwerp, Belgium; [van Dreven, Jonne; Al Koussa, Jad] Energy Ville, Thor Pk 8310, B-3600 Genk, Limburg, Belgium</t>
  </si>
  <si>
    <t xml:space="preserve">Blekinge Institute Technology; VITO</t>
  </si>
  <si>
    <t xml:space="preserve">van Dreven, J (corresponding author), Blekinge Inst Technol, Dept Comp Sci, Valhallavagen 1, S-37141 Karlskrona, Blekinge, Sweden.</t>
  </si>
  <si>
    <t xml:space="preserve">jonne.van.dreven@bth.se</t>
  </si>
  <si>
    <t xml:space="preserve">Abghari, Shahrooz/ADU-1546-2022; Boeva, Veselka/IAP-9371-2023; van Dreven, Jonne/IQW-5956-2023</t>
  </si>
  <si>
    <t xml:space="preserve">van Dreven, Jonne/0000-0002-5229-1140</t>
  </si>
  <si>
    <t xml:space="preserve">Knowledge Foundation, Sweden, through the Human-Centered Intelligent Realities (HINTS) Profile Project [20220068]; Human-Centered Intelligent Realities (HINTS) Profile Project [20220068]</t>
  </si>
  <si>
    <t xml:space="preserve">Knowledge Foundation, Sweden, through the Human-Centered Intelligent Realities (HINTS) Profile Project; Human-Centered Intelligent Realities (HINTS) Profile Project</t>
  </si>
  <si>
    <t xml:space="preserve">Veselka Boeva's, Shahrooz Abghari's, and Hakan Grahn's research was funded partly by the Knowledge Foundation, Sweden, through the Human-Centered Intelligent Realities (HINTS) Profile Project (contract 20220068) .</t>
  </si>
  <si>
    <t xml:space="preserve">0360-5442</t>
  </si>
  <si>
    <t xml:space="preserve">1873-6785</t>
  </si>
  <si>
    <t xml:space="preserve">Energy</t>
  </si>
  <si>
    <t xml:space="preserve">OCT 30</t>
  </si>
  <si>
    <t xml:space="preserve">10.1016/j.energy.2024.132711</t>
  </si>
  <si>
    <t xml:space="preserve">Thermodynamics; Energy &amp; Fuels</t>
  </si>
  <si>
    <t xml:space="preserve">D2A0L</t>
  </si>
  <si>
    <t xml:space="preserve">WOS:001294250900001</t>
  </si>
  <si>
    <t xml:space="preserve">Guimaraes, G; Costa, I; Perkusich, M; Mendes, E; Santos, D; Almeida, H; Perkusich, A</t>
  </si>
  <si>
    <t xml:space="preserve">Guimaraes, Gleyser; Costa, Icaro; Perkusich, Mirko; Mendes, Emilia; Santos, Danilo; Almeida, Hyggo; Perkusich, Angelo</t>
  </si>
  <si>
    <t xml:space="preserve">Investigating the relationship between personalities and agile team climate: A replicated study</t>
  </si>
  <si>
    <t xml:space="preserve">Personality traits; Team climate; Correlation; Regression; Agile software development; Replication</t>
  </si>
  <si>
    <t xml:space="preserve">SOFTWARE-DEVELOPMENT; QUALITY; TRAITS; SATISFACTION; PERFORMANCE; CONTEXT; MODEL</t>
  </si>
  <si>
    <t xml:space="preserve">Context: A study in 2020 (S1) explored the relationship between personality traits and team climate perceptions of software professionals working in agile teams. S1 surveyed 43 software professionals from a large telecom company in Sweden and found that a person's ability to get along with team members (Agreeableness) influences significantly and positively the perceived level of team climate. Further, they observed that personality traits accounted for less than 15 % of the variance in team climate. Objective: The study described herein replicates S1 using data gathered from 148 software professionals from an industrial partner in Brazil. Method: We used the same research methods as S1. We employed a survey to gather the personality and climate data, which was later analyzed using correlation and regression analyses. The former aimed to measure the level of association between personality traits and climate and the latter to estimate team climate factors using personality traits as predictors. Results: The results for the correlation analyses showed statistically significant and positive associations between two personality traits - Agreeableness and Conscientiousness, and all five team climate factors. There was also a significant and positive association between Openness and Team Vision. Our results corroborate those from S1, with respect to two personality traits - Openness and Agreeableness; however, in S1, Openness was significantly and positively associated with Support for Innovation (not Team Vision). In regard to Agreeableness, in S1 it was also significantly and positively associated with perceived team climate. Furthermore, our regression models also support S1's findings - personality traits accounted for less than 15 % of the variance in team climate. Conclusion: Despite variances in location, sample size, and operational domain, our study confirmed S1 ' s results on the limited influence of personality traits. Agreeableness and Openness were significant predictors for team climate, although the predictive factors differed. These discrepancies highlight the necessity for further research, incorporating larger samples and additional predictor variables, to better comprehend the intricate relationship between personality traits and team climate across diverse cultural and professional settings.</t>
  </si>
  <si>
    <t xml:space="preserve">[Guimaraes, Gleyser; Santos, Danilo; Almeida, Hyggo; Perkusich, Angelo] Univ Fed Campina Grande, Campina Grande, Brazil; [Mendes, Emilia] Blekinge Inst Technol, Karlskrona, Sweden; [Costa, Icaro; Perkusich, Mirko; Santos, Danilo; Almeida, Hyggo; Perkusich, Angelo] VIRTUS Res Dev &amp; Innovat Ctr, Intelligent Software Engn Grp, Campina Grande, Brazil</t>
  </si>
  <si>
    <t xml:space="preserve">Universidade Federal de Campina Grande; Blekinge Institute Technology</t>
  </si>
  <si>
    <t xml:space="preserve">Perkusich, M (corresponding author), VIRTUS Res Dev &amp; Innovat Ctr, Intelligent Software Engn Grp, Campina Grande, Brazil.</t>
  </si>
  <si>
    <t xml:space="preserve">mirko@virtus.ufcg.edu.br</t>
  </si>
  <si>
    <t xml:space="preserve">Almeida, Hyggo/H-8167-2013; Santos, Danilo/X-1391-2019; Perkusich, Mirko/HKN-2606-2023; Perkusich, Angelo/O-1203-2018; Perkusich, Angelo/I-2447-2013</t>
  </si>
  <si>
    <t xml:space="preserve">Almeida, Hyggo/0000-0002-2808-8169; Perkusich, Mirko/0000-0002-9433-4962; Perkusich, Angelo/0000-0002-7377-1258</t>
  </si>
  <si>
    <t xml:space="preserve">10.1016/j.infsof.2024.107407</t>
  </si>
  <si>
    <t xml:space="preserve">LB3M6</t>
  </si>
  <si>
    <t xml:space="preserve">WOS:001184278400001</t>
  </si>
  <si>
    <t xml:space="preserve">Olsson, A; Hassellöv, IM; Frånberg, O</t>
  </si>
  <si>
    <t xml:space="preserve">Olsson, Andreas; Hassellov, Ida-Maja; Franberg, Oskar</t>
  </si>
  <si>
    <t xml:space="preserve">Strategic development of environmental impact assessment decision support tool for offshore energy enables decreased costs, increased utilization, and quality</t>
  </si>
  <si>
    <t xml:space="preserve">SUSTAINABLE ENERGY TECHNOLOGIES AND ASSESSMENTS</t>
  </si>
  <si>
    <t xml:space="preserve">Decision support tool; Environmental impact assessment; DST development savings potential; DST utilization analysis</t>
  </si>
  <si>
    <t xml:space="preserve">BLUE GROWTH; MARINE</t>
  </si>
  <si>
    <t xml:space="preserve">In the transition to a sustainable energy system, there is an urgent need for expansion of offshore renewable energy installations. To ensure sustainable development also with respect to the marine environment, a variety of decision support tools (DSTs) are currently under development, aiming at potentially increased quality and ef-ficiency for environmental risk assessment (EIA) of planned offshore energy installations. However, the savings potential of a DSTs is to a large extent governed by the timing of the DST development, which in turn is directly dependent on the investment rate over time. A set of development scenarios were evaluated, simulating different degrees of strategic implementation and successful utilization of the DST for offshore energy. Using the situation in Sweden as a case study, we demonstrate that a planned investment can lead to considerably lower total costs for the EIA at a national level, at the same time allowing for improved quality of the EIA in line with the am-bitions in both marine spatial planning and existing goals within marine environmental management.</t>
  </si>
  <si>
    <t xml:space="preserve">[Olsson, Andreas; Franberg, Oskar] Blekinge Inst Technol, Dept Math &amp; Nat Sci, S-37179 Karlskrona, Sweden; [Hassellov, Ida-Maja] Chalmers Univ Technol, Dept Mech &amp; Maritime Sci, S-41296 Gothenburg, Sweden</t>
  </si>
  <si>
    <t xml:space="preserve">Olsson, A (corresponding author), Blekinge Inst Technol, Dept Math &amp; Nat Sci, S-37179 Karlskrona, Sweden.</t>
  </si>
  <si>
    <t xml:space="preserve">andreas.olsson@bth.se; ida-maja@chalmers.se; oskar.franberg@bth.se</t>
  </si>
  <si>
    <t xml:space="preserve">Franberg, Oskar/KHU-8967-2024; Hassellov, Ida-Maja/B-6646-2016</t>
  </si>
  <si>
    <t xml:space="preserve">Hassellov, Ida-Maja/0000-0003-3216-0597</t>
  </si>
  <si>
    <t xml:space="preserve">project 'Standardisering av undervattensteknik' [2018-04665]; Vinnova [2018-04665] Funding Source: Vinnova</t>
  </si>
  <si>
    <t xml:space="preserve">project 'Standardisering av undervattensteknik'; Vinnova(Vinnova)</t>
  </si>
  <si>
    <t xml:space="preserve">The authors thank Kent Cronholm for his discussions and his support. The project 'Standardisering av undervattensteknik' (2018-04665) has financially assisted this research.</t>
  </si>
  <si>
    <t xml:space="preserve">2213-1388</t>
  </si>
  <si>
    <t xml:space="preserve">2213-1396</t>
  </si>
  <si>
    <t xml:space="preserve">SUSTAIN ENERGY TECHN</t>
  </si>
  <si>
    <t xml:space="preserve">Sustain. Energy Technol. Assess.</t>
  </si>
  <si>
    <t xml:space="preserve">10.1016/j.seta.2023.103493</t>
  </si>
  <si>
    <t xml:space="preserve">Green &amp; Sustainable Science &amp; Technology; Energy &amp; Fuels</t>
  </si>
  <si>
    <t xml:space="preserve">Science &amp; Technology - Other Topics; Energy &amp; Fuels</t>
  </si>
  <si>
    <t xml:space="preserve">CH6H7</t>
  </si>
  <si>
    <t xml:space="preserve">WOS:001124397200001</t>
  </si>
  <si>
    <t xml:space="preserve">Group gradations on Leavitt path algebras (vol 19, 2050165, 2020)</t>
  </si>
  <si>
    <t xml:space="preserve">s-unital ring; strongly graded ring; epsilon-strongly graded ring; Leavitt path algebra</t>
  </si>
  <si>
    <t xml:space="preserve">The results that are stated in P. Nystedt and J. Oinert [Group gradations on Leavitt path algebras, J. Algebra Appl. 19(9) (2020) 2050165, Sec. 4] hold true, but due to an oversimplification some of the proofs are incomplete. The purpose of this note is to amend and complete the affected proofs.</t>
  </si>
  <si>
    <t xml:space="preserve">[Lundstrom, Patrik] Univ West, Dept Engn Sci, SE-46186 Trollhattan, Sweden; [Oinert, Johan] Blekinge Inst Technol, Dept Math &amp; Nat Sci, SE-37179 Karlskrona, Sweden</t>
  </si>
  <si>
    <t xml:space="preserve">University West - Sweden; Blekinge Institute Technology</t>
  </si>
  <si>
    <t xml:space="preserve">10.1142/S0219498824920014</t>
  </si>
  <si>
    <t xml:space="preserve">KC8B5</t>
  </si>
  <si>
    <t xml:space="preserve">WOS:000946343400001</t>
  </si>
  <si>
    <t xml:space="preserve">Pozzo, MI; Evangelista, I; Nilsson, KS</t>
  </si>
  <si>
    <t xml:space="preserve">Isabel Pozzo, Maria; Evangelista, Ignacio; Skytt Nilsson, Kristian</t>
  </si>
  <si>
    <t xml:space="preserve">Virtual Instrument Systems in Reality (VISIR) in Latin America from a bibliometric perspective: looking back to plan ahead</t>
  </si>
  <si>
    <t xml:space="preserve">2021 WORLD ENGINEERING EDUCATION FORUM/GLOBAL ENGINEERING DEANS COUNCIL (WEEF/GEDC)</t>
  </si>
  <si>
    <t xml:space="preserve">World Engineering Education Forum (WEEF) / Global-Engineering-Deans-Council (GEDC) Conference</t>
  </si>
  <si>
    <t xml:space="preserve">NOV 15-18, 2021</t>
  </si>
  <si>
    <t xml:space="preserve">IFEES,Univ Politecnica Madrid,UNED,OEA OAS,Madrid Convent Bur,eMadrid,IEEE Educ Soc,Siemens,Dassault Syst,Coursera,MathWorks,Quanser,ABET,Arcelik,Consulting Technol Informat,UNESCO,UC Davis,Altair,Infineon,LabsLand,Grupo Pacifico,Global Engn Deans Council</t>
  </si>
  <si>
    <t xml:space="preserve">VISIR; remote lab; Latin America; academic production</t>
  </si>
  <si>
    <t xml:space="preserve">[Isabel Pozzo, Maria] Natl Sci &amp; Tech Res Council, Rosario Inst Educ Sci Res, Rosario, Santa Fe, Argentina; [Evangelista, Ignacio] Natl Univ Rosario, Polytech Inst Rosario, Rosario, Santa Fe, Argentina; [Skytt Nilsson, Kristian] Blekinge Inst Technol, Dept Technol &amp; Aesthet, Karlskrona, Sweden</t>
  </si>
  <si>
    <t xml:space="preserve">National University of Rosario; Blekinge Institute Technology</t>
  </si>
  <si>
    <t xml:space="preserve">Pozzo, MI (corresponding author), Natl Sci &amp; Tech Res Council, Rosario Inst Educ Sci Res, Rosario, Santa Fe, Argentina.</t>
  </si>
  <si>
    <t xml:space="preserve">pozzo@irice-conicet.gov.ar; ignacioevangelista@ips.edu.ar; kristian.skytt@bth.se</t>
  </si>
  <si>
    <t xml:space="preserve">Pozzo, María/R-4292-2019</t>
  </si>
  <si>
    <t xml:space="preserve">978-1-6654-2488-2</t>
  </si>
  <si>
    <t xml:space="preserve">Green &amp; Sustainable Science &amp; Technology; Education, Scientific Disciplines; Engineering, Multidisciplinary</t>
  </si>
  <si>
    <t xml:space="preserve">Science &amp; Technology - Other Topics; Education &amp; Educational Research; Engineering</t>
  </si>
  <si>
    <t xml:space="preserve">BT5UB</t>
  </si>
  <si>
    <t xml:space="preserve">WOS:000838125200091</t>
  </si>
  <si>
    <t xml:space="preserve">Zhao, ST; Jiang, AL; Ding, JG</t>
  </si>
  <si>
    <t xml:space="preserve">Zhao, Shaoting; Jiang, Ailian; Ding, Jianguo</t>
  </si>
  <si>
    <t xml:space="preserve">MoCoDiff: Momentum context diffusion model for low-dose CT denoising</t>
  </si>
  <si>
    <t xml:space="preserve">DIGITAL SIGNAL PROCESSING</t>
  </si>
  <si>
    <t xml:space="preserve">Low-dose CT; Denoising; Diffusion model; Stochastic degradation operator; Momentum context</t>
  </si>
  <si>
    <t xml:space="preserve">IMAGE-RECONSTRUCTION; REDUCTION</t>
  </si>
  <si>
    <t xml:space="preserve">Low-Dose Computed Tomography (LDCT) has gradually replaced Normal-Dose Computed Tomography (NDCT) due to its lower radiation exposure. However, the reduction in radiation dose has led to increased noise and artifacts in LDCT images. To date, many methods for LDCT denoising have emerged, but they often struggle to balance denoising performance with reconstruction efficiency. This paper presents a novel Momentum Context Diffusion model for low-dose CT denoising, termed MoCoDiff. First, MoCoDiff employs a Mean-Preserving Stochastic Degradation (MPSD) operator to gradually degrade NDCT to LDCT, effectively simulating the physical process of CT degradation and greatly reducing sampling steps. Furthermore, the stochastic nature of the MPSD operator enhances the diversity of samples in the training space and calibrates the deviation between network inputs and time-step embedded features. Second, we propose a Momentum Context (MoCo) strategy. This strategy uses the most recent sampling result from each step to update the context information, thereby narrowing the noise level gap between the sampling results and the context data. This approach helps to better guide the next sampling step. Finally, to prevent issues such as over-smoothing of image edges that can arise from using the mean square error loss function, we develop a dual-domain loss function that operates in both the image and wavelet domains. This approach leverages wavelet domain information to encourage the model to preserve structural details in the images more effectively. Extensive experimental results show that our MoCoDiff model outperforms competing methods in both denoising and generalization performance, while also ensuring fast training and inference.</t>
  </si>
  <si>
    <t xml:space="preserve">[Zhao, Shaoting; Jiang, Ailian] Taiyuan Univ Technol, Coll Comp Sci &amp; Technol, Taiyuan 030600, Peoples R China; [Ding, Jianguo] Blekinge Inst Technol, Dept Comp Sci, Karlskrona, Sweden</t>
  </si>
  <si>
    <t xml:space="preserve">Taiyuan University of Technology; Blekinge Institute Technology</t>
  </si>
  <si>
    <t xml:space="preserve">Jiang, AL (corresponding author), Taiyuan Univ Technol, Coll Comp Sci &amp; Technol, Taiyuan 030600, Peoples R China.</t>
  </si>
  <si>
    <t xml:space="preserve">ailianjiang@126.com</t>
  </si>
  <si>
    <t xml:space="preserve">National Natural Science Foundation of China [62376183]; Natural Science Foundation of Shanxi Province [202203021211177]</t>
  </si>
  <si>
    <t xml:space="preserve">National Natural Science Foundation of China(National Natural Science Foundation of China (NSFC)); Natural Science Foundation of Shanxi Province(Natural Science Foundation of Shanxi Province)</t>
  </si>
  <si>
    <t xml:space="preserve">This work is supported by the National Natural Science Foundation of China (grant no. 62376183) and the Natural Science Foundation of Shanxi Province (grant no. 202203021211177) .</t>
  </si>
  <si>
    <t xml:space="preserve">1051-2004</t>
  </si>
  <si>
    <t xml:space="preserve">1095-4333</t>
  </si>
  <si>
    <t xml:space="preserve">DIGIT SIGNAL PROCESS</t>
  </si>
  <si>
    <t xml:space="preserve">Digit. Signal Prog.</t>
  </si>
  <si>
    <t xml:space="preserve">10.1016/j.dsp.2024.104868</t>
  </si>
  <si>
    <t xml:space="preserve">M9F0D</t>
  </si>
  <si>
    <t xml:space="preserve">WOS:001360503500001</t>
  </si>
  <si>
    <t xml:space="preserve">Domhof, ATM; Waanders, D; Hol, J; Sigvant, M</t>
  </si>
  <si>
    <t xml:space="preserve">Domhof, A. T. M.; Waanders, D.; Hol, J.; Sigvant, M.</t>
  </si>
  <si>
    <t xml:space="preserve">Friction and lubrication modelling in sheet metal forming: Influence of local tool roughness on product quality</t>
  </si>
  <si>
    <t xml:space="preserve">To improve the accuracy of forming simulations, advanced friction models are increasingly used in the industry. These models account for the physical properties of the sheet, tool and lubrication and describe the tribological conditions during the forming operation. One of the main influencing factors on the tribology system, and therefore the friction coefficient, is the surface roughness of the tools. Until now, it is often assumed all tools have the same uniform surface roughness. In reality however, the tool might have different surface conditions dependent on the type and location of the tool. That is, the blank holder might be differently polished than the punch, and sharp radii might have a different tool roughness compared to flat areas. This paper investigates a significant number of tool measurements from different tool sets from Volvo Cars, and quantifies the effect of local surface conditions on product quality.</t>
  </si>
  <si>
    <t xml:space="preserve">[Domhof, A. T. M.; Waanders, D.; Hol, J.] TriboForm Engn, Hengelosestr 500, NL-7521 AN Enschede, Netherlands; [Sigvant, M.] Volvo Cars, Dept Strategy Dev 81110, Olofstrom, Sweden; [Sigvant, M.] Blekinge Inst Technol, Dept Mech Engn, Karlskrona, Sweden</t>
  </si>
  <si>
    <t xml:space="preserve">Hol, J (corresponding author), TriboForm Engn, Hengelosestr 500, NL-7521 AN Enschede, Netherlands.</t>
  </si>
  <si>
    <t xml:space="preserve">j.hol@triboform.com</t>
  </si>
  <si>
    <t xml:space="preserve">10.1088/1757-899X/1284/1/012087</t>
  </si>
  <si>
    <t xml:space="preserve">WOS:001017824300087</t>
  </si>
  <si>
    <t xml:space="preserve">Manzano, M; Ayala, C; Gómez, C; Abherve, A; Franch, X; Mendes, E</t>
  </si>
  <si>
    <t xml:space="preserve">Manzano, Marti; Ayala, Claudia; Gomez, Cristina; Abherve, Antonin; Franch, Xavier; Mendes, Emilia</t>
  </si>
  <si>
    <t xml:space="preserve">A Method to Estimate Software Strategic Indicators in Software Development: An Industrial Application</t>
  </si>
  <si>
    <t xml:space="preserve">Software Strategic Indicator; Decision-making support; Estimation model; Design Science; Case Study</t>
  </si>
  <si>
    <t xml:space="preserve">ENTERPRISE ARCHITECTURE ANALYSIS; DECISION-MAKING; BAYESIAN NETWORKS; QUALITY; MODEL</t>
  </si>
  <si>
    <t xml:space="preserve">Context: Exploiting software development related data from software-development intensive organizations to support tactical and strategic decision making is a challenge. Combining data-driven approaches with expert knowledge has been highlighted as a sensible approach for leading software-development intensive organizations to rightful decision-making improvements. However, most of the existing proposals lack of important aspects that hinders their industrial uptake such as: customization guidelines to fit the proposals to other contexts and/or automatic or semi-automatic data collection support for putting them forward in a real organization. As a result, existing proposals are rarely used in the industrial context. Objective: Support software-development intensive organizations with guidance and tools for exploiting software development related data and expert knowledge to improve their decision making. Method: We have developed a novel method called SESSI (Specification and Estimation of Software Strategic Indicators) that was articulated from industrial experiences with Nokia, Bittium, Softeam and iTTi in the context of Q-Rapids European project following a design science approach. As part of the industrial summative evaluation, we performed the first case study focused on the application of the method. Results: We detail the phases and steps of the SESSI method and illustrate its application in the development of ModelioNG, a software product of Modeliosoft development firm. Conclusion: The application of the SESSI method in the context of ModelioNG case study has provided us with useful feedback to improve the method and has evidenced that applying the method was feasible in this context.</t>
  </si>
  <si>
    <t xml:space="preserve">[Manzano, Marti; Ayala, Claudia; Gomez, Cristina; Franch, Xavier] Univ Politecn Cataluna, Barcelona, Spain; [Abherve, Antonin] Softeam Grp, Paris, France; [Mendes, Emilia] Blekinge Inst Technol, Karlskrona, Sweden</t>
  </si>
  <si>
    <t xml:space="preserve">Manzano, M (corresponding author), Univ Politecn Cataluna, Barcelona, Spain.</t>
  </si>
  <si>
    <t xml:space="preserve">mmanzarto@essi.upe.edu</t>
  </si>
  <si>
    <t xml:space="preserve">Mendes, Maria/B-4207-2015; Manzano, Martí/O-7718-2015; Franch, Xavier/A-8588-2008; Seoane, Cristina/ABG-7453-2020</t>
  </si>
  <si>
    <t xml:space="preserve">Gomez Seoane, Cristina/0000-0002-3872-0439; Mendes, Emilia/0000-0003-0449-5322</t>
  </si>
  <si>
    <t xml:space="preserve">Spanish Ministry of Economy and Competitiveness [TIN2016-79269R]; European Union [732253]</t>
  </si>
  <si>
    <t xml:space="preserve">Spanish Ministry of Economy and Competitiveness(Spanish Government); European Union(European Union (EU))</t>
  </si>
  <si>
    <t xml:space="preserve">This work was supported by the Spanish Ministry of Economy and Competitiveness (project GENESIS, grant agreement TIN2016-79269R), and by the European Union's Horizon 2020 research and innovation program (Q-Rapids project, grant agreement N. 732253). We also thank Softeam and Modeliosoft for promoting and participating in the case study, respectively.</t>
  </si>
  <si>
    <t xml:space="preserve">10.1016/j.infsof.2020.106433</t>
  </si>
  <si>
    <t xml:space="preserve">OI7BA</t>
  </si>
  <si>
    <t xml:space="preserve">WOS:000583428200011</t>
  </si>
  <si>
    <t xml:space="preserve">Klotins, E; Gorschek, T; Sundelin, K; Falk, E</t>
  </si>
  <si>
    <t xml:space="preserve">Klotins, Eriks; Gorschek, Tony; Sundelin, Katarina; Falk, Erik</t>
  </si>
  <si>
    <t xml:space="preserve">Towards cost-benefit evaluation for continuous software engineering activities</t>
  </si>
  <si>
    <t xml:space="preserve">Continuous Integration; Continuous Delivery; Continuous Software Engineering; Cost-benefit analysis</t>
  </si>
  <si>
    <t xml:space="preserve">CONTINUOUS INTEGRATION; CONTINUOUS DELIVERY; CONTINUOUS DEPLOYMENT; AGILE PRACTICES; BIG DATA; MANAGEMENT; DEVOPS; MODEL; ARCHITECTURE; CHALLENGES</t>
  </si>
  <si>
    <t xml:space="preserve">Context: Software companies must become better at delivering software to remain relevant in the market. Continuous integration and delivery practices promise to streamline software deliveries to end-users by implementing an automated software development and delivery pipeline. However, implementing or retrofitting an organization with such a pipeline is a substantial investment, while the reporting on benefits and their relevance in specific contexts/domains are vague. Aim: In this study, we explore continuous software engineering practices from an investment-benefit perspective. We identify what benefits can be attained by adopting continuous practices, what the associated investments and risks are, and analyze what parameters determine their relevance. Method: We perform a multiple case study to understand state-of-practice, organizational aims, and challenges in adopting continuous software engineering practices. We compare state-of-practice with state-of-the-art to validate the best practices and identify relevant gaps for further investigation. Results: We found that companies start the CI/CD adoption by automating and streamlining the internal development process with clear and immediate benefits. However, upgrading customers to continuous deliveries is a major obstacle due to existing agreements and customer push-back. Renegotiating existing agreements comes with a risk of losing customers and disrupting the whole organization. Conclusions: We conclude that the benefits of CI/CD are overstated in literature without considering the contextual and domain complexities rendering some benefits infeasible. We identify the need to understand the customer and organizational perspectives further and understand the contextual requirements towards the CI/CD.</t>
  </si>
  <si>
    <t xml:space="preserve">[Klotins, Eriks; Gorschek, Tony] Blekinge Inst Technol, Software Engn Res Lab, Karlskrona, Sweden; [Gorschek, Tony] Fortiss, Munich, Germany; [Sundelin, Katarina] Ericsson AB Karlskrona, Karlskrona, Sweden; [Falk, Erik] Telia Co Uppsala, Uppsala, Sweden</t>
  </si>
  <si>
    <t xml:space="preserve">Klotins, E (corresponding author), Blekinge Inst Technol, Software Engn Res Lab, Karlskrona, Sweden.</t>
  </si>
  <si>
    <t xml:space="preserve">eriks.klotins@bth.se</t>
  </si>
  <si>
    <t xml:space="preserve">The authors would like to thank all study participants for their time dedicated to this study. We would like to acknowledge that this work was supported by the KKS foundation through the S.E.R.T. Research Profile project at Blekinge Institute of Technology.</t>
  </si>
  <si>
    <t xml:space="preserve">10.1007/s10664-022-10191-w</t>
  </si>
  <si>
    <t xml:space="preserve">3U8UM</t>
  </si>
  <si>
    <t xml:space="preserve">WOS:000841240000001</t>
  </si>
  <si>
    <t xml:space="preserve">Ghazi, SN; Anderberg, P; Berglund, JS; Berner, J; Dallora, AL</t>
  </si>
  <si>
    <t xml:space="preserve">Ghazi, Sarah Nauman; Anderberg, Peter; Berglund, Johan Sanmartin; Berner, Jessica; Dallora, Ana Luiza</t>
  </si>
  <si>
    <t xml:space="preserve">Psychological Health and Digital Social Participation of the Older Adults during the COVID-19 Pandemic in Blekinge, Sweden-An Exploratory Study</t>
  </si>
  <si>
    <t xml:space="preserve">gerontology; gerontechnology; aging; digital social participation; psychological health; COVID-19; public health; eHealth</t>
  </si>
  <si>
    <t xml:space="preserve">INTERNET USE</t>
  </si>
  <si>
    <t xml:space="preserve">COVID-19 has affected the psychological health of older adults directly and indirectly through recommendations of social distancing and isolation. Using the internet or digital tools to participate in society, one might mitigate the effects of COVID-19 on psychological health. This study explores the social participation of older adults through internet use as a social platform during COVID-19 and its relationship with various psychological health aspects. In this study, we used the survey as a research method, and we collected data through telephonic interviews; and online and paper-based questionnaires. The results showed an association of digital social participation with age and feeling lack of company. Furthermore, in addition, to the increase in internet use in older adults in Sweden during COVID-19, we conclude that digital social participation is essential to maintain psychological health in older adults.</t>
  </si>
  <si>
    <t xml:space="preserve">[Ghazi, Sarah Nauman; Anderberg, Peter; Berglund, Johan Sanmartin; Berner, Jessica; Dallora, Ana Luiza] Blekinge Inst Technol, Dept Hlth, SE-37179 Karlskrona, Sweden; [Anderberg, Peter] Univ Skovde, Sch Hlth Sci, SE-54128 Skovde, Sweden</t>
  </si>
  <si>
    <t xml:space="preserve">Ghazi, SN (corresponding author), Blekinge Inst Technol, Dept Hlth, SE-37179 Karlskrona, Sweden.</t>
  </si>
  <si>
    <t xml:space="preserve">sarah.n.ghazi@bth.se; peter.anderberg@bth.se; johan.sanmartin.berglund@bth.se; jessica.berner@bth.se; ana.luiza.moraes@bth.se</t>
  </si>
  <si>
    <t xml:space="preserve">Ghazi, Sarah Nauman/0000-0001-8114-8813; Berner, Jessica/0000-0002-2848-2377; Anderberg, Peter/0000-0001-9870-8477; Dallora Moraes, Ana Luiza/0000-0002-6752-017X; Berglund, Johan/0000-0003-4312-2246</t>
  </si>
  <si>
    <t xml:space="preserve">This study was done as a part of Swedish National study on Aging and Care (SNAC) (www.snac.org, accessed on 12 January 2022). SNAC is financially supported by the Ministry of Health and Social Affairs, Sweden, and the participating county councils, municipalities, and university departments. The authors are especially grateful to the participants of SNAC-Blekinge for their help and interest in this study. Authors are also thankful to Ulrika Isaksson, Data Manager at Blekinge Institute of Technology for her support.</t>
  </si>
  <si>
    <t xml:space="preserve">10.3390/ijerph19063711</t>
  </si>
  <si>
    <t xml:space="preserve">0C4XV</t>
  </si>
  <si>
    <t xml:space="preserve">WOS:000775318900001</t>
  </si>
  <si>
    <t xml:space="preserve">Pekaric, I; Sauerwein, C; Haselwanter, S; Felderer, M</t>
  </si>
  <si>
    <t xml:space="preserve">Pekaric, Irdin; Sauerwein, Clemens; Haselwanter, Stefan; Felderer, Michael</t>
  </si>
  <si>
    <t xml:space="preserve">A taxonomy of attack mechanisms in the automotive domain</t>
  </si>
  <si>
    <t xml:space="preserve">COMPUTER STANDARDS &amp; INTERFACES</t>
  </si>
  <si>
    <t xml:space="preserve">Attack mechanisms; Vehicle security; Automotive engineering; Attack modeling; Security testing; Systematic review</t>
  </si>
  <si>
    <t xml:space="preserve">SECURITY; CLASSIFICATION; NETWORKS; VEHICLES; SERVICE; THREATS; VANETS</t>
  </si>
  <si>
    <t xml:space="preserve">In the last decade, the automotive industry incorporated multiple electronic components into vehicles intro-ducing various capabilities for adversaries to generate diverse types of attacks. In comparison to older types of vehicles, where the biggest concern was physical security, modern vehicles might be targeted remotely. As a result, multiple attack vectors aiming to disrupt different vehicle components emerged. Research and practice lack a comprehensive attack taxonomy for the automotive domain. In this regard, we conduct a systematic literature study, wherein 48 different attacks were identified and classified according to the proposed taxonomy of attack mechanisms. The taxonomy can be utilized by penetration testers in the automotive domain as well as to develop more sophisticated attacks by chaining multiple attack vectors together. In addition, we classify the identified attack vectors based on the following five dimensions: (1) AUTOSAR layers, (2) attack domains, (3) information security principles, (4) attack surfaces, and (5) attacker profile. The results indicate that the most applied attack vectors identified in literature are GPS spoofing, message injection, node impersonation, sybil, and wormhole attack, which are mostly applied to application and services layers of the AUTOSAR architecture.</t>
  </si>
  <si>
    <t xml:space="preserve">[Pekaric, Irdin; Sauerwein, Clemens; Felderer, Michael] Univ Innsbruck, Dept Comp Sci, Tech Str 21a, A-6020 Innsbruck, Austria; [Haselwanter, Stefan] AV Comparat GmbH, Grabenweg 68, A-6020 Innsbruck, Austria; [Felderer, Michael] Blekinge Inst Technol, Valhallavagen 1, S-37141 Karlskrona, Sweden</t>
  </si>
  <si>
    <t xml:space="preserve">Pekaric, I (corresponding author), Univ Innsbruck, Dept Comp Sci, Tech Str 21a, A-6020 Innsbruck, Austria.</t>
  </si>
  <si>
    <t xml:space="preserve">irdin.pekaric@uibk.ac.at; s.haselwanter@av-comparatives.org</t>
  </si>
  <si>
    <t xml:space="preserve">Pekaric, Irdin/HPF-9401-2023; Felderer, Michael/AAF-4909-2020</t>
  </si>
  <si>
    <t xml:space="preserve">Austrian Science Fund (FWF) [I 4701-N]</t>
  </si>
  <si>
    <t xml:space="preserve">Austrian Science Fund (FWF)(Austrian Science Fund (FWF))</t>
  </si>
  <si>
    <t xml:space="preserve">This work was partially supported by the Austrian Science Fund (FWF): I 4701-N.</t>
  </si>
  <si>
    <t xml:space="preserve">0920-5489</t>
  </si>
  <si>
    <t xml:space="preserve">1872-7018</t>
  </si>
  <si>
    <t xml:space="preserve">COMPUT STAND INTER</t>
  </si>
  <si>
    <t xml:space="preserve">Comput. Stand. Interfaces</t>
  </si>
  <si>
    <t xml:space="preserve">10.1016/j.csi.2021.103539</t>
  </si>
  <si>
    <t xml:space="preserve">APR 2021</t>
  </si>
  <si>
    <t xml:space="preserve">TF4EO</t>
  </si>
  <si>
    <t xml:space="preserve">WOS:000670669600002</t>
  </si>
  <si>
    <t xml:space="preserve">Andersson, C; Kawuki, T; Månsson, J; Nankaja, C; Sund, K; Wigren, E; Zungu, MM</t>
  </si>
  <si>
    <t xml:space="preserve">Andersson, Christian; Kawuki, Tonny; Mansson, Jonas; Nankaja, Christine; Sund, Krister; Wigren, Emma; Zungu, Mathias Mulumba</t>
  </si>
  <si>
    <t xml:space="preserve">The impact of a reproductive health voucher in Uganda using a quasi-experimental matching design</t>
  </si>
  <si>
    <t xml:space="preserve">REPRODUCTIVE HEALTH</t>
  </si>
  <si>
    <t xml:space="preserve">Voucher; Infant mortality; Maternity services; Matching; Quasi-experimental trial; Uganda; I12; I38; N37</t>
  </si>
  <si>
    <t xml:space="preserve">PROGRAM; CARE</t>
  </si>
  <si>
    <t xml:space="preserve">This study assesses the impact of a voucher project that targeted vulnerable and poor pregnant women in Uganda. Highly subsidised vouchers gave access to a package of safe delivery services consisting of four antenatal visits, safe delivery, one postnatal visit, the treatment and management of selected pregnancy-related medical conditions and complications, and emergency transport. Vouchers were sold during the project's operational period from 2016 to 2019. This study covers 8 out of 25 project-benefiting districts in Uganda and a total of 1,881 pregnancies, including both beneficiary and non-beneficiary mothers. Using a matching design, the results show a positive effect on the survival of new-born babies. The difference in the survival rate between the control group and the treatment group is 5.4% points, indicating that the voucher project reduced infant mortality by more than 65 per cent.</t>
  </si>
  <si>
    <t xml:space="preserve">[Andersson, Christian; Sund, Krister; Wigren, Emma] Swedish Natl Audit Off, Stockholm 10233, Sweden; [Andersson, Christian; Mansson, Jonas] Blekinge Inst Technol, Karlskrona 37141, Sweden; [Kawuki, Tonny; Nankaja, Christine; Zungu, Mathias Mulumba] Off Auditor Gen Uganda, Kampala, Uganda; [Sund, Krister] Swedish Inst Social Res, SE-10691 Stockholm, Sweden</t>
  </si>
  <si>
    <t xml:space="preserve">Månsson, J (corresponding author), Blekinge Inst Technol, Karlskrona 37141, Sweden.</t>
  </si>
  <si>
    <t xml:space="preserve">1742-4755</t>
  </si>
  <si>
    <t xml:space="preserve">REPROD HEALTH</t>
  </si>
  <si>
    <t xml:space="preserve">Reprod. Health</t>
  </si>
  <si>
    <t xml:space="preserve">JUN 7</t>
  </si>
  <si>
    <t xml:space="preserve">10.1186/s12978-024-01812-2</t>
  </si>
  <si>
    <t xml:space="preserve">TR8G1</t>
  </si>
  <si>
    <t xml:space="preserve">WOS:001243072100001</t>
  </si>
  <si>
    <t xml:space="preserve">Ottosson, P; Pilthammar, J; Wiklund, D; Skåre, T; Sigvant, M</t>
  </si>
  <si>
    <t xml:space="preserve">Ottosson, P.; Pilthammar, J.; Wiklund, D.; Skare, T.; Sigvant, M.</t>
  </si>
  <si>
    <t xml:space="preserve">Substitutive models of press deflections for efficient numerical die cambering</t>
  </si>
  <si>
    <t xml:space="preserve">Cost and time for stamping die tryouts are significant within the car industry. A major contributing factor is that elastic deflections of stamping dies and presses are usually not considered during the virtual die design and forming simulation phase. Active surfaces of stamping dies are only cambered based on previous experiences of tool types and stamping presses. However, almost all stamping dies and presses are unique, and available experiences are not valid for new sheet materials. This leads to component deviations and often several loops of tool adjustments are needed. Previously partners within the SMART Advanced Manufacturing research project CAMBER have developed advanced deflection measuring devices to quantify the elastic deformations of stamping presses. Using these measurements, cambering methodologies can be utilized in sheet metal forming simulations. In this paper numerical substitutive stamping press models are described which are capable of compensating for measured stamping press dynamics. The result show that a numerical compensated tool can improve the contact by over 80% compared to the corresponding contact without compensation.</t>
  </si>
  <si>
    <t xml:space="preserve">[Ottosson, P.; Wiklund, D.; Skare, T.] RISE AB, Div Mat &amp; Prod, Vallaregatan 30, SE-29338 Olofstrom, Sweden; [Pilthammar, J.; Sigvant, M.] Volvo Cars, Dept Strategy Dev, S-81110 Olofstrom, Sweden; [Sigvant, M.] Blekinge Inst Technol, S-37141 Karlskrona, Sweden</t>
  </si>
  <si>
    <t xml:space="preserve">Ottosson, P (corresponding author), RISE AB, Div Mat &amp; Prod, Vallaregatan 30, SE-29338 Olofstrom, Sweden.</t>
  </si>
  <si>
    <t xml:space="preserve">peter.ottosson@ri.se</t>
  </si>
  <si>
    <t xml:space="preserve">SMART EUREKA CLUSTER on Advanced Manufacturing programme</t>
  </si>
  <si>
    <t xml:space="preserve">This work has been conducted under the CAMBER European research project; a project funded under the SMART EUREKA CLUSTER on Advanced Manufacturing programme. Figure 3 and Figure 4 republished from [7] with permission under creative commons 3.0.</t>
  </si>
  <si>
    <t xml:space="preserve">10.1088/1757-899X/1284/1/012060</t>
  </si>
  <si>
    <t xml:space="preserve">WOS:001017824300060</t>
  </si>
  <si>
    <t xml:space="preserve">Fu, Y; Hu, Y; Sundstedt, V; Forsell, Y</t>
  </si>
  <si>
    <t xml:space="preserve">Bier, N; Fred, A; Gamboa, H</t>
  </si>
  <si>
    <t xml:space="preserve">Fu, Yu; Hu, Yan; Sundstedt, Veronica; Forsell, Yvonne</t>
  </si>
  <si>
    <t xml:space="preserve">A Review of Extended Reality Exercise Games for Elderly</t>
  </si>
  <si>
    <t xml:space="preserve">HEALTHINF: PROCEEDINGS OF THE 15TH INTERNATIONAL JOINT CONFERENCE ON BIOMEDICAL ENGINEERING SYSTEMS AND TECHNOLOGIES - VOL 5: HEALTHINF</t>
  </si>
  <si>
    <t xml:space="preserve">15th International Conference on Health Informatics (HEALTHINF) held as part of 15th International Joint Conference on Biomedical Engineering Systems and Technologies (BIOSTEC)</t>
  </si>
  <si>
    <t xml:space="preserve">FEB 09-11, 2022</t>
  </si>
  <si>
    <t xml:space="preserve">Virtual Reality; Augmented Reality; Mixed Reality; Extended Reality; Game; Physical Training; Exercise; Elderly; Old People; Health</t>
  </si>
  <si>
    <t xml:space="preserve">PHYSICAL-ACTIVITY; VIRTUAL-REALITY; METAANALYSIS; FEASIBILITY</t>
  </si>
  <si>
    <t xml:space="preserve">With the increasing of ageing all over the world, elderly health attracts more and more attention. This paper aims to study existing extended reality (XR) game applications for physical exercise through a literature review with 14 papers as an outcome. Based on these papers, we explored the contributions, opportunities, and challenges of exercise XR games for the elderly. The papers were analysed based on several perspectives, including publication information, design and implementation, game information, teamwork and social games, evaluation, and advantages and disadvantages. We found that the elderly were interested in and accepted the use of XR games. The positive effect of such games was common in the research results. Even if there were problems, such as simulator sickness, safety risks. device problems, and cost, there are still opportunities and space for research and development in the future. The overall positive attitudes toward XR exercise games for the elderly could be seen by both researchers, developers, and users. However, these game applications also presented some problems and future improvements are needed. The presented review is beneficial for researchers and developers to create or enhance future XR applications by learning from existing work.</t>
  </si>
  <si>
    <t xml:space="preserve">[Fu, Yu; Hu, Yan; Sundstedt, Veronica] Blekinge Inst Technol, Dept Comp Sci, Karlskrona, Sweden; [Forsell, Yvonne] Karolinska Inst, Dept Global Publ Hlth, Stockholm, Sweden</t>
  </si>
  <si>
    <t xml:space="preserve">Hu, Yan/ABO-0679-2022; Sundstedt, Veronica/IAP-9305-2023; Forsell, Yvonne/ABB-8879-2020</t>
  </si>
  <si>
    <t xml:space="preserve">978-989-758-552-4</t>
  </si>
  <si>
    <t xml:space="preserve">10.5220/0010907800003123</t>
  </si>
  <si>
    <t xml:space="preserve">Computer Science, Information Systems; Computer Science, Interdisciplinary Applications; Medical Informatics</t>
  </si>
  <si>
    <t xml:space="preserve">BS9AB</t>
  </si>
  <si>
    <t xml:space="preserve">WOS:000778794900018</t>
  </si>
  <si>
    <t xml:space="preserve">Nystedt, P; Öinert, J</t>
  </si>
  <si>
    <t xml:space="preserve">Nystedt, Patrik; Oinert, Johan</t>
  </si>
  <si>
    <t xml:space="preserve">Simple graded rings, nonassociative crossed products and Cayley-Dickson doublings</t>
  </si>
  <si>
    <t xml:space="preserve">Nonassociative ring; group graded ring; simplicity; nonassociative crossed product; Cayley algebra</t>
  </si>
  <si>
    <t xml:space="preserve">We show that if a nonassociative unital ring is graded by a hypercentral group, then the ring is simple if and only if it is graded simple and the center of the ring is a field. Thereby, we extend a result by Jespers to a nonassociative setting. By applying this result to nonassociative crossed products, we obtain nonassociative analogues of results by Bell, Jordan and Voskoglou. We also apply our result to Cayley-Dickson doublings, thereby obtaining a new proof of a classical result by McCrimmon.</t>
  </si>
  <si>
    <t xml:space="preserve">[Nystedt, Patrik] Univ West, Dept Engn Sci, SE-46186 Trollhattan, Sweden; [Oinert, Johan] Blekinge Inst Technol, Dept Math &amp; Nat Sci, SE-97179 Karlskrona, Sweden</t>
  </si>
  <si>
    <t xml:space="preserve">Öinert, J (corresponding author), Blekinge Inst Technol, Dept Math &amp; Nat Sci, SE-97179 Karlskrona, Sweden.</t>
  </si>
  <si>
    <t xml:space="preserve">patrik.nystedt@hv.se; johan.oinert@bth.se</t>
  </si>
  <si>
    <t xml:space="preserve">10.1142/S021949882050231X</t>
  </si>
  <si>
    <t xml:space="preserve">OE5CZ</t>
  </si>
  <si>
    <t xml:space="preserve">WOS:000580549500008</t>
  </si>
  <si>
    <t xml:space="preserve">Dasari, SK; Cheddad, A; Palmquist, J</t>
  </si>
  <si>
    <t xml:space="preserve">Dasari, Siva Krishna; Cheddad, Abbas; Palmquist, Jonatan</t>
  </si>
  <si>
    <t xml:space="preserve">Melt-Pool Defects Classification for Additive Manufactured Components in Aerospace Use-Case</t>
  </si>
  <si>
    <t xml:space="preserve">2020 7TH INTERNATIONAL CONFERENCE ON SOFT COMPUTING &amp; MACHINE INTELLIGENCE (ISCMI 2020)</t>
  </si>
  <si>
    <t xml:space="preserve">International Conference on Soft Computing &amp; Machine Intelligence ISCMI</t>
  </si>
  <si>
    <t xml:space="preserve">7th International Conference on Soft Computing and Machine Intelligence (ISCMI)</t>
  </si>
  <si>
    <t xml:space="preserve">NOV 14-15, 2020</t>
  </si>
  <si>
    <t xml:space="preserve">melt-pool defects classification; random forests; polar transformation; additive manufacturing; HOG; LBP</t>
  </si>
  <si>
    <t xml:space="preserve">One of the crucial aspects of additive manufacturing is the monitoring of the welding process for quality assurance of components. A common way to analyse the welding process is through visual inspection of melt-pool images to identify possible defects in manufacturing. Recent literature studies showed the potential use of prediction models for defects classification to speed up the manual verification criteria since a huge data is generated from the additive manufacturing. Although a huge image data is available, the data needs to be labelled manually by experts which results in small sample datasets. Hence, to model small sample sizes and also to acquire the importance of parameters, we opted a traditional machine learning method, Random Forests (RF). For feature extraction, we opted for the Polar Transformation to explore its applicability using the melt-pool image dataset and a publicly available shape image dataset. The results show that RF models with Polar Transformation performed the best on our case study datasets and the second-best for the public dataset when compared to the Histogram of Oriented Gradients. HARALICK, XY-projections of an image, and Local Binary Patterns methods. As such, the Polar Transformation can be considered as a suitable compact shape descriptor.</t>
  </si>
  <si>
    <t xml:space="preserve">[Dasari, Siva Krishna; Cheddad, Abbas] Blekinge Inst Technol, Dept Comp Sci, SE-37179 Karlskrona, Sweden; [Palmquist, Jonatan] GKN Aerosp Engine Syst Sweden, Proc Engn Dept, SE-46181 Trollhattan, Sweden</t>
  </si>
  <si>
    <t xml:space="preserve">Dasari, SK (corresponding author), Blekinge Inst Technol, Dept Comp Sci, SE-37179 Karlskrona, Sweden.</t>
  </si>
  <si>
    <t xml:space="preserve">siva.krishna.dasari@bth.se; abbas.cheddad@bth.se; Jonatan.Palmquist@gknaerospace.com</t>
  </si>
  <si>
    <t xml:space="preserve">projectModel Driven Development and Decision Support - Knowledge Foundation in Sweden [20120278]</t>
  </si>
  <si>
    <t xml:space="preserve">projectModel Driven Development and Decision Support - Knowledge Foundation in Sweden</t>
  </si>
  <si>
    <t xml:space="preserve">This work is partly supported by the research projectModel Driven Development and Decision Support funded by the Knowledge Foundation (grant: 20120278) in Sweden.</t>
  </si>
  <si>
    <t xml:space="preserve">2640-0154</t>
  </si>
  <si>
    <t xml:space="preserve">2640-0146</t>
  </si>
  <si>
    <t xml:space="preserve">978-1-7281-7559-1</t>
  </si>
  <si>
    <t xml:space="preserve">INT CONF SOFT COMP</t>
  </si>
  <si>
    <t xml:space="preserve">10.1109/iscmi51676.2020.9311555</t>
  </si>
  <si>
    <t xml:space="preserve">BS6OY</t>
  </si>
  <si>
    <t xml:space="preserve">WOS:000750622300047</t>
  </si>
  <si>
    <t xml:space="preserve">Ramos, LP; Alves, DI; Duarte, LT; Pettersson, MI; Machado, R</t>
  </si>
  <si>
    <t xml:space="preserve">Ramos, Lucas P.; Alves, Dimas I.; Duarte, Leonardo T.; Pettersson, Mats I.; Machado, Renato</t>
  </si>
  <si>
    <t xml:space="preserve">Robust Principal Component Analysis Techniques for Ground Scene Estimation in SAR Imagery</t>
  </si>
  <si>
    <t xml:space="preserve">IEEE JOURNAL OF SELECTED TOPICS IN APPLIED EARTH OBSERVATIONS AND REMOTE SENSING</t>
  </si>
  <si>
    <t xml:space="preserve">Ground scene estimation; robust principal component analysis (RPCA); SAR imagery; tensor robust principal component analysis (TRPCA)</t>
  </si>
  <si>
    <t xml:space="preserve">WIDE-AREA SURVEILLANCE; PCA; DECOMPOSITIONS; PERFORMANCE; SYSTEM</t>
  </si>
  <si>
    <t xml:space="preserve">Robust principal component analysis (RPCA) has been widely used for processing and interpreting high-dimensional data in different applications such as data classification, face recognition, video analytics, and recommendation system design. However, the advancement of multisensor-based technologies and the emergence of large datasets have highlighted the limitations of traditional matrix-based models, which have paved the way for higher-order extensions such as tensor RPCA (TRPCA) techniques. These techniques can be useful for ground scene estimation (GSE) in synthetic aperture radar (SAR) imagery. GSE estimates the clutter-plus-noise content in the scene, and therefore, change detection (CD) methods can benefit, reducing the number of false alarms. This article presents two new GSE methods for SAR imagery based on robust PCA techniques. The first proposed method uses the RPCA via principal component pursuit (PCP) to obtain the GSE-RPCA. The second method uses TRPCA via new tensor nuclear norm (TNN) to obtain the GSE-TRPCA. The methodology allows the GSE to be obtained through a generalized regularization parameter. The alternating direction method of multipliers (ADMM) algorithm is utilized to solve both optimization problems. Experimental results are evaluated considering real SAR imagery from datasets acquired with the CARABAS II and ALOS PALSAR systems, respectively. Additionally, the proposed techniques were evaluated under several input characteristics, e.g., eight-image stacks and image pairs. Both GSE techniques are more robust to outliers and missing data when compared to existing solutions found in the literature. Finally, GSE-TRPCA achieved a minimum-square error performance of 0.0018 for some of the evaluated scenarios.</t>
  </si>
  <si>
    <t xml:space="preserve">[Ramos, Lucas P.] Aeronaut Inst Technol, Dept Telecommun, BR-12228900 Sao Jose Dos Campos, Brazil; [Ramos, Lucas P.] Blekinge Inst Technol, Dept Math &amp; Nat Sci, S-37179 Karlskrona, Sweden; [Alves, Dimas I.; Machado, Renato] Aeronaut Inst Technol, Dept Telecommun, BR-12228900 Sao Jose Dos Campos, Brazil; [Duarte, Leonardo T.] Univ Estadual Campinas, Sch Appl Sci, Limeira, Brazil; [Pettersson, Mats I.] Blekinge Inst Technol, Dept Math &amp; Nat Sci, Karlskrona 37179, Sweden</t>
  </si>
  <si>
    <t xml:space="preserve">Blekinge Institute Technology; Universidade Estadual de Campinas; Blekinge Institute Technology</t>
  </si>
  <si>
    <t xml:space="preserve">Ramos, LP (corresponding author), Aeronaut Inst Technol, Dept Telecommun, BR-12228900 Sao Jose Dos Campos, Brazil.;Ramos, LP (corresponding author), Blekinge Inst Technol, Dept Math &amp; Nat Sci, S-37179 Karlskrona, Sweden.</t>
  </si>
  <si>
    <t xml:space="preserve">lucaspr@ita.br; dimasirion@ita.br; leonardo.duarte@fca.unicamp.br; mats.pettersson@bth.se; rmachado@ita.br</t>
  </si>
  <si>
    <t xml:space="preserve">Ramos, Lucas/ABF-6724-2020; Irion Alves, Dimas/AAY-4651-2021; Tomazeli Duarte, Leonardo/N-4806-2015; Machado, Renato/P-8515-2018; Pettersson, Mats/N-1063-2016</t>
  </si>
  <si>
    <t xml:space="preserve">Irion Alves, Dimas/0000-0002-5443-6446; Pedroso Ramos, Lucas/0000-0001-9267-6718; Tomazeli Duarte, Leonardo/0000-0003-0290-0080; Pettersson, Mats/0000-0002-6643-312X; Machado, Renato/0000-0003-0856-5391</t>
  </si>
  <si>
    <t xml:space="preserve">Brazilian AgenciesNational Council for Scientific and Technological Development (CNPq); Ministry of Science, Technology and Innovation (MCTI); Swedish-Brazilian Research and Innovation Centre (CISB); Coordination for the Improvement of Higher Education Personnel(CAPES) [001]; Sao Paulo ResearchFoundation (FAPESP) [2020/09838-0]</t>
  </si>
  <si>
    <t xml:space="preserve">Brazilian AgenciesNational Council for Scientific and Technological Development (CNPq)(Conselho Nacional de Desenvolvimento Cientifico e Tecnologico (CNPQ)); Ministry of Science, Technology and Innovation (MCTI); Swedish-Brazilian Research and Innovation Centre (CISB); Coordination for the Improvement of Higher Education Personnel(CAPES)(Coordenacao de Aperfeicoamento de Pessoal de Nivel Superior (CAPES)); Sao Paulo ResearchFoundation (FAPESP)(Fundacao de Amparo a Pesquisa do Estado de Sao Paulo (FAPESP))</t>
  </si>
  <si>
    <t xml:space="preserve">This work was supported in part by the Brazilian AgenciesNational Council for Scientific and Technological Development (CNPq), in partby the Ministry of Science, Technology and Innovation (MCTI), in part by the Swedish-Brazilian Research and Innovation Centre (CISB), Saab AB, in part by the Coordination for the Improvement of Higher Education Personnel(CAPES) - Finance Code 001 (ProDefesa IV), and in part by Sao Paulo ResearchFoundation (FAPESP) under Grant 2020/09838-0 (BI0S-Brazilian Institute of Data Science).</t>
  </si>
  <si>
    <t xml:space="preserve">1939-1404</t>
  </si>
  <si>
    <t xml:space="preserve">2151-1535</t>
  </si>
  <si>
    <t xml:space="preserve">IEEE J-STARS</t>
  </si>
  <si>
    <t xml:space="preserve">IEEE J. Sel. Top. Appl. Earth Observ. Remote Sens.</t>
  </si>
  <si>
    <t xml:space="preserve">10.1109/JSTARS.2023.3324732</t>
  </si>
  <si>
    <t xml:space="preserve">Engineering, Electrical &amp; Electronic; Geography, Physical; Remote Sensing; Imaging Science &amp; Photographic Technology</t>
  </si>
  <si>
    <t xml:space="preserve">Engineering; Physical Geography; Remote Sensing; Imaging Science &amp; Photographic Technology</t>
  </si>
  <si>
    <t xml:space="preserve">W7KL3</t>
  </si>
  <si>
    <t xml:space="preserve">WOS:001093375500005</t>
  </si>
  <si>
    <t xml:space="preserve">Braunerhjelm, P; Andersson, M; Eklund, J</t>
  </si>
  <si>
    <t xml:space="preserve">Braunerhjelm, Pontus; Andersson, Martin; Eklund, Johan</t>
  </si>
  <si>
    <t xml:space="preserve">Standing on the Shoulders of Giants: Contemporary Pioneers</t>
  </si>
  <si>
    <t xml:space="preserve">FOUNDATIONS AND TRENDS IN ENTREPRENEURSHIP</t>
  </si>
  <si>
    <t xml:space="preserve">[Braunerhjelm, Pontus] KTH Royal Inst Technol, Stockholm, Sweden; [Braunerhjelm, Pontus; Andersson, Martin; Eklund, Johan] Blekinge Inst Technol, Karlskrona, Sweden; [Braunerhjelm, Pontus; Andersson, Martin; Eklund, Johan] Swedish Entrepreneurship Forum, Stockholm, Sweden</t>
  </si>
  <si>
    <t xml:space="preserve">Braunerhjelm, P (corresponding author), KTH Royal Inst Technol, Stockholm, Sweden.;Braunerhjelm, P (corresponding author), Blekinge Inst Technol, Karlskrona, Sweden.;Braunerhjelm, P (corresponding author), Swedish Entrepreneurship Forum, Stockholm, Sweden.</t>
  </si>
  <si>
    <t xml:space="preserve">pontus.braunerhjelm@indek.kth.se; Martin.Andersson@bth.se; Johan.Eklund@bth.se</t>
  </si>
  <si>
    <t xml:space="preserve">Eklund, Johan/HPC-9141-2023; Andersson, Martin/ADK-9763-2022</t>
  </si>
  <si>
    <t xml:space="preserve">NOW PUBLISHERS INC</t>
  </si>
  <si>
    <t xml:space="preserve">HANOVER</t>
  </si>
  <si>
    <t xml:space="preserve">PO BOX 1024, HANOVER, MA 02339 USA</t>
  </si>
  <si>
    <t xml:space="preserve">1551-3114</t>
  </si>
  <si>
    <t xml:space="preserve">1551-3122</t>
  </si>
  <si>
    <t xml:space="preserve">FOUND TRENDS ENTREP</t>
  </si>
  <si>
    <t xml:space="preserve">Found. Trends Entrep.</t>
  </si>
  <si>
    <t xml:space="preserve">ZM0KK</t>
  </si>
  <si>
    <t xml:space="preserve">WOS:000764055500004</t>
  </si>
  <si>
    <t xml:space="preserve">Conceptual Design of an Extended Reality Exercise Game for the Elderly</t>
  </si>
  <si>
    <t xml:space="preserve">extended reality; virtual reality; exercise; game; elderly; rowing</t>
  </si>
  <si>
    <t xml:space="preserve">PHYSICAL-ACTIVITY; MOTIVATION</t>
  </si>
  <si>
    <t xml:space="preserve">Facing the increasingly serious ageing problem, IT technology is being applied more and more to alleviate the increasing health demands of the elderly. Virtual reality (VR) games, in particular, have been shown to benefit the physical and mental health of the elderly. However, almost all consumer-level VR games address the general user, not considering the characteristics of the elderly, such as their particular needs regarding cognitive aspects and safety. In addition, the existing VR rowing games' research typically focuses on athlete training or is based on a rowing machine. Extending on previous research, this paper proposes a conceptual design of a VR rowing game, VRrowing to provide a home exercise game for the elderly which benefits both physical and mental health. This research first analysed the relevant literature and existing VR exercise games for the elderly to find characteristics and their particular needs. Then, following design principles (in exercise games, human-computer interaction, and user interfaces (UIs)) for the elderly, this study proposed a conceptual design of VRrowing through the MDA framework (standing for mechanics, dynamics, and aesthetics). The results cover the system architecture, activities and tasks, patterns and roles, mechanics and structures, and UI examples. Based on comprehensive consideration of the results from relevant research and fostering strengths and circumventing weaknesses, VRrowing was designed as a sports game, aimed at the elderly according to their characteristics and needs, which fills the void of home VR rowing games for seniors' exercise. This research has reference value for scientific research or development personnel in VR game applications and evaluations, especially for such games targeting the elderly.</t>
  </si>
  <si>
    <t xml:space="preserve">[Fu, Yu; Hu, Yan; Sundstedt, Veronica] Blekinge Inst Technol, Dept Comp Sci, S-37141 Karlskrona, Sweden; [Forsell, Yvonne] Karolinska Inst, Dept Global Publ Hlth, S-17177 Stockholm, Sweden</t>
  </si>
  <si>
    <t xml:space="preserve">Fu, Y (corresponding author), Blekinge Inst Technol, Dept Comp Sci, S-37141 Karlskrona, Sweden.</t>
  </si>
  <si>
    <t xml:space="preserve">yu.fu@bth.se; yan.hu@bth.se; veronica.sundstedt@bth.se; yvonne.forsell@ki.se</t>
  </si>
  <si>
    <t xml:space="preserve">Sundstedt, Veronica/IAP-9305-2023; Forsell, Yvonne/ABB-8879-2020; Hu, Yan/ABO-0679-2022</t>
  </si>
  <si>
    <t xml:space="preserve">Hu, Yan/0000-0002-3283-2819; Sundstedt, Veronica/0000-0003-3639-9327; FU, YU/0000-0003-3520-3302</t>
  </si>
  <si>
    <t xml:space="preserve">MDPI AG, Grosspeteranlage 5, CH-4052 BASEL, SWITZERLAND</t>
  </si>
  <si>
    <t xml:space="preserve">10.3390/app12136436</t>
  </si>
  <si>
    <t xml:space="preserve">2V8IA</t>
  </si>
  <si>
    <t xml:space="preserve">WOS:000824081500001</t>
  </si>
  <si>
    <t xml:space="preserve">Jadim, R; Kans, M; Schulte, J; Alhattab, M; Alhendi, M; Bushehry, A</t>
  </si>
  <si>
    <t xml:space="preserve">Jadim, Ramsey; Kans, Mirka; Schulte, Jesko; Alhattab, Mohammed; Alhendi, May; Bushehry, Ali</t>
  </si>
  <si>
    <t xml:space="preserve">On Approaching Relevant Cost-Effective Sustainable Maintenance of Mineral Oil-Filled Electrical Transformers</t>
  </si>
  <si>
    <t xml:space="preserve">maintenance strategy; sustainable maintenance; ABCD procedure; strategic sustainable development; transformer failures</t>
  </si>
  <si>
    <t xml:space="preserve">INSULATION</t>
  </si>
  <si>
    <t xml:space="preserve">Fire and explosion accidents of oil-filled electrical transformers are leading to negative impacts, not only on the delivery of energy, but also on workplace health and safety as well as the surrounding environment. Such accidents are still being reported, regardless of applying the regular maintenance strategy in the power plants. The purpose of this paper is to integrate a sustainability perspective into the maintenance strategy. The problem addressed is: how can we approach the relevant cost-effective sustainable maintenance for oil-filled electrical transformers? For this purpose, an empirical study in a power plant in Kuwait was introduced. The first stage was to carry out a sustainability assessment using the ABCD procedure. In this procedure, gaps to approach sustainability were identified and actions prioritized to close these gaps were demonstrated. Applying this procedure yielded an early fault diagnosis (EFD) model for achieving cost-effective sustainable maintenance using a fault trend chart based on a novel numerical method. Implementing this model resulted in an extension of the lifetime of transformers with suspected failure propagation, leading to a deferral of the replacement investment costs. The principal conclusion of this paper is the importance of viewing the maintenance strategy of transformers from a strategic sustainability perspective, in order to approach relevant cost-effective sustainable maintenance.</t>
  </si>
  <si>
    <t xml:space="preserve">[Jadim, Ramsey; Kans, Mirka] Linnaeus Univ, Fac Technol, Dept Mech Engn, S-35195 Vaxjo, Sweden; [Schulte, Jesko] Blekinge Inst Technol, Dept Strateg Sustainable Dev, S-37179 Karlskrona, Sweden; [Alhattab, Mohammed; Alhendi, May; Bushehry, Ali] Minist Elect &amp; Water, Primary Substn Maintenance Dept, Safat 13001, Kuwait</t>
  </si>
  <si>
    <t xml:space="preserve">Jadim, R (corresponding author), Linnaeus Univ, Fac Technol, Dept Mech Engn, S-35195 Vaxjo, Sweden.</t>
  </si>
  <si>
    <t xml:space="preserve">ramsey.jadim@lnu.se; mirka.kans@lnu.se; jesko.schulte@bth.se; mohammed.alhattab@mew.gov.kw; may.alhendi@mew.gov.kw; ali.hussain@mew.gov.kw</t>
  </si>
  <si>
    <t xml:space="preserve">Alhattab, Mohammad/0000-0003-4704-3641; Bushehry, Ali/0000-0002-5802-1360; Schulte, Jesko/0000-0003-2563-8273; Jadim, Ramsey/0000-0003-2634-3987; Kans, Mirka/0000-0002-2637-6175; Alhendi, May/0000-0001-7238-5745</t>
  </si>
  <si>
    <t xml:space="preserve">10.3390/en14123670</t>
  </si>
  <si>
    <t xml:space="preserve">TB3VC</t>
  </si>
  <si>
    <t xml:space="preserve">WOS:000667873900001</t>
  </si>
  <si>
    <t xml:space="preserve">Furundzic, K; Malmberg, J; Sandström, B; Ericson, D</t>
  </si>
  <si>
    <t xml:space="preserve">Furundzic, Kristina; Malmberg, Joy; Sandstrom, Boel; Ericson, Dan</t>
  </si>
  <si>
    <t xml:space="preserve">Why Do Adolescents Use Fluoride Toothpaste? A Qualitative Interview Investigation</t>
  </si>
  <si>
    <t xml:space="preserve">ORAL HEALTH &amp; PREVENTIVE DENTISTRY</t>
  </si>
  <si>
    <t xml:space="preserve">adolescents; fluoride toothpaste; oral health behavior; motivation; qualitative research</t>
  </si>
  <si>
    <t xml:space="preserve">ORAL-HEALTH; ATTITUDES; KNOWLEDGE; BEHAVIOR</t>
  </si>
  <si>
    <t xml:space="preserve">Purpose: Fluoride toothpastes are effective in caries prevention. In legislation, regular fluoride toothpaste is a cosmetic product; adolescents use it for aesthetic purposes. In dentistry, fluoride toothpaste is considered a caries preventive drug recommended to patients for that reason. Knowledge is lacking concerning what motivates adolescents to use fluoride toothpaste. Dental professionals need to understand how to motivate a risk-group for caries development to use fluoride toothpaste frequently in order to effectively motivate patients to prevent tooth decay. The purpose of this study was to investigate what motivates adolescents to use fluoride toothpaste. Materials and Methods: The study was conducted at a high school in southern Sweden. The final sample consisted of 16 adolescents age 16 to 19. This study employed a qualitative design using semi-structured interviews. The data were analysed using manifest content analysis with an occasional inductive approach. Results: Reasons for why adolescents use fluoride toothpaste were found in four different categories: oral health, economy, upbringing and habit, social influences. Conclusion: There are reasons to believe that dental professionals might have missed important arguments for why adolescents use fluoride toothpaste. The participants mentioned oral health and aesthetics as important reasons for using fluoride toothpaste, as well as other more surprising factors such as financial reasons and social environment. There are thus more arguments for using fluoride toothpaste that adolescents value than the ones we believe dental professionals use.</t>
  </si>
  <si>
    <t xml:space="preserve">[Furundzic, Kristina] Skane Cty Publ Dent Serv, Malmo, Sweden; [Malmberg, Joy; Ericson, Dan] Malmo Univ, Fac Odontol, Dept Cariol, Carl Gustavs Vag 34, SE-21421 Malmo, Sweden; [Malmberg, Joy] Skane Cty Publ Dent Serv, Trelleborg, Sweden; [Sandstrom, Boel] Blekinge Inst Technol, Dept Hlth, Karlskrona, Sweden</t>
  </si>
  <si>
    <t xml:space="preserve">Ericson, D (corresponding author), Malmo Univ, Fac Odontol, Dept Cariol, Carl Gustavs Vag 34, SE-21421 Malmo, Sweden.</t>
  </si>
  <si>
    <t xml:space="preserve">dan.ericson@mau.se</t>
  </si>
  <si>
    <t xml:space="preserve">ericson, dan/JZC-8145-2024</t>
  </si>
  <si>
    <t xml:space="preserve">Ericson, Dan/0000-0003-0356-2351</t>
  </si>
  <si>
    <t xml:space="preserve">Faculty of Odontology, Malmo University, Sweden</t>
  </si>
  <si>
    <t xml:space="preserve">Original data (transcribed) can be requested from corresponding author. Funding was provided by Faculty of Odontology, Malmo University, Sweden.</t>
  </si>
  <si>
    <t xml:space="preserve">QUINTESSENCE PUBLISHING CO INC</t>
  </si>
  <si>
    <t xml:space="preserve">HANOVER PARK</t>
  </si>
  <si>
    <t xml:space="preserve">4350 CHANDLER DRIVE, HANOVER PARK, IL 60133 USA</t>
  </si>
  <si>
    <t xml:space="preserve">1602-1622</t>
  </si>
  <si>
    <t xml:space="preserve">1757-9996</t>
  </si>
  <si>
    <t xml:space="preserve">ORAL HLTH PREV DENT</t>
  </si>
  <si>
    <t xml:space="preserve">Oral Health Prev. Dent.</t>
  </si>
  <si>
    <t xml:space="preserve">MAY-JUN</t>
  </si>
  <si>
    <t xml:space="preserve">10.3290/j.ohpd.a44681</t>
  </si>
  <si>
    <t xml:space="preserve">MG5KM</t>
  </si>
  <si>
    <t xml:space="preserve">WOS:000546070900007</t>
  </si>
  <si>
    <t xml:space="preserve">Kebande, VR; Ikuesan, RA</t>
  </si>
  <si>
    <t xml:space="preserve">Kebande, Victor R.; Ikuesan, Richard A.</t>
  </si>
  <si>
    <t xml:space="preserve">Standardizing Industrial Internet of Things (IIoT) Forensic Processes</t>
  </si>
  <si>
    <t xml:space="preserve">SECURITY AND PRIVACY</t>
  </si>
  <si>
    <t xml:space="preserve">forensics; industrial; internet of things; processes</t>
  </si>
  <si>
    <t xml:space="preserve">SECURITY; PRIVACY</t>
  </si>
  <si>
    <t xml:space="preserve">In the Industrial Internet of Things (IIoT), the absence of standardized forensic processes presents substantial hurdles to effective investigations. As IIoT devices become ubiquitous in critical infrastructure, ensuring consistency and reliability in forensic procedures becomes imperative. This paper aims to front the critical need for standardized IIoT forensic processes, challenges, impact and industry and government roles in achieving this. The motivation for this study is underscored by recent incidents where the absence of standardization impeded forensic analysis, leading to delayed or inconclusive results. By proposing a taxonomy of forensic processes tailored to the IIoT landscape, this paper examines and reviews the challenges, impacts, and the roles of industry and government in achieving standardization. The proposed approach aims to significantly enhance the ability of investigators to conduct thorough forensic investigations, ultimately improving accountability, security, and resilience in IIoT ecosystems.</t>
  </si>
  <si>
    <t xml:space="preserve">[Kebande, Victor R.] Blekinge Inst Technol, Dept Comp Sci, Karlskrona, Sweden; [Ikuesan, Richard A.] Zayed Univ, Comp &amp; Appl Technol, Coll Technol Innovat, Abu Dhabi, U Arab Emirates</t>
  </si>
  <si>
    <t xml:space="preserve">Blekinge Institute Technology; Zayed University</t>
  </si>
  <si>
    <t xml:space="preserve">Kebande, Victor/AAE-4855-2019</t>
  </si>
  <si>
    <t xml:space="preserve">We gratefully acknowledge the funding support provided by Blekinge Institute of Technology, Sweden, for the preparation of this article.</t>
  </si>
  <si>
    <t xml:space="preserve">2475-6725</t>
  </si>
  <si>
    <t xml:space="preserve">SECUR PRIVACY</t>
  </si>
  <si>
    <t xml:space="preserve">Secur. Priv.</t>
  </si>
  <si>
    <t xml:space="preserve">e485</t>
  </si>
  <si>
    <t xml:space="preserve">10.1002/spy2.485</t>
  </si>
  <si>
    <t xml:space="preserve">O8E0B</t>
  </si>
  <si>
    <t xml:space="preserve">WOS:001373379400001</t>
  </si>
  <si>
    <t xml:space="preserve">Berner, J; Dallora, AL; Palm, B; Berglund, JS; Anderberg, P</t>
  </si>
  <si>
    <t xml:space="preserve">Berner, Jessica; Dallora, Ana Luiza; Palm, Bruna; Berglund, Johan Sanmartin; Anderberg, Peter</t>
  </si>
  <si>
    <t xml:space="preserve">Five-factor model, technology enthusiasm and technology anxiety</t>
  </si>
  <si>
    <t xml:space="preserve">Technology anxiety; technology enthusiasm; older adults; personality; five-factor model; digital social participation</t>
  </si>
  <si>
    <t xml:space="preserve">PERSONALITY-TRAITS</t>
  </si>
  <si>
    <t xml:space="preserve">Older adults need to participate in the digital society, as societal and personal changes and what they do with the remaining time that they have in their older years has an undeniable effect on motivation, cognition and emotion. Changes in personality traits were investigated in older adults over the period 2019-2021. Technology enthusiasm and technology anxiety are attitudes that affect the relationship to the technology used. The changes in the score of technology enthusiasm and technology anxiety were the dependent variables. They were investigated with personality traits, age, gender, education, whether someone lives alone, cognitive function, digital social participation (DSP) and health literacy as predictors of the outcome. The Edwards-Nunnally index and logistic regression were used. The results indicated that DSP, lower age, lower neuroticism and higher education were indicative of less technology anxiety. High DSP and high extraversion are indicative of technology enthusiasm. DSP and attitude towards technology seem to be key in getting older adults to stay active online.</t>
  </si>
  <si>
    <t xml:space="preserve">[Berner, Jessica; Dallora, Ana Luiza; Berglund, Johan Sanmartin; Anderberg, Peter] Blekinge Inst Technol, Dept Hlth, Karlskrona, Sweden; [Palm, Bruna] Blekinge Inst Technol, Dept Math, Karlskrona, Sweden; [Anderberg, Peter] Univ Skovde, Sch Hlth Sci, Skovde, Sweden; [Berner, Jessica] Blekinge Inst Technol, Dept Hlth, Valhallavagen 1, S-37179 Karlskrona, Sweden</t>
  </si>
  <si>
    <t xml:space="preserve">Blekinge Institute Technology; Blekinge Institute Technology; University of Skovde; Blekinge Institute Technology</t>
  </si>
  <si>
    <t xml:space="preserve">Berner, J (corresponding author), Blekinge Inst Technol, Dept Hlth, Valhallavagen 1, S-37179 Karlskrona, Sweden.</t>
  </si>
  <si>
    <t xml:space="preserve">jessica.berner@bth.se</t>
  </si>
  <si>
    <t xml:space="preserve">Sanmartin Berglund, Johan/HGB-0471-2022; G. Palm, Bruna/AAZ-4107-2021; Anderberg, Peter/B-5541-2012</t>
  </si>
  <si>
    <t xml:space="preserve">Berner, Jessica/0000-0002-2848-2377; G. Palm, Bruna/0000-0003-0423-9927</t>
  </si>
  <si>
    <t xml:space="preserve">10.1177/20552076231203602</t>
  </si>
  <si>
    <t xml:space="preserve">S2NZ6</t>
  </si>
  <si>
    <t xml:space="preserve">WOS:001069602300001</t>
  </si>
  <si>
    <t xml:space="preserve">Background - The Pioneering Predecessors</t>
  </si>
  <si>
    <t xml:space="preserve">Andersson, Martin/ADK-9763-2022; Eklund, Johan/HPC-9141-2023</t>
  </si>
  <si>
    <t xml:space="preserve">WOS:000764055500003</t>
  </si>
  <si>
    <t xml:space="preserve">Bertoni, A; Hallstedt, SI; Dasari, SK; Andersson, P</t>
  </si>
  <si>
    <t xml:space="preserve">Bertoni, Alessandro; Hallstedt, Sophie I.; Dasari, Siva Krishna; Andersson, Petter</t>
  </si>
  <si>
    <t xml:space="preserve">Integration of value and sustainability assessment in design space exploration by machine learning: an aerospace application</t>
  </si>
  <si>
    <t xml:space="preserve">decision-making; value-driven design; sustainable product development; design space exploration; machine learning; surrogate models</t>
  </si>
  <si>
    <t xml:space="preserve">QUALITATIVE RESEARCH; PRODUCT</t>
  </si>
  <si>
    <t xml:space="preserve">The use of decision-making models in the early stages of the development of complex products and technologies is a well-established practice in industry. Engineers rely on well-established statistical and mathematical models to explore the feasible design space and make early decisions on future design configurations. At the same time, researchers in both value-driven design and sustainable product development areas have stressed the need to expand the design space exploration by encompassing value and sustainability-related considerations. A portfolio of methods and tools for decision support regarding value and sustainability integration has been proposed in literature, but very few have seen an integration in engineering practices. This paper proposes an approach, developed and tested in collaboration with an aerospace subsystem manufacturer, featuring the integration of value-driven design and sustainable product development models in the established practices for design space exploration. The proposed approach uses early simulation results as input for value and sustainability models, automatically computing value and sustainability criteria as an integral part of the design space exploration. Machine learning is applied to deal with the different levels of granularity and maturity of information among early simulations, value models, and sustainability models, as well as for the creation of reliable surrogate models for multidimensional design analysis. The paper describes the logic and rationale of the proposed approach and its application to the case of a turbine rear structure for commercial aircraft engines. Finally, the paper discusses the challenges of the approach implementation and highlights relevant research directions across the value-driven design, sustainable product development, and machine learning research fields.</t>
  </si>
  <si>
    <t xml:space="preserve">[Bertoni, Alessandro] Blekinge Inst Technol, Dept Mech Engn, S-37179 Karlskrona, Sweden; [Hallstedt, Sophie I.] Blekinge Inst Technol, Dept Strateg Sustainable Dev, S-37179 Karlskrona, Sweden; [Dasari, Siva Krishna] Blekinge Inst Technol, Dept Comp Sci, S-37179 Karlskrona, Sweden; [Dasari, Siva Krishna; Andersson, Petter] GKN Aerosp Sweden AB, S-46138 Trollhattan, Sweden</t>
  </si>
  <si>
    <t xml:space="preserve">Blekinge Institute Technology; Blekinge Institute Technology; Blekinge Institute Technology; GKN; GKN Aerospace</t>
  </si>
  <si>
    <t xml:space="preserve">Bertoni, Alessandro/0000-0001-5114-4811; I. Hallstedt, Sophie/0000-0002-7382-1825; Dasari, Siva Krishna/0000-0002-3311-2530</t>
  </si>
  <si>
    <t xml:space="preserve">Swedish Knowledge and Competence Development Foundation (Stiftelsen for kunskaps- och kompetensutveckling) through the Model-Driven Development and Decision Support research profile at Blekinge Institute of Technology</t>
  </si>
  <si>
    <t xml:space="preserve">The research leading to these results has received financial support by the Swedish Knowledge and Competence Development Foundation (Stiftelsen for kunskaps- och kompetensutveckling) through the Model-Driven Development and Decision Support research profile at Blekinge Institute of Technology.</t>
  </si>
  <si>
    <t xml:space="preserve">32 AVENUE OF THE AMERICAS, NEW YORK, NY 10013-2473 USA</t>
  </si>
  <si>
    <t xml:space="preserve">e2</t>
  </si>
  <si>
    <t xml:space="preserve">10.1017/dsj.2019.29</t>
  </si>
  <si>
    <t xml:space="preserve">KB7RU</t>
  </si>
  <si>
    <t xml:space="preserve">WOS:000506688600001</t>
  </si>
  <si>
    <t xml:space="preserve">Tkach, V; Kudin, A; Kebande, VR; Baranovskyi, O; Kudin, I</t>
  </si>
  <si>
    <t xml:space="preserve">Tkach, Volodymyr; Kudin, Anton; Kebande, Victor R. R.; Baranovskyi, Oleksii; Kudin, Ivan</t>
  </si>
  <si>
    <t xml:space="preserve">Non-Pattern-Based Anomaly Detection in Time-Series</t>
  </si>
  <si>
    <t xml:space="preserve">anomaly; behavioral analysis; non-pattern-based anomaly detection; time series; data processing</t>
  </si>
  <si>
    <t xml:space="preserve">Anomaly detection across critical infrastructures is not only a key step towards detecting threats but also gives early warnings of the likelihood of potential cyber-attacks, faults, or infrastructure failures. Owing to the heterogeneity and complexity of the cybersecurity field, several anomaly detection algorithms have been suggested in the recent past based on the literature; however, there still exists little or no research that points or focuses on Non-Pattern Anomaly Detection (NP-AD) in Time-Series at the time of writing this paper. Most of the existing anomaly detection approaches refer to the initial profiling, i.e., defining which behavior represented by time series is normal, whereas everything that does not meet the criteria of normality is set as abnormal or anomalous. Such a definition does not reflect the complexity and sophistication of anomaly nature. Under different conditions, the same behavior may or may not be anomalous. Therefore, the authors of this paper posit the need for NP-AD in Time-Series as a step toward showing the relevance of deviating or not conforming to expected behaviors. Non-Pattern (NP), in the context of this paper, illustrates non-conforming patterns or a technique of deviating with respect to some characteristics while dynamically adapting to changes. Based on the experiments that have been conducted in this paper, it has been observed that the likelihood of NP-AD in Time-Series is a significant approach based on the margins of data streams that have been used from the perspective of non-seasonal time series with outliers, the Numenta Anomaly Benchmark (NAB) dataset and the SIEM SPLUNK machine learning toolkit. It is the authors' opinion that this approach provides a significant step toward predicting futuristic anomalies across diverse cyber, critical infrastructures, and other complex settings.</t>
  </si>
  <si>
    <t xml:space="preserve">[Tkach, Volodymyr; Kebande, Victor R. R.; Baranovskyi, Oleksii] Blekinge Inst Technol, Dept Comp Sci DIDA, S-37141 Karlskrona, Sweden; [Tkach, Volodymyr; Kudin, Anton; Baranovskyi, Oleksii; Kudin, Ivan] Igor Sikorsky Kyiv Polytech Inst, Dept Informat Secur, UA-03057 Kiev, Ukraine</t>
  </si>
  <si>
    <t xml:space="preserve">Blekinge Institute Technology; Ministry of Education &amp; Science of Ukraine; Igor Sikorsky Kyiv Polytechnic Institute</t>
  </si>
  <si>
    <t xml:space="preserve">Tkach, V (corresponding author), Blekinge Inst Technol, Dept Comp Sci DIDA, S-37141 Karlskrona, Sweden.;Tkach, V (corresponding author), Igor Sikorsky Kyiv Polytech Inst, Dept Informat Secur, UA-03057 Kiev, Ukraine.</t>
  </si>
  <si>
    <t xml:space="preserve">volodymyr.tkach@bth.se</t>
  </si>
  <si>
    <t xml:space="preserve">Baranovskyi, Oleksii/W-2166-2019; Tkach, Volodymyr/ADZ-4227-2022; Kudin, Ivan/MAH-0470-2025</t>
  </si>
  <si>
    <t xml:space="preserve">Tkach, Volodymyr/0000-0001-6237-177X</t>
  </si>
  <si>
    <t xml:space="preserve">Blekinge Institute of Technology, BTH, Sweden</t>
  </si>
  <si>
    <t xml:space="preserve">APC was funded by Blekinge Institute of Technology, BTH, Sweden.</t>
  </si>
  <si>
    <t xml:space="preserve">10.3390/electronics12030721</t>
  </si>
  <si>
    <t xml:space="preserve">9A1CL</t>
  </si>
  <si>
    <t xml:space="preserve">WOS:000933802800001</t>
  </si>
  <si>
    <t xml:space="preserve">Huber, S; Demetz, L; Felderer, M</t>
  </si>
  <si>
    <t xml:space="preserve">Huber, Stefan; Demetz, Lukas; Felderer, Michael</t>
  </si>
  <si>
    <t xml:space="preserve">A comparative study on the energy consumption of Progressive Web Apps</t>
  </si>
  <si>
    <t xml:space="preserve">INFORMATION SYSTEMS</t>
  </si>
  <si>
    <t xml:space="preserve">Mobile software development; Energy-efficiency; Progressive Web Apps; Mobile cross-platform development</t>
  </si>
  <si>
    <t xml:space="preserve">MOBILE DEVICES</t>
  </si>
  <si>
    <t xml:space="preserve">Progressive Web Apps (PWAs) are a promising approach for developing mobile apps, especially when developing apps for multiple mobile systems. As mobile devices are limited with respect to battery capacity, developers should keep the energy footprint of a mobile app as low as possible. The goal of this study is to analyze the difference in energy consumption of PWAs compared to other mobile development approaches. As mobile apps are primarily interactive in nature, we focus on UI rendering and interaction scenarios. For this, we implemented five versions of the same app with different development approaches and examined their energy footprint on two Android devices with four execution scenarios. Additionally, we extended our research by analyzing multiple real-world mobile apps to include a more practical perspective. Regarding execution environments, we also compared the energy consumption of PWAs executed in different web-browsers. The results based on sample and real-world apps show that the used development approach influences the energy footprint of a mobile app. Native development shows the lowest energy consumption. PWAs, albeit having a higher energy consumption than native apps, are a viable alternative to other mobile cross-platform development (MCPD) approaches. The experiments could not assert an inherent technological disadvantage of PWAs in contrast to other MCPD approaches when considering UI energy consumption. Moreover, the webbrowser engine used to execute the PWA has a significant influence on the energy footprint of the app. (c) 2022 Elsevier Ltd. All rights reserved.</t>
  </si>
  <si>
    <t xml:space="preserve">[Huber, Stefan; Demetz, Lukas] Univ Appl Sci FH Kufstein Tirol, Andres Hofer Str 7, A-6330 Kufstein, Austria; [Felderer, Michael] Univ Innsbruck, Tech Str 21a, A-6020 Innsbruck, Austria; [Felderer, Michael] Blekinge Inst Technol, Valhallavagen 1, S-37179 Karlskrona, Sweden</t>
  </si>
  <si>
    <t xml:space="preserve">Huber, S (corresponding author), Univ Appl Sci FH Kufstein Tirol, Andres Hofer Str 7, A-6330 Kufstein, Austria.</t>
  </si>
  <si>
    <t xml:space="preserve">mail@stefanhuber.at</t>
  </si>
  <si>
    <t xml:space="preserve">Demetz, Lukas/KIJ-0216-2024; Felderer, Michael/AAF-4909-2020</t>
  </si>
  <si>
    <t xml:space="preserve">Huber, Stefan/0000-0001-7229-9740</t>
  </si>
  <si>
    <t xml:space="preserve">0306-4379</t>
  </si>
  <si>
    <t xml:space="preserve">1873-6076</t>
  </si>
  <si>
    <t xml:space="preserve">INFORM SYST</t>
  </si>
  <si>
    <t xml:space="preserve">Inf. Syst.</t>
  </si>
  <si>
    <t xml:space="preserve">10.1016/j.is.2022.102017</t>
  </si>
  <si>
    <t xml:space="preserve">VN1VX</t>
  </si>
  <si>
    <t xml:space="preserve">WOS:001133975200018</t>
  </si>
  <si>
    <t xml:space="preserve">Bruzzone, L; Bovolo, F; Pierdicca, N</t>
  </si>
  <si>
    <t xml:space="preserve">Assessment of preprocessing techniques in a model-based automatic target recognition algorithm for the SAMPLE dataset</t>
  </si>
  <si>
    <t xml:space="preserve">IMAGE AND SIGNAL PROCESSING FOR REMOTE SENSING XXVIII</t>
  </si>
  <si>
    <t xml:space="preserve">Conference on Image and Signal Processing for Remote Sensing XXVIII</t>
  </si>
  <si>
    <t xml:space="preserve">SEP 05-06, 2022</t>
  </si>
  <si>
    <t xml:space="preserve">Automatic target recognition; classification; preprocessing; scattering centers; synthetic aperture radar</t>
  </si>
  <si>
    <t xml:space="preserve">This article investigates basic preprocessing techniques to improve classification accuracy in the context of Automatic Target Recognition (ATR) of non-cooperative targets in Synthetic Aperture Radar (SAR) images. Preprocessing techniques are considered in synthetic data providing different inputs to a model-based classification algorithm. Experiments with preprocessing techniques such as area reduction, morphological transformations, and speckle filtering were run using ten target classes of the SAMPLE dataset. The classification is performed in measure data using scattering centers as features. The results reveal that the original image without any preprocessing techniques reached the best classification performance. However, investigations with other classifiers that use different features may benefit from such preprocessing techniques.</t>
  </si>
  <si>
    <t xml:space="preserve">[Araujo, Gustavo F.; Machado, Renato] Aeronaut Inst Technol, Praca Marechal Eduardo Gomes 50, Sao Jose Dos Campos, Brazil; [Pettersson, Mats I.] Blekinge Inst Technol, SE-37179 Karlskrona, Sweden</t>
  </si>
  <si>
    <t xml:space="preserve">Araujo, GF (corresponding author), Aeronaut Inst Technol, Praca Marechal Eduardo Gomes 50, Sao Jose Dos Campos, Brazil.</t>
  </si>
  <si>
    <t xml:space="preserve">Machado, Renato/P-8515-2018; Pettersson, Mats/N-1063-2016</t>
  </si>
  <si>
    <t xml:space="preserve">Programa de Pos-Graduacao em Aplicacoes Operacionais - Instituto Tecnologico de Aeronautica - Brazil (PPGAO - ITA - Brazil); Coordenacao de Aperfeicoamento de Pessoal de Nivel Superior - Brazil (CAPES - Brazil) [001]</t>
  </si>
  <si>
    <t xml:space="preserve">Programa de Pos-Graduacao em Aplicacoes Operacionais - Instituto Tecnologico de Aeronautica - Brazil (PPGAO - ITA - Brazil); Coordenacao de Aperfeicoamento de Pessoal de Nivel Superior - Brazil (CAPES - Brazil)(Coordenacao de Aperfeicoamento de Pessoal de Nivel Superior (CAPES))</t>
  </si>
  <si>
    <t xml:space="preserve">This study was financed by Programa de Pos-Graduacao em Aplicacoes Operacionais - Instituto Tecnologico de Aeronautica - Brazil (PPGAO - ITA - Brazil), and by Coordenacao de Aperfeicoamento de Pessoal de Nivel Superior - Brazil (CAPES - Brazil) -Finance Code 001 (Pro-Defesa IV).</t>
  </si>
  <si>
    <t xml:space="preserve">978-1-5106-5538-6; 978-1-5106-5537-9</t>
  </si>
  <si>
    <t xml:space="preserve">10.1117/12.2636233</t>
  </si>
  <si>
    <t xml:space="preserve">Computer Science, Artificial Intelligence; Remote Sensing; Optics</t>
  </si>
  <si>
    <t xml:space="preserve">Computer Science; Remote Sensing; Optics</t>
  </si>
  <si>
    <t xml:space="preserve">BU3CR</t>
  </si>
  <si>
    <t xml:space="preserve">WOS:000890057500004</t>
  </si>
  <si>
    <t xml:space="preserve">Gradolewski, D; Maslowski, D; Dziak, D; Jachimezyk, B; Mundlamuri, ST; Prakash, CG; Kulesza, WJ</t>
  </si>
  <si>
    <t xml:space="preserve">Gradolewski, Dawid; Maslowski, Dawid; Dziak, Damian; Jachimezyk, Bartosz; Mundlamuri, Siva Teja; Prakash, Chandran G.; Kulesza, Wlodek J.</t>
  </si>
  <si>
    <t xml:space="preserve">A Distributed Computing Real-Time Safety System of Collaborative Robot</t>
  </si>
  <si>
    <t xml:space="preserve">Artificial intelligence; Collaborative robots; Neural networks; Safety system</t>
  </si>
  <si>
    <t xml:space="preserve">AVOIDANCE; VISION</t>
  </si>
  <si>
    <t xml:space="preserve">Robotization has become common in modern factories due to its efficiency and cost-effectiveness. Lots of robots and manipulators share their workspaces with humans what could lead to hazardous situations causing health damage or even death. This article presents a real-time safety system applying the distributed computing paradigm for a collaborative robot. The system consists of detection/sensing modules connected with a server working as decision-making system. Each configurable sensing module pre-processes vision information and then sends to the server the images cropped to new objects extracted from a background. After identifying persons from the images, the decision-making system sends a request to the robot to perform pre-defined action. In the proposed solution, there are indicated three safety zones defined by three different actions on a robot motion. As identification method, state-of-the-art of Machine Learning algorithms, the Histogram of Oriented Gradients (HOG), Viola-Jones, and You Only Look Once (YOLO), have been examined and presented. The industrial environment tests indicated that YOLOv3 algorithm outperformed other solutions in terms of identification capabilities, false positive rate and maximum latency.</t>
  </si>
  <si>
    <t xml:space="preserve">[Gradolewski, Dawid; Dziak, Damian; Jachimezyk, Bartosz; Mundlamuri, Siva Teja; Prakash, Chandran G.; Kulesza, Wlodek J.] Blekinge Inst Technol, Inst Appl Signal Proc, S-37179 Karlskrona, Sweden; [Gradolewski, Dawid; Maslowski, Dawid; Mundlamuri, Siva Teja; Prakash, Chandran G.] Intema Sp Zoo, Siennicka 25a, PL-80758 Gdansk, Poland; [Kulesza, Wlodek J.] Univ Social Sci, 9 Sienkiewicza St, PL-90113 Lodz, Poland</t>
  </si>
  <si>
    <t xml:space="preserve">Blekinge Institute Technology; University of Social Sciences</t>
  </si>
  <si>
    <t xml:space="preserve">Gradolewski, D (corresponding author), Blekinge Inst Technol, Inst Appl Signal Proc, S-37179 Karlskrona, Sweden.;Gradolewski, D (corresponding author), Intema Sp Zoo, Siennicka 25a, PL-80758 Gdansk, Poland.</t>
  </si>
  <si>
    <t xml:space="preserve">dawid.gradolewski@bth.se</t>
  </si>
  <si>
    <t xml:space="preserve">National Centre for Research and Development of Poland [POIR.01.01.01-00-0074/17]</t>
  </si>
  <si>
    <t xml:space="preserve">The model was developed in Intema Sp. z o.o. (Siennicka 25a, 80-758 Gdansk, Poland) and is currently under the evaluation. This research was funded under Grant (No. POIR.01.01.01-00-0074/17) from the National Centre for Research and Development of Poland.</t>
  </si>
  <si>
    <t xml:space="preserve">10.5755/j01.eie.26.2.25757</t>
  </si>
  <si>
    <t xml:space="preserve">LI2NE</t>
  </si>
  <si>
    <t xml:space="preserve">WOS:000529319700001</t>
  </si>
  <si>
    <t xml:space="preserve">Jedrzejewski, FV; Thode, L; Fischbach, J; Gorschek, T; Mendez, D; Lavesson, N</t>
  </si>
  <si>
    <t xml:space="preserve">Jedrzejewski, Felix Viktor; Thode, Lukas; Fischbach, Jannik; Gorschek, Tony; Mendez, Daniel; Lavesson, Niklas</t>
  </si>
  <si>
    <t xml:space="preserve">Adversarial Machine Learning in Industry: A Systematic Literature Review</t>
  </si>
  <si>
    <t xml:space="preserve">COMPUTERS &amp; SECURITY</t>
  </si>
  <si>
    <t xml:space="preserve">Adversarial machine learning; Industry; Rigor; Relevance; State of evidence</t>
  </si>
  <si>
    <t xml:space="preserve">MEMBERSHIP INFERENCE ATTACKS; SECURITY; INTELLIGENCE; CLASSIFIERS; INTERNET; THREATS</t>
  </si>
  <si>
    <t xml:space="preserve">Adversarial Machine Learning (AML) discusses the act of attacking and defending Machine Learning (ML) Models, an essential building block of Artificial Intelligence (AI). ML is applied in many software-intensive products and services and introduces new opportunities and security challenges. AI and ML will gain even more attention from the industry in the future, but threats caused by already-discovered attacks specifically targeting ML models are either overseen, ignored, or mishandled. Current AML research investigates attack and defense scenarios for ML in different industrial settings with a varying degree of maturity with regard to academic rigor and practical relevance. However, to the best of our knowledge, a synthesis of the state of academic rigor and practical relevance is missing. This literature study reviews studies in the area of AML in the context of industry, measuring and analyzing each study's rigor and relevance scores. Overall, all studies scored a high rigor score and a low relevance score, indicating that the studies are thoroughly designed and documented but miss the opportunity to include touch points relatable for practitioners.</t>
  </si>
  <si>
    <t xml:space="preserve">[Jedrzejewski, Felix Viktor; Thode, Lukas; Gorschek, Tony; Mendez, Daniel; Lavesson, Niklas] Blekinge Inst Technol, Valhallavagen 1, S-37179 Karlskrona, Sweden; [Fischbach, Jannik] Netlight Consulting GmbH, Sternstr 5, D-80538 Munich, Germany; [Fischbach, Jannik; Gorschek, Tony; Mendez, Daniel] Fortiss GmbH, Guerickestr 25, D-80805 Munich, Germany</t>
  </si>
  <si>
    <t xml:space="preserve">Jedrzejewski, FV (corresponding author), Blekinge Inst Technol, Valhallavagen 1, S-37179 Karlskrona, Sweden.</t>
  </si>
  <si>
    <t xml:space="preserve">Gorschek, Tony/E-3445-2013; Lavesson, Niklas/B-3313-2013</t>
  </si>
  <si>
    <t xml:space="preserve">Mendez Fernandez, Daniel/0000-0003-0619-6027; Jedrzejewski, Felix Viktor/0000-0001-7090-2753; Lavesson, Niklas/0000-0002-0535-1761</t>
  </si>
  <si>
    <t xml:space="preserve">KKS foundation at Blekinge Institute of Technology [2018/010]</t>
  </si>
  <si>
    <t xml:space="preserve">KKS foundation at Blekinge Institute of Technology</t>
  </si>
  <si>
    <t xml:space="preserve">We would like to acknowledge that this work was supported by the KKS foundation through the SERT Research Profile project (researchprofile grant 2018/010) at Blekinge Institute of Technology.</t>
  </si>
  <si>
    <t xml:space="preserve">ELSEVIER ADVANCED TECHNOLOGY</t>
  </si>
  <si>
    <t xml:space="preserve">OXFORD FULFILLMENT CENTRE THE BOULEVARD, LANGFORD LANE, KIDLINGTON, OXFORD OX5 1GB, OXON, ENGLAND</t>
  </si>
  <si>
    <t xml:space="preserve">0167-4048</t>
  </si>
  <si>
    <t xml:space="preserve">1872-6208</t>
  </si>
  <si>
    <t xml:space="preserve">COMPUT SECUR</t>
  </si>
  <si>
    <t xml:space="preserve">Comput. Secur.</t>
  </si>
  <si>
    <t xml:space="preserve">10.1016/j.cose.2024.103988</t>
  </si>
  <si>
    <t xml:space="preserve">C6I7I</t>
  </si>
  <si>
    <t xml:space="preserve">WOS:001290393300001</t>
  </si>
  <si>
    <t xml:space="preserve">van Dreven, J; Boeva, V; Abghari, S; Grahn, H; Al Koussa, J; Motoasca, E</t>
  </si>
  <si>
    <t xml:space="preserve">van Dreven, Jonne; Boeva, Veselka; Abghari, Shahrooz; Grahn, Hakan; Al Koussa, Jad; Motoasca, Emilia</t>
  </si>
  <si>
    <t xml:space="preserve">Intelligent Approaches to Fault Detection and Diagnosis in District Heating: Current Trends, Challenges, and Opportunities</t>
  </si>
  <si>
    <t xml:space="preserve">artificial intelligence; data mining; machine learning; review</t>
  </si>
  <si>
    <t xml:space="preserve">LEAKAGE DETECTION; CLUSTER-ANALYSIS; IDENTIFICATION; PATTERNS; SUBSTATIONS; MODEL</t>
  </si>
  <si>
    <t xml:space="preserve">This paper presents a comprehensive survey of state-of-the-art intelligent fault detection and diagnosis in district heating systems. Maintaining an efficient district heating system is crucial, as faults can lead to increased heat loss, customer discomfort, and operational cost. Intelligent fault detection and diagnosis can help to identify and diagnose faulty behavior automatically by utilizing artificial intelligence or machine learning. In our survey, we review and discuss 57 papers published in the last 12 years, highlight the recent trends, identify current research gaps, discuss the limitations of current techniques, and provide recommendations for future studies in this area. While there is an increasing interest in the topic, and the past five years have shown much advancement, the absence of open-source high-quality labeled data severely hinders progress. Future research should aim to explore transfer learning, domain adaptation, and semi-supervised learning to improve current performance. Additionally, a researcher should increase knowledge of district heating data using data-centric approaches to establish a solid foundation for future fault detection and diagnosis in district heating.</t>
  </si>
  <si>
    <t xml:space="preserve">[van Dreven, Jonne; Boeva, Veselka; Abghari, Shahrooz; Grahn, Hakan] Blekinge Inst Technol, Dept Comp Sci, S-37179 Karlskrona, Sweden; [van Dreven, Jonne; Al Koussa, Jad; Motoasca, Emilia] Flemish Inst Technol Res VITO, Unit Energy Technol, Boeretang 200, B-2400 Mol, Belgium; [van Dreven, Jonne; Al Koussa, Jad; Motoasca, Emilia] EnergyVille, Thor Pk 8310, B-3600 Genk, Belgium</t>
  </si>
  <si>
    <t xml:space="preserve">van Dreven, J (corresponding author), Blekinge Inst Technol, Dept Comp Sci, S-37179 Karlskrona, Sweden.;van Dreven, J (corresponding author), Flemish Inst Technol Res VITO, Unit Energy Technol, Boeretang 200, B-2400 Mol, Belgium.</t>
  </si>
  <si>
    <t xml:space="preserve">Grahn, Håkan/G-9720-2011; Abghari, Shahrooz/ADU-1546-2022; Boeva, Veselka/IAP-9371-2023; van Dreven, Jonne/IQW-5956-2023</t>
  </si>
  <si>
    <t xml:space="preserve">Motoasca, Teodora-Emilia/0000-0002-8465-9560; van Dreven, Jonne/0000-0002-5229-1140; Abghari, Shahrooz/0000-0002-3010-8798; Grahn, Hakan/0000-0001-9947-1088</t>
  </si>
  <si>
    <t xml:space="preserve">Flemish Institute for Technological Research (VITO), Belgium; Knowledge Foundation, Sweden, through Human-Centered Intelligent Realities (HINTS) Profile Project [20220068]</t>
  </si>
  <si>
    <t xml:space="preserve">Flemish Institute for Technological Research (VITO), Belgium; Knowledge Foundation, Sweden, through Human-Centered Intelligent Realities (HINTS) Profile Project</t>
  </si>
  <si>
    <t xml:space="preserve">Jonne van Dreven is funded by the Flemish Institute for Technological Research (VITO), Belgium. This research was funded partly by the Knowledge Foundation, Sweden, through the Human-Centered Intelligent Realities (HINTS) Profile Project (contract 20220068).</t>
  </si>
  <si>
    <t xml:space="preserve">10.3390/electronics12061448</t>
  </si>
  <si>
    <t xml:space="preserve">A9PV4</t>
  </si>
  <si>
    <t xml:space="preserve">WOS:000958374200001</t>
  </si>
  <si>
    <t xml:space="preserve">Sidorova, J; Karlsson, S; Rosander, O; Berthier, ML; Moreno-Torres, I</t>
  </si>
  <si>
    <t xml:space="preserve">Sidorova, Julia; Karlsson, Simon; Rosander, Oliver; Berthier, Marcelo L.; Moreno-Torres, Ignacio</t>
  </si>
  <si>
    <t xml:space="preserve">Towards Disorder-Independent Automatic Assessment of Emotional Competence in Neurological Patients with a Classical Emotion Recognition System: Application in Foreign Accent Syndrome</t>
  </si>
  <si>
    <t xml:space="preserve">Emotion recognition; Ear; Portfolios; Neurological diseases; Pathology; Computational modeling; Biomarker; speech; emotion recognition; paralinguistic competence; foreign accent syndrome</t>
  </si>
  <si>
    <t xml:space="preserve">DEVELOPMENTAL DISORDERS; PARKINSONS-DISEASE; SPEECH; CLASSIFICATION; VOICE; LOAD</t>
  </si>
  <si>
    <t xml:space="preserve">Emotive speech is a non-invasive and cost-effective biomarker in a wide spectrum of neurological disorders with computational systems built to automate the diagnosis. In order to explore the possibilities for the automation of a routine speech analysis in the presence of hard to learn pathology patterns, we propose a framework to assess the level of competence in paralinguistic communication. Initially, the assessment relies on a perceptual experiment completed by human listeners, and a model called the Aggregated Ear has been proposed that draws a conclusion about the level of competence demonstrated by the patient. Then, the automation of the Aggregated Ear has been undertaken and resulted in a computational model that summarizes the portfolio of speech evidence on the patient. The summarizing system has a classical emotion recognition system as its central component. The code and the data are available from the corresponding author on request.</t>
  </si>
  <si>
    <t xml:space="preserve">[Sidorova, Julia; Karlsson, Simon; Rosander, Oliver] Blekinge Tekniska Hogskola, Comp Sci &amp; Engn, Karlskrona, Blekinge, Sweden; [Berthier, Marcelo L.] Ctr Invest Medicosanitarias, Unit Aphasia, Malaga, Andalucia, Spain; [Moreno-Torres, Ignacio] Univ Malaga, Fac Filosofia &amp; Letras, Malaga, Andalucia, Spain</t>
  </si>
  <si>
    <t xml:space="preserve">Blekinge Institute Technology; Universidad de Malaga</t>
  </si>
  <si>
    <t xml:space="preserve">Sidorova, J (corresponding author), Blekinge Tekniska Hogskola, Comp Sci &amp; Engn, Karlskrona, Blekinge, Sweden.</t>
  </si>
  <si>
    <t xml:space="preserve">julia.a.sidorova@gmail.com; s91k@outlook.com; rosanderoliver@gmail.com; marberthier@yahoo.es; imoreno@uma.es</t>
  </si>
  <si>
    <t xml:space="preserve">Moreno-Torres, Ignacio/H-2598-2015; Sidorova, Julia/D-7768-2013</t>
  </si>
  <si>
    <t xml:space="preserve">Sidorova, Julia/0000-0002-1024-168X</t>
  </si>
  <si>
    <t xml:space="preserve">This work is part of the research project Scalable resourceefficient systems for big data analytics funded by the Knowledge Foundation (grant: 20140032) in Sweden. The experiments were carried out at the infrastructure provided by HPI Future SOC Lab, Potsdam, Germany. We are thankful to Asuncion Moreno for letting us use the Spanish part of the INTERFACE corpus. We thank Lars Lundberg and Claes Jogreus for letting their brain machinery for running our ideas. Last but not least, we wish to express our gratitude to the editor and the anonymous reviewers.</t>
  </si>
  <si>
    <t xml:space="preserve">10.1109/TAFFC.2019.2908365</t>
  </si>
  <si>
    <t xml:space="preserve">XC4QV</t>
  </si>
  <si>
    <t xml:space="preserve">WOS:000722000100011</t>
  </si>
  <si>
    <t xml:space="preserve">Ahmadi, V; Arlos, P; Casalicchio, E</t>
  </si>
  <si>
    <t xml:space="preserve">ElAraby, E; Tomforde, S; Wood, T; Kumar, P; Raibulet, C; Petri, I; Valentini, G; Nelson, P; Porter, B</t>
  </si>
  <si>
    <t xml:space="preserve">Ahmadi, Vida; Arlos, Patrik; Casalicchio, Emiliano</t>
  </si>
  <si>
    <t xml:space="preserve">Normalization of Severity Rating for Automated Context-aware Vulnerability Risk Management</t>
  </si>
  <si>
    <t xml:space="preserve">2020 IEEE INTERNATIONAL CONFERENCE ON AUTONOMIC COMPUTING AND SELF-ORGANIZING SYSTEMS COMPANION (ACSOS-C 2020)</t>
  </si>
  <si>
    <t xml:space="preserve">1st IEEE International Conference on Autonomic Computing and Self-Organizing Systems (ACSOS)</t>
  </si>
  <si>
    <t xml:space="preserve">AUG 17-21, 2020</t>
  </si>
  <si>
    <t xml:space="preserve">vulnerability; automation; Risk Assessment; self-protection</t>
  </si>
  <si>
    <t xml:space="preserve">In the last three years, the unprecedented increase in discovered vulnerabilities ranked with critical and high severity raise new challenges in Vulnerability Risk Management (VRM). Indeed, identifying, analyzing and remediating this high rate of vulnerabilities is labour intensive, especially for enterprises dealing with complex computing infrastructures such as Infrastructure-as-a-Service providers. Hence there is a demand for new criteria to prioritize vulnerabilities remediation and new automated/autonomic approaches to VRM. In this paper, we address the above challenge proposing an Automated Context-aware Vulnerability Risk Management (AC-VRM) methodology that aims: to reduce the labour intensive tasks of security experts; to prioritize vulnerability remediation on the basis of the organization context rather than risk severity only. The proposed solution considers multiple vulnerabilities databases to have a great coverage on known vulnerabilities and to determine the vulnerability rank. After the description of the new VRM methodology, we focus on the problem of obtaining a single vulnerability score by normalization and fusion of ranks obtained from multiple vulnerabilities databases. Our solution is a parametric normalization that accounts for organization needs/specifications.</t>
  </si>
  <si>
    <t xml:space="preserve">[Ahmadi, Vida] City Network Int AB, Dept Comp Sci, Blekinge Inst Technol, Karlskrona, Sweden; [Arlos, Patrik; Casalicchio, Emiliano] Blekinge Inst Technol, Dept Comp Sci, Karlskrona, Sweden; [Casalicchio, Emiliano] Sapienza Univ Rome, Rome, Italy</t>
  </si>
  <si>
    <t xml:space="preserve">Blekinge Institute Technology; Blekinge Institute Technology; Sapienza University Rome</t>
  </si>
  <si>
    <t xml:space="preserve">Ahmadi, V (corresponding author), City Network Int AB, Dept Comp Sci, Blekinge Inst Technol, Karlskrona, Sweden.</t>
  </si>
  <si>
    <t xml:space="preserve">vida.ahmadi@citynetwork.eu; patrik.arlos@bth.se; emiliano.casalicchio@bth.se</t>
  </si>
  <si>
    <t xml:space="preserve">Casalicchio, Emiliano/JWQ-0758-2024; Mehri, Vida/E-7554-2017</t>
  </si>
  <si>
    <t xml:space="preserve">[RG11916B88C838E8]</t>
  </si>
  <si>
    <t xml:space="preserve">The work of E.Casalicchio is partially funded by the SmartDefense project n. RG11916B88C838E8.</t>
  </si>
  <si>
    <t xml:space="preserve">978-1-7281-8414-2</t>
  </si>
  <si>
    <t xml:space="preserve">10.1109/ACSOS-C51401.2020.00056</t>
  </si>
  <si>
    <t xml:space="preserve">Computer Science, Information Systems; Computer Science, Theory &amp; Methods; Engineering, Electrical &amp; Electronic</t>
  </si>
  <si>
    <t xml:space="preserve">BS4HN</t>
  </si>
  <si>
    <t xml:space="preserve">WOS:000719366200037</t>
  </si>
  <si>
    <t xml:space="preserve">Where to Go from Here? Future Challenges</t>
  </si>
  <si>
    <t xml:space="preserve">WOS:000764055500006</t>
  </si>
  <si>
    <t xml:space="preserve">Khadilkar, P; Jagtap, S</t>
  </si>
  <si>
    <t xml:space="preserve">Khadilkar, Pramod; Jagtap, Santosh</t>
  </si>
  <si>
    <t xml:space="preserve">Can Design Be Non-paternalistic? Conceptualizing Paternalism in the Design Profession</t>
  </si>
  <si>
    <t xml:space="preserve">SHE JI-THE JOURNAL OF DESIGN ECONOMICS AND INNOVATION</t>
  </si>
  <si>
    <t xml:space="preserve">Paternalism in design; Design ethics; Participatory design; Design for behavior change; Philosophy of design</t>
  </si>
  <si>
    <t xml:space="preserve">THINKING; PATRIARCHY; BEHAVIOR; WORKING; WOMEN</t>
  </si>
  <si>
    <t xml:space="preserve">Paternalism is an instance of someone making a decision on behalf of someone else. A professional designer can exhibit paternalism through conceptualizing, defining, and selecting current or preferable situations or while finalizing outcomes for stakeholders. Paternalism is thus, a critical ethical dimension related to the design profession. The design academy and community must theorize paternalism if we are to avoid or reduce it. Paternalism may be present at three critical junctures of design decision making. Our three-layer framework examines paternalism as it relates to design process decisions, decisions about participation in design, and normative framework decisions. The circular model represents the hierarchy of paternalistic decision making: any effort to overcome paternalism at the (inner) design level or (middle) participatory level will be ineffective if it is present in the (outer) normative layer. We discuss the extent of possible exhibitions of paternalism and the challenges to avoiding it in decisions at each layer, and contrast these briefly with overtly paternalistic design approaches, such as design for behavior change. We find that design may be inherently paternalistic, at times may need to be that way (in certain contexts especially, where expertise is required for decisions to be made accurately), and that it is up to the individual designer whether they exhibit paternalism in their design decisions or not.</t>
  </si>
  <si>
    <t xml:space="preserve">[Khadilkar, Pramod] Indian Inst Technol Delhi, Dept Design, Delhi, India; [Jagtap, Santosh] Blekinge Inst Technol, Prod Dev Res Lab, Karlskrona, Sweden</t>
  </si>
  <si>
    <t xml:space="preserve">Indian Institute of Technology System (IIT System); Indian Institute of Technology (IIT) - Delhi; Blekinge Institute Technology</t>
  </si>
  <si>
    <t xml:space="preserve">Khadilkar, P (corresponding author), Indian Inst Technol Delhi, Dept Design, Delhi, India.</t>
  </si>
  <si>
    <t xml:space="preserve">prakha@design.iitd.ac.in; santosh.jagtap@bth.se</t>
  </si>
  <si>
    <t xml:space="preserve">Jagtap, Santosh/0000-0002-1424-751X; Khadilkar, Pramod/0000-0002-8249-2429</t>
  </si>
  <si>
    <t xml:space="preserve">2405-8726</t>
  </si>
  <si>
    <t xml:space="preserve">2405-8718</t>
  </si>
  <si>
    <t xml:space="preserve">SHE JI</t>
  </si>
  <si>
    <t xml:space="preserve">She Ji-J. Des. Econ. Innov.</t>
  </si>
  <si>
    <t xml:space="preserve">WIN</t>
  </si>
  <si>
    <t xml:space="preserve">10.1016/j.sheji.2021.09.001</t>
  </si>
  <si>
    <t xml:space="preserve">Humanities, Multidisciplinary; Social Sciences, Interdisciplinary</t>
  </si>
  <si>
    <t xml:space="preserve">Arts &amp; Humanities - Other Topics; Social Sciences - Other Topics</t>
  </si>
  <si>
    <t xml:space="preserve">XM1IM</t>
  </si>
  <si>
    <t xml:space="preserve">WOS:000728589200007</t>
  </si>
  <si>
    <t xml:space="preserve">Coppola, R; Fulcini, T; Ardito, L; Torchiano, M; Alegroth, E</t>
  </si>
  <si>
    <t xml:space="preserve">Coppola, Riccardo; Fulcini, Tommaso; Ardito, Luca; Torchiano, Marco; Alegroth, Emil</t>
  </si>
  <si>
    <t xml:space="preserve">On Effectiveness and Efficiency of Gamified Exploratory GUI Testing</t>
  </si>
  <si>
    <t xml:space="preserve">Software testing; web application testing; gamification</t>
  </si>
  <si>
    <t xml:space="preserve">Context: Gamification appears to improve enjoyment and quality of execution of software engineering activities, including software testing. Though commonly employed in industry, manual exploratory testing of web application GUIs was proven to be mundane and expensive. Gamification applied to that kind of testing activity has the potential to overcome its limitations, though no empirical research has explored this area yet. Goal: Collect preliminary insights on how gamification, when performed by novice testers, affects the effectiveness, efficiency, test case realism, and user experience in exploratory testing of web applications. Method: Common gamification features augment an existing exploratory testing tool: Final Score with Leaderboard, Injected Bugs, Progress Bar, and Exploration Highlights. The original tool and the gamified version are then compared in an experiment involving 144 participants. User experience is elicited using the Technology Acceptance Model (TAM) questionnaire instrument. Results: Statistical analysis identified several significant differences for metrics that represent the effectiveness and efficiency of tests showing an improvement in coverage when they were developed with gamification. Additionally, user experience is improved with gamification. Conclusions: Gamification of exploratory testing has a tangible effect on how testers create test cases for web applications. While the results are mixed, the effects are most beneficial and interesting and warrant more research in the future. Further research shall be aimed at confirming the presented results in the context of state-of-the-art testing tools and real-world development environments.</t>
  </si>
  <si>
    <t xml:space="preserve">[Coppola, Riccardo; Fulcini, Tommaso; Ardito, Luca; Torchiano, Marco] Polytech Univ Turin, Dept Control &amp; Comp Engn, I-10129 Turin, Italy; [Alegroth, Emil] Blekinge Inst Technol, SE-37179 Karlskrona, Sweden</t>
  </si>
  <si>
    <t xml:space="preserve">Ardito, L (corresponding author), Polytech Univ Turin, Dept Control &amp; Comp Engn, I-10129 Turin, Italy.</t>
  </si>
  <si>
    <t xml:space="preserve">luca.ardito@polito.it; emil.alegroth@bth.se</t>
  </si>
  <si>
    <t xml:space="preserve">Torchiano, Marco/0000-0001-5328-368X; ARDITO, LUCA/0000-0002-0501-7886; Alegroth, Emil/0000-0001-7526-3727; FULCINI, TOMMASO/0000-0001-8765-6501</t>
  </si>
  <si>
    <t xml:space="preserve">Ministero dell#x2019;Universit#x00E0; e della Ricerca</t>
  </si>
  <si>
    <t xml:space="preserve">10.1109/TSE.2023.3348036</t>
  </si>
  <si>
    <t xml:space="preserve">IP4I9</t>
  </si>
  <si>
    <t xml:space="preserve">WOS:001167516600010</t>
  </si>
  <si>
    <t xml:space="preserve">Smite, D; Moe, NB; Hildrum, J; Huerta, JG; Mendez, D</t>
  </si>
  <si>
    <t xml:space="preserve">Smite, Darja; Moe, Nils Brede; Hildrum, Jarle; Huerta, Javier Gonzalez; Mendez, Daniel</t>
  </si>
  <si>
    <t xml:space="preserve">Work-from-home is here to stay: Call for flexibility in post-pandemic work policies</t>
  </si>
  <si>
    <t xml:space="preserve">Work from home; Work from anywhere; Remote work; Hybrid workplace; Post-pandemic; Survey</t>
  </si>
  <si>
    <t xml:space="preserve">In early 2020, the Covid-19 pandemic forced employees in tech companies worldwide to abruptly transition from working in offices to working from their homes. During two years of predominantly working from home, employees and managers alike formed expectations about what post-pandemic working life should look like. Many companies are experimenting with new work policies that balance employee- and manager expectations regarding where, when and how work should be done in the future. In this article, we gather experiences of the new trend of remote working based on the synthesis of 22 company-internal surveys of employee preferences for WFH, and 26 post-pandemic work policies from 17 companies and their sites, covering 12 countries in total. Our results are threefold. First, through the new work policies, all companies formally give employees more flexibility regarding working time and location. Second, there is a great variation in how much flexibility the companies are willing to yield to the employees. The paper details the different formulations that companies adopted to document the extent of permitted WFH, exceptions, relocation permits and the authorisation procedures. Third, we document a change in the psychological contract between employees and managers, where the option of working from home is converted from an exclusive perk that managers could choose to give to the few, to a core privilege that all employees feel they are entitled to. Finally, there are indications that as the companies learn and solicit feedback regarding the efficiency of the chosen strategies, we will see further developments and changes in the work policies concerning how much flexibility to work whenever and from wherever they grant. Through these findings, the paper contributes to a growing literature about the new trends emerging from the pandemic in tech companies and spells out practical implications onwards.(c) 2022 The Author(s). Published by Elsevier Inc. This is an open access article under the CC BY license (http://creativecommons.org/licenses/by/4.0/).</t>
  </si>
  <si>
    <t xml:space="preserve">[Smite, Darja; Moe, Nils Brede; Huerta, Javier Gonzalez; Mendez, Daniel] Blekinge Inst Technol, Karlskrona, Sweden; [Smite, Darja; Moe, Nils Brede] SINTEF, Trondheim, Norway; [Hildrum, Jarle] Telenor, Khammam, Norway; [Mendez, Daniel] fortiss, Munich, Germany</t>
  </si>
  <si>
    <t xml:space="preserve">Blekinge Institute Technology; SINTEF; fortiss</t>
  </si>
  <si>
    <t xml:space="preserve">Mendez, Daniel/ABA-4579-2021; Moe, Nils/AAD-8183-2021</t>
  </si>
  <si>
    <t xml:space="preserve">Swedish Knowledge Foundation within the Scale Wise project [2019/0087]; S.E.R.T. project [2018/010]; SHADE project [2017/0176]; Research Council of Norway through the 10xTeams project [309344]; Transformit project [321477]</t>
  </si>
  <si>
    <t xml:space="preserve">Swedish Knowledge Foundation within the Scale Wise project; S.E.R.T. project; SHADE project; Research Council of Norway through the 10xTeams project(Research Council of Norway); Transformit project</t>
  </si>
  <si>
    <t xml:space="preserve">We are thankful to all the companies participating in our study for the irengagement and interest in the outcome of our research. This research is funded by the Swedish Knowledge Foundation within the Scale Wise project (KK-Hoeg grant 2019/0087),the S.E.R.T. project (research profile grant 2018/010), SHADE project (KK-Hoeg grant 2017/0176), and the Research Council of Norway through the 10xTeams project (grant 309344) and the Transformit project (grant 321477).</t>
  </si>
  <si>
    <t xml:space="preserve">10.1016/j.jss.2022.111552</t>
  </si>
  <si>
    <t xml:space="preserve">7M8NE</t>
  </si>
  <si>
    <t xml:space="preserve">WOS:000906907300004</t>
  </si>
  <si>
    <t xml:space="preserve">Schulte, J; Knuts, S</t>
  </si>
  <si>
    <t xml:space="preserve">Schulte, Jesko; Knuts, Soren</t>
  </si>
  <si>
    <t xml:space="preserve">Sustainability impact and effects analysis- A risk management tool for sustainable product development</t>
  </si>
  <si>
    <t xml:space="preserve">Sustainable innovation; Eco-design; Failure mode and effects analysis (FMEA); Action research; Decision-support; Strategic sustainable development</t>
  </si>
  <si>
    <t xml:space="preserve">CIRCULAR ECONOMY; DESIGN; FRAMEWORK; SYSTEM; IMPLEMENTATION; TRANSITION; INSIGHTS; SUPPORT</t>
  </si>
  <si>
    <t xml:space="preserve">Integrating a strategic sustainability perspective in product development requires that decision-makers can connect socio-ecological sustainability aspects to tangible business implications in the short-and long term. Only then will there be the driving forces necessary for adopting sustainable product development practices. A risk management approach can be used to enable strategic proactivity by exposing the potential consequences of sustainability-related decisions, for example in relation to reputation, legislative change, the ability to attract top talent, or meeting customer needs. Through an action research approach and by building on previous findings and existing tools and methods, this study presents the Sustainability Impact and Effects Analysis. This novel method and risk management tool combines the familiar format of the well-established Failure Mode and Effects Analysis with a strategic sustainability perspective. Designed to be applicable in early stages of the product innovation process, this tool aims to increase decision-makers' awareness of sustainability risks and provide them with a practical way for how to identify, assess, and treat such risks. The tool was developed in close collaboration with industry and tested in two different companies. The results indicate the effectiveness of the tool for identifying and analyzing sustainability risks, as well as deriving and monitoring strategies for how to manage them strategically, also leading to an increased awareness of the interconnections between socio-ecological sustainability aspects and business implications. Thereby, it can provide support for companies in how to work with product development in a way that contributes to society's transition towards sustainability, while benefiting the own organization. (c) 2022 The Authors. Published by Elsevier Ltd on behalf of Institution of Chemical Engineers. This is an open access article under the CC BY license ( http://creativecommons.org/licenses/by/4.0/ )</t>
  </si>
  <si>
    <t xml:space="preserve">[Schulte, Jesko] Blekinge Inst Technol, Dept Strateg Sustainable Dev, Karlskrona, Sweden; [Knuts, Soren] GKN Aerosp Engine Syst, Trollhattan, Sweden</t>
  </si>
  <si>
    <t xml:space="preserve">Schulte, J (corresponding author), Blekinge Inst Technol, Dept Strateg Sustainable Dev, Karlskrona, Sweden.</t>
  </si>
  <si>
    <t xml:space="preserve">jesko.schulte@bth.se</t>
  </si>
  <si>
    <t xml:space="preserve">Knuts, Soren/LRT-1931-2024; Schulte, Jesko/J-5717-2019</t>
  </si>
  <si>
    <t xml:space="preserve">Sweden's Innovation Agency Vinnova [2020-04163]; Knowledge Foundation in Sweden [20180159]; Vinnova [2020-04163] Funding Source: Vinnova; Swedish Research Council [2020-04163] Funding Source: Swedish Research Council</t>
  </si>
  <si>
    <t xml:space="preserve">Sweden's Innovation Agency Vinnova(Vinnova); Knowledge Foundation in Sweden; Vinnova(Vinnova); Swedish Research Council(Swedish Research Council)</t>
  </si>
  <si>
    <t xml:space="preserve">Financial support from Sweden's Innovation Agency Vinnova (grant number 2020-04163) and the Knowledge Foundation in Sweden (grant number 20180159) is gratefully acknowledged. Sincere thanks to Prof. Sophie I. Hallstedt, Dr. Johanna Wallin Nylander and the industrial research partners.</t>
  </si>
  <si>
    <t xml:space="preserve">10.1016/j.spc.2022.01.004</t>
  </si>
  <si>
    <t xml:space="preserve">0W6MF</t>
  </si>
  <si>
    <t xml:space="preserve">WOS:000789137500005</t>
  </si>
  <si>
    <t xml:space="preserve">Qammar, A; Ding, JG; Ning, HS</t>
  </si>
  <si>
    <t xml:space="preserve">Qammar, Attia; Ding, Jianguo; Ning, Huansheng</t>
  </si>
  <si>
    <t xml:space="preserve">Federated learning attack surface: taxonomy, cyber defences, challenges, and future directions</t>
  </si>
  <si>
    <t xml:space="preserve">ARTIFICIAL INTELLIGENCE REVIEW</t>
  </si>
  <si>
    <t xml:space="preserve">Federated learning; Security; Privacy; Attack surface; Cyber defence</t>
  </si>
  <si>
    <t xml:space="preserve">DATA PRIVACY; FRAMEWORK; SYSTEM</t>
  </si>
  <si>
    <t xml:space="preserve">Federated learning (FL) has received a great deal of research attention in the context of privacy protection restrictions. By jointly training deep learning models, a variety of training tasks can be competently performed with the help of invited participants. However, FL is concerned with a large number of attacks involving privacy and security aspects. This paper shows a federated learning workflow process and how a malicious client can exploit vulnerabilities in the FL system to attack the system. A systematic survey of existing research on the taxonomy of federated learning attack surface and the classification is presented. As with the FL attack surface, attackers compromise security, privacy, gain free incentives and abuse the Confidentiality, Integrity, and Availability (CIA) security triad. In addition, state-of-the-art defensive approaches against FL attacks are elaborated which help to protect and minimize the likelihood of attacks. FL models and tools for privacy attacks are explained, along with their best aspects and drawbacks. Finally, technical challenges and possible research guidelines are discussed as future work to build robust FL systems.</t>
  </si>
  <si>
    <t xml:space="preserve">[Qammar, Attia; Ning, Huansheng] Univ Sci &amp; Technol Beijing, Sch Comp &amp; Commun Engn, Beijing, Peoples R China; [Ding, Jianguo] Blekinge Inst Technol, Dept Comp Sci, Karlskrona, Sweden</t>
  </si>
  <si>
    <t xml:space="preserve">Ning, HS (corresponding author), Univ Sci &amp; Technol Beijing, Sch Comp &amp; Commun Engn, Beijing, Peoples R China.</t>
  </si>
  <si>
    <t xml:space="preserve">jianguo.ding@bth.se; ninghuansheng@ustb.edu.cn</t>
  </si>
  <si>
    <t xml:space="preserve">0269-2821</t>
  </si>
  <si>
    <t xml:space="preserve">1573-7462</t>
  </si>
  <si>
    <t xml:space="preserve">ARTIF INTELL REV</t>
  </si>
  <si>
    <t xml:space="preserve">Artif. Intell. Rev.</t>
  </si>
  <si>
    <t xml:space="preserve">10.1007/s10462-021-10098-w</t>
  </si>
  <si>
    <t xml:space="preserve">1D6JS</t>
  </si>
  <si>
    <t xml:space="preserve">WOS:000718221200001</t>
  </si>
  <si>
    <t xml:space="preserve">Jachimczyk, B; Tkaczyk, R; Piotrowski, T; Johansson, S; Kulesza, WJ</t>
  </si>
  <si>
    <t xml:space="preserve">Jachimczyk, Bartosz; Tkaczyk, Rafal; Piotrowski, Tomasz; Johansson, Sven; Kulesza, Wlodek J.</t>
  </si>
  <si>
    <t xml:space="preserve">IoT-based Dairy Supply Chain - An Ontological Approach</t>
  </si>
  <si>
    <t xml:space="preserve">Dairy value chain; Knowledge model; Semantic web; Supply chain management; Supply chain modelling; Visibility</t>
  </si>
  <si>
    <t xml:space="preserve">TRACEABILITY SYSTEM; MANAGEMENT; OPTIMIZATION; SAFETY</t>
  </si>
  <si>
    <t xml:space="preserve">Emerging digital transformation in industry is noticeable among others in Supply Chain Management (SCM). For instance, applying new-generation digitalized technologies in the Dairy Supply Chain (DSC) enables an increase of manufacturing productivity, improves planning and forecasting, and also enhances competitive capabilities according to Industry 4.0 assumptions. It is worth mentioning, that in modern DSC, high visibility of raw materials, components, products, and processes by all contributors on all stages of DSC is crucial. This article focuses on the transparency aspect of the DSC supported by IoT-based technologies enabling interoperability among all DSC participants. The paper addresses the problem of effective integration of heterogeneous data sources, i.e., deployed new technological IoT solutions with traditional SCM systems and a third-party software component. The main objective of this report is to propose the IoT-based DSC model comprising four chain stages: milk production, milk transportation, milk processing, and dairy products distribution. Moreover, the comprehensive DSC domain ontology as a knowledge model is formulated and described. The ontology aims on improvement of the DSC management efficiency by facilitating interoperability within DSC. The applicability of the proposed ontological model is verified using a sustainable-oriented case study, which estimates the environmental footprint at the milk transportation stage of the DSC.</t>
  </si>
  <si>
    <t xml:space="preserve">[Jachimczyk, Bartosz; Johansson, Sven; Kulesza, Wlodek J.] Blekinge Inst Technol, S-37179 Karlskrona, Sweden; [Tkaczyk, Rafal] DAC SA, Ul Kolobrzeska 14, PL-80394 Gdansk, Poland; [Piotrowski, Tomasz] Warsaw Univ Life Sci, Dept Anim Breeding &amp; Prod, Ul Ciszewskiego 8, PL-02786 Warsaw, Poland</t>
  </si>
  <si>
    <t xml:space="preserve">Blekinge Institute Technology; Warsaw University of Life Sciences</t>
  </si>
  <si>
    <t xml:space="preserve">Jachimczyk, B (corresponding author), Blekinge Inst Technol, S-37179 Karlskrona, Sweden.</t>
  </si>
  <si>
    <t xml:space="preserve">bartosz.jachimczyk@bth.se</t>
  </si>
  <si>
    <t xml:space="preserve">ECSEL Joint Undertaking (JU) [783221]</t>
  </si>
  <si>
    <t xml:space="preserve">ECSEL Joint Undertaking (JU)</t>
  </si>
  <si>
    <t xml:space="preserve">This research was funded by ECSEL Joint Undertaking (JU) under Grant No. 783221.</t>
  </si>
  <si>
    <t xml:space="preserve">10.5755/j02.eie.27612</t>
  </si>
  <si>
    <t xml:space="preserve">QM2WF</t>
  </si>
  <si>
    <t xml:space="preserve">WOS:000621642600008</t>
  </si>
  <si>
    <t xml:space="preserve">Robertsen, IL; Skär, L</t>
  </si>
  <si>
    <t xml:space="preserve">Robertsen, Inger-Lise; Skar, Lisa</t>
  </si>
  <si>
    <t xml:space="preserve">Oncology nurses' experiences of meeting with men with cancer-related fatigue: a qualitative study</t>
  </si>
  <si>
    <t xml:space="preserve">cancer nurse; content analysis; cancer-related fatigue; men with cancer; qualitative method</t>
  </si>
  <si>
    <t xml:space="preserve">CENTERED CARE; PERCEPTIONS; PATIENT</t>
  </si>
  <si>
    <t xml:space="preserve">Background Cancer treatment often causes side effects, among which fatigue is common and can persist for years among disease-free cancer survivors. Living with fatigue can lead to reduced life expectancy and quality of life. Aims and objectives To describe oncology nurses' experiences of meeting with men with cancer and talking about cancer-related fatigue. Design and Methods The data were collected via semi-structured interviews with nine oncology nurses recruited using a purposeful sampling method and analysed using thematic content analysis. This qualitative design was conducted to describe and interpret the content of experiences. Ethical issues and approval The study was approved by a regional Ethical Review Board, and research ethical principles were followed. Results The analysis revealed one major theme, namely take the whole person into consideration, and three subthemes: the importance of (i) establishing trust in the nurse-patient relationship, (ii) supporting the patient's understanding of cancer-related fatigue, and (iii) managing the challenging emotions experienced by patients. The major theme describes the oncology nurses' approach when meeting with men with cancer-related fatigue. Conclusion The results provide insight into how oncology nurses can increase their knowledge about fatigue to establish trust in nurse-patient relationships. They can acquire knowledge about how to make men with cancer-related fatigue feel safe when handling their daily lives despite their fatigue. Oncology nurses require knowledge, presence and commitment in their interactions with men with cancer-related fatigue to be able to take the whole person into consideration. This study demonstrates the importance of the approach oncology nurses take when interacting with men with cancer-related fatigue and the strategies required when talking about cancer-related fatigue.</t>
  </si>
  <si>
    <t xml:space="preserve">[Robertsen, Inger-Lise] Nord Univ, Fac Profess Studies, Bodo, Norway; [Skar, Lisa] Blekinge Inst Technol, Dept Hlth, SE-37179 Karlskrona, Sweden</t>
  </si>
  <si>
    <t xml:space="preserve">Nord University; Blekinge Institute Technology</t>
  </si>
  <si>
    <t xml:space="preserve">Skär, L (corresponding author), Blekinge Inst Technol, Dept Hlth, SE-37179 Karlskrona, Sweden.</t>
  </si>
  <si>
    <t xml:space="preserve">Skar, Lisa/0000-0002-5731-2799</t>
  </si>
  <si>
    <t xml:space="preserve">10.1111/scs.12841</t>
  </si>
  <si>
    <t xml:space="preserve">MAR 2020</t>
  </si>
  <si>
    <t xml:space="preserve">QK1RU</t>
  </si>
  <si>
    <t xml:space="preserve">WOS:000563099500001</t>
  </si>
  <si>
    <t xml:space="preserve">Frattini, J; Fischbach, J; Fucci, D; Unterkalmsteiner, M; Mendez, D</t>
  </si>
  <si>
    <t xml:space="preserve">Frattini, Julian; Fischbach, Jannik; Fucci, Davide; Unterkalmsteiner, Michael; Mendez, Daniel</t>
  </si>
  <si>
    <t xml:space="preserve">Measuring the Fitness-for-Purpose of Requirements: An initial Model of Activities and Attributes</t>
  </si>
  <si>
    <t xml:space="preserve">requirements engineering; requirements quality; literature review; interview study; activity</t>
  </si>
  <si>
    <t xml:space="preserve">SOFTWARE; QUALITY</t>
  </si>
  <si>
    <t xml:space="preserve">Requirements engineering aims to fulfill a purpose, i.e., inform subsequent software development activities about stakeholders' needs and constraints that must be met by the system under development. The quality of requirements artifacts and processes is determined by how fit for this purpose they are, i.e., how they impact activities affected by them. However, research on requirements quality lacks a comprehensive overview of these activities and how to measure them. In this paper, we specify the research endeavor addressing this gap and propose an initial model of requirements-affected activities and their attributes. We construct a model from three distinct data sources, including both literature and empirical data. The results yield an initial model containing 24 activities and 16 attributes quantifying these activities. Our long-term goal is to develop evidence-based decision support on how to optimize the fitness for purpose of the RE phase to best support the subsequent, affected software development process. We do so by measuring the effect that requirements artifacts and processes have on the attributes of these activities. With the contribution at hand, we invite the research community to critically discuss our research roadmap and support the further evolution of the model.</t>
  </si>
  <si>
    <t xml:space="preserve">[Frattini, Julian; Fucci, Davide; Unterkalmsteiner, Michael; Mendez, Daniel] Blekinge Inst Technol, Karlskrona, Sweden; [Fischbach, Jannik] Netlight Consulting GmbH, Munich, Germany; [Mendez, Daniel] Fortiss GmbH, Munich, Germany</t>
  </si>
  <si>
    <t xml:space="preserve">Mendez, D (corresponding author), Blekinge Inst Technol, Karlskrona, Sweden.</t>
  </si>
  <si>
    <t xml:space="preserve">julian.frattini@bth.se; jannik.fischbach@bth.se; davide.fucci@bth.se; michael.unterkalmsteiner@bth.se; daniel.mendez@bth.se</t>
  </si>
  <si>
    <t xml:space="preserve">This work was supported by the KKS foundation through the S.E.R.T. Research Profile project at Blekinge Institute of Technology. We further thank Parisa Yousefi and Charlotte Ljungman from Ericsson Karlskrona for facilitating the interview study.</t>
  </si>
  <si>
    <t xml:space="preserve">10.1109/RE59067.2024.00047</t>
  </si>
  <si>
    <t xml:space="preserve">WOS:001300544600039</t>
  </si>
  <si>
    <t xml:space="preserve">Leick, B; Gretzinger, S; Makkonen, T</t>
  </si>
  <si>
    <t xml:space="preserve">Backman, Michaela; Karlsson, Charlie</t>
  </si>
  <si>
    <t xml:space="preserve">Opportunity- and necessity-driven entrepreneurship in urban versus rural locations</t>
  </si>
  <si>
    <t xml:space="preserve">RURAL ENTERPRISE ECONOMY</t>
  </si>
  <si>
    <t xml:space="preserve">Routledge Studies in the Economics of Business and Industry</t>
  </si>
  <si>
    <t xml:space="preserve">Article; Book Chapter</t>
  </si>
  <si>
    <t xml:space="preserve">AGGLOMERATION; ECONOMIES</t>
  </si>
  <si>
    <t xml:space="preserve">[Backman, Michaela; Karlsson, Charlie] Jonkoping Int Business Sch, Econ, Jonkoping, Sweden; [Backman, Michaela] Ctr Entrepreneurship &amp; Spatial Econ CEnSE, Jonkoping, Sweden; [Karlsson, Charlie] Blekinge Inst Technol, Ind Econ, Karlskrona, Sweden</t>
  </si>
  <si>
    <t xml:space="preserve">Backman, M (corresponding author), Jonkoping Int Business Sch, Econ, Jonkoping, Sweden.;Backman, M (corresponding author), Ctr Entrepreneurship &amp; Spatial Econ CEnSE, Jonkoping, Sweden.</t>
  </si>
  <si>
    <t xml:space="preserve">ROUTLEDGE</t>
  </si>
  <si>
    <t xml:space="preserve">2 PARK SQ, MILTON PARK, ABINGDON OX14 4RN, OXFORD, ENGLAND</t>
  </si>
  <si>
    <t xml:space="preserve">978-1-032-11801-7; 978-1-003-03400-1; 978-0-367-47187-3</t>
  </si>
  <si>
    <t xml:space="preserve">ROUTL ST ECON BUS</t>
  </si>
  <si>
    <t xml:space="preserve">10.4324/9781003034001-10</t>
  </si>
  <si>
    <t xml:space="preserve">10.4324/9781003034001</t>
  </si>
  <si>
    <t xml:space="preserve">Business; Economics; Regional &amp; Urban Planning</t>
  </si>
  <si>
    <t xml:space="preserve">Book Citation Index – Social Sciences &amp; Humanities (BKCI-SSH)</t>
  </si>
  <si>
    <t xml:space="preserve">Business &amp; Economics; Public Administration</t>
  </si>
  <si>
    <t xml:space="preserve">BU3HW</t>
  </si>
  <si>
    <t xml:space="preserve">WOS:000890766600011</t>
  </si>
  <si>
    <t xml:space="preserve">Pioneering Entrepreneurship Research: How, by Whom, and When</t>
  </si>
  <si>
    <t xml:space="preserve">entrepreneurship research; evolution; pioneers</t>
  </si>
  <si>
    <t xml:space="preserve">KNOWLEDGE; GROWTH; MODEL; RECIPIENT; COMMERCIALIZATION; PERFORMANCE; PROPENSITY; DYNAMICS; CREATION; HISTORY</t>
  </si>
  <si>
    <t xml:space="preserve">Economic thought on entrepreneurship goes at least as far back as to Richard Cantillon, Adam Smith and Jean-Baptiste Say in the 18th and 19th centuries, and by some accounts much further back. After being neglected throughout a large part of the 20th century, entrepreneurship research has risen to become one of the most forceful, dynamic and expansionary fields in social sciences, represented by variety of specialized journals and conferences and encompassing several academic sub-disciplines. This monograph attempts to provide an overview of primarily contemporary pioneers in entrepreneurship research who have been instrumental in defining, re-introducing and establishing entrepreneurship as a core research discipline through their seminal scientific endeavors. Besides of the founding fathers of entrepreneurship research, we have identified 45 pioneers from a list of several hundreds of potential candidates. Three of those made their most seminal contributions between the late 1940s and the late 1960s. The remaining 42 contemporary pioneers were decisive for the establishment of the research field. Our ambition is thus to provide answers to how, by whom and when these pioneering contributions were made. By necessity, given how large and diverse the field has become, many researchers and topics have been left out of this review. We humbly recognize that we may have left out researchers who deserve to be mentioned; nevertheless we feel confident that selection of scholars are all worthy pioneers in the entrepreneurship research field.</t>
  </si>
  <si>
    <t xml:space="preserve">[Braunerhjelm, Pontus] KTH Royal Inst Technol, Stockholm, Sweden; [Braunerhjelm, Pontus; Andersson, Martin; Eklund, Johan] Blekinge Inst Technol, Stockholm, Sweden; [Braunerhjelm, Pontus; Andersson, Martin; Eklund, Johan] Swedish Entrepreneurship Forum, Stockholm, Sweden</t>
  </si>
  <si>
    <t xml:space="preserve">Braunerhjelm, P (corresponding author), KTH Royal Inst Technol, Stockholm, Sweden.;Braunerhjelm, P (corresponding author), Blekinge Inst Technol, Stockholm, Sweden.;Braunerhjelm, P (corresponding author), Swedish Entrepreneurship Forum, Stockholm, Sweden.</t>
  </si>
  <si>
    <t xml:space="preserve">+</t>
  </si>
  <si>
    <t xml:space="preserve">10.1561/0300000103</t>
  </si>
  <si>
    <t xml:space="preserve">WOS:000764055500001</t>
  </si>
  <si>
    <t xml:space="preserve">Kusetogullari, H; Yavariabdi, A; Cheddad, A; Grahn, H; Hall, J</t>
  </si>
  <si>
    <t xml:space="preserve">Kusetogullari, Huseyin; Yavariabdi, Amir; Cheddad, Abbas; Grahn, Hakan; Hall, Johan</t>
  </si>
  <si>
    <t xml:space="preserve">ARDIS: a Swedish historical handwritten digit dataset</t>
  </si>
  <si>
    <t xml:space="preserve">Handwritten digit recognition; ARDIS dataset; Machine learning methods; Benchmark</t>
  </si>
  <si>
    <t xml:space="preserve">RECOGNITION; CLASSIFICATION; SEGMENTATION; BENCHMARKING; NETWORKS; ONLINE; SVM</t>
  </si>
  <si>
    <t xml:space="preserve">This paper introduces a new image-based handwritten historical digit dataset named Arkiv Digital Sweden (ARDIS). The images in ARDIS dataset are extracted from 15,000 Swedish church records which were written by different priests with various handwriting styles in the nineteenth and twentieth centuries. The constructed dataset consists of three single-digit datasets and one-digit string dataset. The digit string dataset includes 10,000 samples in red-green-blue color space, whereas the other datasets contain 7600 single-digit images in different color spaces. An extensive analysis of machine learning methods on several digit datasets is carried out. Additionally, correlation between ARDIS and existing digit datasets Modified National Institute of Standards and Technology (MNIST) and US Postal Service (USPS) is investigated. Experimental results show that machine learning algorithms, including deep learning methods, provide low recognition accuracy as they face difficulties when trained on existing datasets and tested on ARDIS dataset. Accordingly, convolutional neural network trained on MNIST and USPS and tested on ARDIS provide the highest accuracies58.80% respectively. Consequently, the results reveal that machine learning methods trained on existing datasets can have difficulties to recognize digits effectively on our dataset which proves that ARDIS dataset has unique characteristics. This dataset is publicly available for the research community to further advance handwritten digit recognition algorithms.</t>
  </si>
  <si>
    <t xml:space="preserve">[Kusetogullari, Huseyin; Cheddad, Abbas; Grahn, Hakan] Blekinge Inst Technol, Dept Comp Sci &amp; Engn, S-37141 Karlskrona, Sweden; [Yavariabdi, Amir] KTO Karatay Univ, Dept Mechatron Engn, Konya, Turkey; [Hall, Johan] Arkiv Digital, Vaxjo, Sweden</t>
  </si>
  <si>
    <t xml:space="preserve">Blekinge Institute Technology; KTO Karatay University</t>
  </si>
  <si>
    <t xml:space="preserve">Cheddad, A (corresponding author), Blekinge Inst Technol, Dept Comp Sci &amp; Engn, S-37141 Karlskrona, Sweden.</t>
  </si>
  <si>
    <t xml:space="preserve">huseyin.kusetogullari@bth.se; amir.yavariabdi@gmail.com; abbas.cheddad@bth.se; hakan.grahn@bth.se; johan.hall@arkivdigital.se</t>
  </si>
  <si>
    <t xml:space="preserve">Kusetogullari, Huseyin/IAQ-0788-2023; Grahn, Håkan/G-9720-2011; Cheddad, Abbas/R-7061-2018</t>
  </si>
  <si>
    <t xml:space="preserve">Grahn, Hakan/0000-0001-9947-1088; Cheddad, Abbas/0000-0002-4390-411X</t>
  </si>
  <si>
    <t xml:space="preserve">10.1007/s00521-019-04163-3</t>
  </si>
  <si>
    <t xml:space="preserve">OA3MV</t>
  </si>
  <si>
    <t xml:space="preserve">WOS:000577694800012</t>
  </si>
  <si>
    <t xml:space="preserve">Kosenkov, O; Unterkalmsteiner, M; Mendez, D; Fucci, D; Gorschek, T; Fischbach, J</t>
  </si>
  <si>
    <t xml:space="preserve">Kosenkov, Oleksandr; Unterkalmsteiner, Michael; Mendez, Daniel; Fucci, Davide; Gorschek, Tony; Fischbach, Jannik</t>
  </si>
  <si>
    <t xml:space="preserve">On Developing an Artifact-based Approach to Regulatory Requirements Engineering</t>
  </si>
  <si>
    <t xml:space="preserve">32ND INTERNATIONAL REQUIREMENTS ENGINEERING CONFERENCE WORKSHOPS, REW 2024</t>
  </si>
  <si>
    <t xml:space="preserve">IEEE International Requirements Engineering Conference Workshops</t>
  </si>
  <si>
    <t xml:space="preserve">requirements engineering; software compliance; regulatory requirement engineering; legal domain knowledge; engineering-legal coordination</t>
  </si>
  <si>
    <t xml:space="preserve">Context: Regulatory acts are a challenging source when eliciting, interpreting, and analyzing requirements. Requirements engineers often need to involve legal experts who, however, may often not be available. This raises the need for approaches to regulatory Requirements Engineering (RE) covering and integrating both legal and engineering perspectives. Problem: Regulatory RE approaches need to capture and reflect both the elementary concepts and relationships from a legal perspective and their seamless transition to concepts used to specify software requirements. No existing approach considers explicating and managing legal domain knowledge and engineering-legal coordination. Method: We conducted focus group sessions with legal researchers to identify the core challenges to establishing a regulatory RE approach. Based on our findings, we developed a candidate solution and conducted a first conceptual validation to assess its feasibility. Results: We introduce the first version of our Artifact Model for Regulatory Requirements Engineering (AM4RRE) and its conceptual foundation. It provides a blueprint for applying legal (modelling) concepts and well-established RE concepts. Our initial results suggest that artifact-centric RE can be applied to managing legal domain knowledge and engineering-legal coordination. Conclusions: The focus groups that served as a basis for building our model and the results from the expert validation both strengthen our confidence that we already provide a valuable basis for systematically integrating legal concepts into RE. This overcomes contemporary challenges to regulatory RE and serves as a basis for exposure to critical discussions in the community before continuing with the development of tool-supported extensions and large-scale empirical evaluations in practice.</t>
  </si>
  <si>
    <t xml:space="preserve">[Kosenkov, Oleksandr; Unterkalmsteiner, Michael; Mendez, Daniel; Fucci, Davide; Gorschek, Tony] Blekinge Inst Technol, Karlskrona, Sweden; [Fischbach, Jannik] Netlight Consulting GmbH, Munich, Germany; [Kosenkov, Oleksandr; Mendez, Daniel; Fischbach, Jannik] Fortiss GmbH, Munich, Germany</t>
  </si>
  <si>
    <t xml:space="preserve">Kosenkov, O (corresponding author), Blekinge Inst Technol, Karlskrona, Sweden.;Kosenkov, O (corresponding author), Fortiss GmbH, Munich, Germany.</t>
  </si>
  <si>
    <t xml:space="preserve">oleksandr.kosenkov@bth.se; michael.unterkalmsteiner@bth.se; daniel.mendez@bth.se; davide.fucci@bth.se; tony.gorschek@bth.se; jannik.fischbach@netlight.com</t>
  </si>
  <si>
    <t xml:space="preserve">Fucci, Davide/C-1463-2015; Gorschek, Tony/E-3445-2013</t>
  </si>
  <si>
    <t xml:space="preserve">Bavarian Research Institute for Digital Transformation (bidt) through the Coding Public Value project; KKS foundation through the S.E.R.T. Research Profile project at Blekinge Institute of Technology</t>
  </si>
  <si>
    <t xml:space="preserve">This work was supported by the Bavarian Research Institute for Digital Transformation (bidt) through the Coding Public Value project and the KKS foundation through the S.E.R.T. Research Profile project at Blekinge Institute of Technology.</t>
  </si>
  <si>
    <t xml:space="preserve">2770-6826</t>
  </si>
  <si>
    <t xml:space="preserve">979-8-3503-9552-5; 979-8-3503-9551-8</t>
  </si>
  <si>
    <t xml:space="preserve">Intern Req Engg Work</t>
  </si>
  <si>
    <t xml:space="preserve">10.1109/REW61692.2024.00041</t>
  </si>
  <si>
    <t xml:space="preserve">Computer Science, Information Systems; Computer Science, Interdisciplinary Applications; Engineering, Multidisciplinary</t>
  </si>
  <si>
    <t xml:space="preserve">BX5XO</t>
  </si>
  <si>
    <t xml:space="preserve">WOS:001304537500035</t>
  </si>
  <si>
    <t xml:space="preserve">Moyón, F; Angermeir, F; Mendez, D</t>
  </si>
  <si>
    <t xml:space="preserve">Moyon, Fabiola; Angermeir, Florian; Mendez, Daniel</t>
  </si>
  <si>
    <t xml:space="preserve">Industrial Challenges in Secure Continuous Development</t>
  </si>
  <si>
    <t xml:space="preserve">2024 ACM/IEEE 44TH INTERNATIONAL CONFERENCE ON SOFTWARE ENGINEERING: SOFTWARE ENGINEERING IN PRACTICE, ICSE-SEIP 2024</t>
  </si>
  <si>
    <t xml:space="preserve">ACM/IEEE 46th International Conference on Software Engineering - Software Engineering in Practice (ICSE-SEIP)</t>
  </si>
  <si>
    <t xml:space="preserve">APR 14-20, 2024</t>
  </si>
  <si>
    <t xml:space="preserve">secure agile software engineering; secure DevOps; DevSecOps; secure continuous software engineering; security compliance; security challenges</t>
  </si>
  <si>
    <t xml:space="preserve">The intersection between security and continuous software engineering has been of great interest since the early years of the agile development movement, and it remains relevant as software development processes are more frequently guided by agility and the adoption of DevOps. Several authors have contributed studies about the framing of secure agile development and secure DevOps, motivating academic contributions to methods and practices, but also discussions around benefits and challenges. Especially the challenges captured also our interest since, for the last few years, we are conducting research on secure continuous software engineering from a more applied, practical perspective with the overarching aim to introduce solutions that can be adopted at scale. The short positioning at hands summarizes a relevant part of our endeavors in which we validated challenges with several practitioners of different roles. More than framing a set of challenges, we conclude by presenting four key research directions we identified for practitioners and researchers to delineate future work.</t>
  </si>
  <si>
    <t xml:space="preserve">[Moyon, Fabiola] Univ Munich, Siemens Technol &amp; Tech, Munich, Germany; [Angermeir, Florian; Mendez, Daniel] Fortiss, Munich, Germany; [Mendez, Daniel] Blekinge Inst Technol, Karlskrona, Sweden</t>
  </si>
  <si>
    <t xml:space="preserve">University of Munich; fortiss; Blekinge Institute Technology</t>
  </si>
  <si>
    <t xml:space="preserve">Moyón, F (corresponding author), Univ Munich, Siemens Technol &amp; Tech, Munich, Germany.</t>
  </si>
  <si>
    <t xml:space="preserve">fabiola.moyon@siemens.com; angermeir@fortiss.org; daniel.mendez@bth.se</t>
  </si>
  <si>
    <t xml:space="preserve">Moyon Constante, Fabiola Paulina/0000-0003-0535-1371; Angermeir, Florian/0000-0001-7903-8236; Mendez Fernandez, Daniel/0000-0003-0619-6027</t>
  </si>
  <si>
    <t xml:space="preserve">979-8-4007-0217-4</t>
  </si>
  <si>
    <t xml:space="preserve">10.1145/3639477.3639736</t>
  </si>
  <si>
    <t xml:space="preserve">BX0VL</t>
  </si>
  <si>
    <t xml:space="preserve">WOS:001239124300027</t>
  </si>
  <si>
    <t xml:space="preserve">Lorensen, K; Öinert, J</t>
  </si>
  <si>
    <t xml:space="preserve">Lorensen, Karl; Oinert, Johan</t>
  </si>
  <si>
    <t xml:space="preserve">Generating numbers of rings graded by amenable and supramenable groups</t>
  </si>
  <si>
    <t xml:space="preserve">JOURNAL OF THE LONDON MATHEMATICAL SOCIETY-SECOND SERIES</t>
  </si>
  <si>
    <t xml:space="preserve">TRANSLATION ALGEBRAS</t>
  </si>
  <si>
    <t xml:space="preserve">A ring R$R$ has unbounded generating number (UGN) if, for every positive integer n$n$, there is no R$R$-module epimorphism Rn -&gt; Rn+1$R&lt;^&gt;n\rightarrow R&lt;^&gt;{n+1}$. For a ring R=⨁g is an element of GRg$R=\bigoplus _{g\in G} R_g$ graded by a group G$G$ such that the base ring R1$R_1$ has UGN, we identify several sets of conditions under which R$R$ must also have UGN. The most important of these are: (1) G$G$ is amenable, and there is a positive integer r$r$ such that, for every g is an element of G$g\in G$, Rg approximately equal to (R1)i$R_g\cong (R_1)&lt;^&gt;i$ as R1$R_1$-modules for some i=1,MIDLINE HORIZONTAL ELLIPSIS,r$i=1,\dots ,r$; (2) G$G$ is supramenable, and there is a positive integer r$r$ such that, for every g is an element of G$g\in G$, Rg approximately equal to (R1)i$R_g\cong (R_1)&lt;^&gt;i$ as R1$R_1$-modules for some i=0,MIDLINE HORIZONTAL ELLIPSIS,r$i=0,\dots ,r$. The pair of conditions (1) leads to three different ring-theoretic characterizations of the property of amenability for groups. We also consider rings that do not have UGN; for such a ring R$R$, the smallest positive integer n$n$ such that there is an R$R$-module epimorphism Rn -&gt; Rn+1$R&lt;^&gt;n\rightarrow R&lt;^&gt;{n+1}$ is called the generating number of R$R$, denoted gn(R)${\rm gn}(R)$. If R$R$ has UGN, then we define gn(R):=aleph 0${\rm gn}(R):=\aleph _0$. We describe several classes of examples of a ring R$R$ graded by an amenable group G$G$ such that gn(R)not equal gn(R1)${\rm gn}(R)\ne {\rm gn}(R_1)$.</t>
  </si>
  <si>
    <t xml:space="preserve">[Lorensen, Karl] Penn State Univ, Altoona Coll, Dept Math &amp; Stat, Altoona, PA USA; [Oinert, Johan] Blekinge Inst Technol, Dept Math &amp; Nat Sci, Karlskrona, Sweden; [Lorensen, Karl] Penn State Univ, Altoona Coll, Dept Math &amp; Stat, Altoona, PA 16601 USA</t>
  </si>
  <si>
    <t xml:space="preserve">Pennsylvania Commonwealth System of Higher Education (PCSHE); Pennsylvania State University; Blekinge Institute Technology; Pennsylvania Commonwealth System of Higher Education (PCSHE); Pennsylvania State University</t>
  </si>
  <si>
    <t xml:space="preserve">Lorensen, K (corresponding author), Penn State Univ, Altoona Coll, Dept Math &amp; Stat, Altoona, PA 16601 USA.</t>
  </si>
  <si>
    <t xml:space="preserve">kql3@psu.edu</t>
  </si>
  <si>
    <t xml:space="preserve">Oinert, Johan/0000-0001-8095-0820</t>
  </si>
  <si>
    <t xml:space="preserve">0024-6107</t>
  </si>
  <si>
    <t xml:space="preserve">1469-7750</t>
  </si>
  <si>
    <t xml:space="preserve">J LOND MATH SOC</t>
  </si>
  <si>
    <t xml:space="preserve">J. Lond. Math. Soc.-Second Ser.</t>
  </si>
  <si>
    <t xml:space="preserve">10.1112/jlms.12826</t>
  </si>
  <si>
    <t xml:space="preserve">HC1X4</t>
  </si>
  <si>
    <t xml:space="preserve">WOS:001119522700001</t>
  </si>
  <si>
    <t xml:space="preserve">An overview of Methods for Simulating Sheet Metal Forming with Elastic Dies</t>
  </si>
  <si>
    <t xml:space="preserve">DEFORMATION</t>
  </si>
  <si>
    <t xml:space="preserve">Sheet metal forming (SMF) simulations are traditionally carried out with rigid active forming surfaces. This means that the elasticity and dynamics of presses and die structures are ignored. The only geometries of the tools included in the simulations are the active forming surfaces. One reason for this simplification is the large amount of computational power that is required to solve finite element (FE) models that incorporates elastic stamping dies. Another reason is the lack of die CAD models before the later stages of stamping projects. Research during the last couple of decades indicated potential large benefits when including elastic dies in SMF simulations. For example, for simulating die try-out or for Digital Twins of presses and dies. Even though the need and potential benefits of elastic dies in simulations are well known it is not yet implemented on a wide scale. The main obstacles have been lacking data on presses and dies, long simulation times, and no standardized implementation in SMF software. This paper presents an overview of existing methods for SMF simulations with elastic dies and discuss their respective benefits and drawbacks. The survey of methods shows that simulation models with elastic tools will be needed for detailed analyses of forming operations and also for purposes like digital twins. On the other hand, simplified and robust models can be developed for non-FEA users to carry out simple one-step compensation of tool surfaces for virtual spotting purposes. The most promising and versatile method from the literature is selected, modified, and demonstrated for industrial sized dies.</t>
  </si>
  <si>
    <t xml:space="preserve">Swedish Innovation Agency Vinnova [2016-03324]; Vinnova within the SMART EUREKA Cluster program in Advanced Manufacturing [2018-03331]; Vinnova [2018-03331, 2016-03324] Funding Source: Vinnova</t>
  </si>
  <si>
    <t xml:space="preserve">Swedish Innovation Agency Vinnova(Vinnova); Vinnova within the SMART EUREKA Cluster program in Advanced Manufacturing(Vinnova); Vinnova(Vinnova)</t>
  </si>
  <si>
    <t xml:space="preserve">10.1088/1757-899X/1284/1/012054</t>
  </si>
  <si>
    <t xml:space="preserve">WOS:001017824300054</t>
  </si>
  <si>
    <t xml:space="preserve">Coppola, R; Alégroth, E</t>
  </si>
  <si>
    <t xml:space="preserve">Coppola, Riccardo; Alegroth, Emil</t>
  </si>
  <si>
    <t xml:space="preserve">A taxonomy of metrics for GUI-based testing research: A systematic literature review</t>
  </si>
  <si>
    <t xml:space="preserve">Software testing; GUI -based testing; Coverage metrics; Taxonomies; Software verification and validation</t>
  </si>
  <si>
    <t xml:space="preserve">COVERAGE; SEQUENCE; APPS</t>
  </si>
  <si>
    <t xml:space="preserve">Context: GUI-based testing is a sub-field of software testing research that has emerged in the last three decades. GUI-based testing techniques focus on verifying the functional conformance of the system under test (SUT) through its graphical user interface. However, despite the research domains growth, studies in the field have low reproducibility and comparability. One observed cause of these phenomena is identified as a lack of research rigor and commonly used metrics, including coverage metrics.Objective: We aim to identify the most commonly used metrics in the field and formulate a taxonomy of coverage metrics for GUI-based testing research.Method: We adopt an evidence-based approach to build the taxonomy through a systematic literature review of studies in the GUI-based testing domain. Identified papers are then analyzed with Open and Axial Coding techniques to identify hierarchical and mutually exclusive categories of metrics with common characteristics, usages, and applications.Results: Through the analysis of 169 papers and 315 metric definitions, we obtained a taxonomy with 55 codes (common names for metrics), 17 metric categories, and 4 higher level categories: Functional Level, GUI Level, Model Level and Code Level. We measure a higher number of mentions of Model and Code level metrics over Functional and GUI level metrics.Conclusions: We propose a taxonomy for use in future GUI-based testing research to improve the general quality of studies in the domain. In addition, the taxonomy is perceived to help enable more replication studies as well as macro-analysis of the current body of research.</t>
  </si>
  <si>
    <t xml:space="preserve">[Coppola, Riccardo] Politecn Torino, Dept Control &amp; Comp Engn, Turin, Italy; [Alegroth, Emil] Blekinge Inst Technol, Karlskrona, Sweden</t>
  </si>
  <si>
    <t xml:space="preserve">Coppola, R (corresponding author), Politecn Torino, Dept Control &amp; Comp Engn, Turin, Italy.</t>
  </si>
  <si>
    <t xml:space="preserve">riccardo.coppola@polito.it</t>
  </si>
  <si>
    <t xml:space="preserve">KKS foundation, Sweden</t>
  </si>
  <si>
    <t xml:space="preserve">Emil Alegroth would like to acknowledge that this work was supported by the KKS foundation, Sweden through the S.E.R.T. ResearchProfile project at Blekinge Institute of Technology.</t>
  </si>
  <si>
    <t xml:space="preserve">10.1016/j.infsof.2022.107062</t>
  </si>
  <si>
    <t xml:space="preserve">4U5SW</t>
  </si>
  <si>
    <t xml:space="preserve">WOS:000858854400003</t>
  </si>
  <si>
    <t xml:space="preserve">Defining Entrepreneurs and the Entrepreneurship Research Domain</t>
  </si>
  <si>
    <t xml:space="preserve">Andersson, Martin/ADK-9763-2022</t>
  </si>
  <si>
    <t xml:space="preserve">WOS:000764055500002</t>
  </si>
  <si>
    <t xml:space="preserve">Mapping Pioneers to the Research Frontier</t>
  </si>
  <si>
    <t xml:space="preserve">WOS:000764055500005</t>
  </si>
  <si>
    <t xml:space="preserve">Rondini, A; Bertoni, M; Pezzotta, G</t>
  </si>
  <si>
    <t xml:space="preserve">Rondini, Alice; Bertoni, Marco; Pezzotta, Giuditta</t>
  </si>
  <si>
    <t xml:space="preserve">At the origins of Product Service Systems: Supporting the concept assessment with the Engineering Value Assessment method</t>
  </si>
  <si>
    <t xml:space="preserve">PSS value; Early design; IPA; TOPSIS; Customer value; Provider value; Assessment criteria; Assessment factors</t>
  </si>
  <si>
    <t xml:space="preserve">OF-THE-ART; DECISION-MAKING; ROUGH SET; CUSTOMER SATISFACTION; MCDM METHODS; DESIGN; SUSTAINABILITY; TOPSIS; MODEL; STRATEGIES</t>
  </si>
  <si>
    <t xml:space="preserve">In recent years, the economic circumstances spur many companies in changing their traditional product-oriented value proposition toward a more customised and sustainable offer referred as Product-Service Systems (PSS). The main advantages of the new solutions are related to their customisation which can grant an improved customer experience. However, while pursuing greater differentiation from competitors and ` locking-in' customers and `locking-out' competitors, many of the above-cited companies either miss interesting business opportunities or bet on the wrong solution concept. Early stage engineering phase plays a crucial role concerning the subsequent lifecycle phases, guiding the identification and the selection of valuable solutions while preventing commitment of resources on poor design alternatives. In the light of the criticality of this phase, this paper builds on empirical studies in the manufacturing industry and highlights the need for systematic procedures, methods and metrics able to encompass customer satisfaction together with the producer's value perspective during the early design assessment. The outcome of the paper is the Engineering Value Assessment (EVA) method. It is a 2 step procedure composed of multi-criteria decision-making methods with specific criteria for a comprehensive value assessment of PSS from both the customers' and the provider's perspectives. The EVA also guides the identification of tradeoff between the two through the Importance-Performance Analysis. Verification activities in the power and automation industry highlight the main benefits and the implications of the EVA method in guiding the decision making in the early stages of design and in balancing the trade-off between customer and provider value during the PSS assessment phase. Further developments and improvements are also discussed. (C) 2018 CIRP.</t>
  </si>
  <si>
    <t xml:space="preserve">[Rondini, Alice; Pezzotta, Giuditta] Univ Bergamo, Dept Management Informat &amp; Prod Engn, Viale Marconi 5, I-24044 Dalmine, BG, Italy; [Bertoni, Marco] Blekinge Inst Technol, Dept Mech Engn, SE-37179 Karlskrona, Sweden</t>
  </si>
  <si>
    <t xml:space="preserve">Rondini, A (corresponding author), Univ Bergamo, Dept Management Informat &amp; Prod Engn, Viale Marconi 5, I-24044 Dalmine, BG, Italy.</t>
  </si>
  <si>
    <t xml:space="preserve">alice.rondini@unibg.it</t>
  </si>
  <si>
    <t xml:space="preserve">Pezzotta, Giuditta/AAF-2297-2021</t>
  </si>
  <si>
    <t xml:space="preserve">Swedish Knowledge Foundation (Stiftelsen for kunskaps-och kompetensutveckling); Strategic, Tactical and Operational implementation of Sustainability into the Innovation Process (STOSIP) project at Blekinge Institute of Technology</t>
  </si>
  <si>
    <t xml:space="preserve">The research leading to these results has received financial support from the Swedish Knowledge Foundation (Stiftelsen for kunskaps-och kompetensutveckling) through the Model Driven Development and Decision Support (MD3S) research profile and the Strategic, Tactical and Operational implementation of Sustainability into the Innovation Process (STOSIP) project at Blekinge Institute of Technology.</t>
  </si>
  <si>
    <t xml:space="preserve">10.1016/j.cirpj.2018.08.002</t>
  </si>
  <si>
    <t xml:space="preserve">WOS:000541020600003</t>
  </si>
  <si>
    <t xml:space="preserve">Kroon, M; Görtz, J; Islam, S; Andreasson, E; Petersson, V; Jutemar, EP</t>
  </si>
  <si>
    <t xml:space="preserve">Kroon, Martin; Gortz, Jakob; Islam, Shafiqul; Andreasson, Eskil; Petersson, Viktor; Jutemar, Elin Persson</t>
  </si>
  <si>
    <t xml:space="preserve">Experimental and theoretical study of stress relaxation in high-density polyethylene</t>
  </si>
  <si>
    <t xml:space="preserve">SEMICRYSTALLINE POLYMERS APPLICATION; LARGE PLASTIC-DEFORMATION; TEXTURE EVOLUTION; VISCOPLASTIC BEHAVIOR; CONSTITUTIVE MODEL; STRAIN; TENSION; CRYSTALLINITY; COMPRESSION; ORIENTATION</t>
  </si>
  <si>
    <t xml:space="preserve">Stress relaxation of high-density polyethylene is addressed both experimentally and theoretically. Two types of stress relaxation testing are carried out: uniaxial tensile testing at constant test specimen length and compression testing of a 3D structure producing inhomogeneous deformation fields and relaxation. A constitutive model for isotropic, semi-crystalline polymers is also proposed. The model has the ability to model stress relaxation at different time scales. The developed model was implemented as a user subroutine in Abaqus (UMAT). The implicit integration scheme including an algorithmic tangent modulus is described in detail. The material model is calibrated by use of the uniaxial tensile tests, and the model is then validated by simulating the compression tests of the 3D structure. The model is able to describe the uniaxial tension tests well, and the comparison between the simulations and experimental testing of the 3D structure shows very good agreement.</t>
  </si>
  <si>
    <t xml:space="preserve">[Kroon, Martin] Linnaeus Univ, Dept Mech Engn, Vaxjo, Sweden; [Gortz, Jakob; Islam, Shafiqul] Blekinge Inst Technol, Dept Mech Engn, Karlskrona, Sweden; [Andreasson, Eskil; Petersson, Viktor; Jutemar, Elin Persson] Tetra Pak, Lund, Sweden</t>
  </si>
  <si>
    <t xml:space="preserve">Kroon, M (corresponding author), Linnaeus Univ, Dept Mech Engn, Vaxjo, Sweden.</t>
  </si>
  <si>
    <t xml:space="preserve">martin.kroon@lnu.se; jakob.gortz@roxtec.com; shafiqul.islam@bth.se; Eskil.Andreasson@tetrapak.com; Viktor.Petersson@tetrapak.com; Elin.PerssonJutemar@tetrapak.com</t>
  </si>
  <si>
    <t xml:space="preserve">Kroon, Martin/AAO-3507-2020</t>
  </si>
  <si>
    <t xml:space="preserve">Stiftelsen fr Kunskaps- och Kompetensutveckling [20200268]; Swedish Knowledge Foundation</t>
  </si>
  <si>
    <t xml:space="preserve">Stiftelsen fr Kunskaps- och Kompetensutveckling; Swedish Knowledge Foundation</t>
  </si>
  <si>
    <t xml:space="preserve">This research was partly funded by the Swedish Knowledge Foundation (Grant No. 20200268).</t>
  </si>
  <si>
    <t xml:space="preserve">10.1007/s00707-024-03851-z</t>
  </si>
  <si>
    <t xml:space="preserve">OI7E5</t>
  </si>
  <si>
    <t xml:space="preserve">WOS:001149549300001</t>
  </si>
  <si>
    <t xml:space="preserve">Shamshad, H; Ullah, F; Ullah, A; Kebande, VR; Ullah, S; Al-Dhaqm, A</t>
  </si>
  <si>
    <t xml:space="preserve">Shamshad, Hasib; Ullah, Fasee; Ullah, Asad; Kebande, Victor R.; Ullah, Sibghat; Al-Dhaqm, Arafat</t>
  </si>
  <si>
    <t xml:space="preserve">Forecasting and Trading of the Stable Cryptocurrencies With Machine Learning and Deep Learning Algorithms for Market Conditions</t>
  </si>
  <si>
    <t xml:space="preserve">Regression analysis; predictive analytics; time series forecasting; ARIMA; Ethereum; ADA Cardano; Binance; cryptocurrency forecasting; machine learning; deep learning; support vector regressor; FB prophet; bidirectional LSTM; unidirectional LSTM</t>
  </si>
  <si>
    <t xml:space="preserve">The digital market trend is rapidly expanding due to key characteristics like decentralization, accessibility, and market diversity enabled by blockchain technology. This study proposes a Predictive Analytics System to provide simplified reporting for the three most popular cryptocurrencies with varying digits, namely ADA Cardano, Ethereum, and Binance coin, for ten days to contribute to this emerging technology. Thus, this proposed system employs a data science-based framework and six highly advanced data-driven Machine learning and Deep learning algorithms: Support Vector Regressor, Auto-Regressive Integrated Moving Average (ARIMA), Facebook Prophet, Unidirectional LSTM, Bidirectional LSTM, Stacked LSTM. Moreover, the research experiments are repeated several times to achieve the best results by employing hyperparameter tuning of each algorithm. This involves selecting an appropriate kernel and suitable data normalization technique for SVR, determining ARIMA's (p, d, q) values, and optimizing the loss function values, number of neurons, hidden layers, and epochs in LSTM models. For the model validation, we utilize widely used evaluation techniques: Mean Absolute Error, Root Mean Squared Error, Mean Absolute Percentage Error, and R-squared. Results demonstrate that ARIMA outperforms the other models in all cases, accurately projecting the price variability within the actual price range. Conversely, Facebook Prophet exhibits good performance to some extent. The paper suggests that the ARIMA technique offers practical implications for market analysts, enabling them to make well-informed decisions based on accurate price projections.</t>
  </si>
  <si>
    <t xml:space="preserve">[Shamshad, Hasib; Ullah, Fasee; Ullah, Asad; Ullah, Sibghat] Sarhad Univ Sci &amp; Informat Technol, Dept Comp Sci &amp; IT, Peshawar 25000, Pakistan; [Kebande, Victor R.] Blekinge Inst Technol, Dept Comp Sci DIDA, Karlskrona 37179, Sweden; [Al-Dhaqm, Arafat] Univ Teknol PETRONAS, Comp &amp; Informat Sci Dept, Bandar Seri Iskandar 32610, Perak, Malaysia</t>
  </si>
  <si>
    <t xml:space="preserve">Blekinge Institute Technology; Universiti Teknologi Petronas</t>
  </si>
  <si>
    <t xml:space="preserve">Ullah, F (corresponding author), Sarhad Univ Sci &amp; Informat Technol, Dept Comp Sci &amp; IT, Peshawar 25000, Pakistan.</t>
  </si>
  <si>
    <t xml:space="preserve">fasee.csit@suit.edu.pk; victor.kebande@bth.se</t>
  </si>
  <si>
    <t xml:space="preserve">Kebande, Victor/AAE-4855-2019; Ullah, Fasee/AAA-8504-2020; Ullah, Sibghat/ACA-3670-2022; R. Kebande, Victor/F-3934-2019</t>
  </si>
  <si>
    <t xml:space="preserve">Ullah, Fasee/0000-0001-6167-5253; Shamshad, Hasib/0009-0007-4939-5727; R. Kebande, Victor/0000-0003-4071-4596</t>
  </si>
  <si>
    <t xml:space="preserve">Blekinge Institute of Technology (BTH), Sweden; Swedish Knowledge Foundation through the Project Symphony-Supply-and-Demand-Based Service Exposure Using Robust Distributed Concepts [20190111]</t>
  </si>
  <si>
    <t xml:space="preserve">Blekinge Institute of Technology (BTH), Sweden; Swedish Knowledge Foundation through the Project Symphony-Supply-and-Demand-Based Service Exposure Using Robust Distributed Concepts</t>
  </si>
  <si>
    <t xml:space="preserve">This work was supported in part by the Blekinge Institute of Technology (BTH), Sweden; and in part by the Swedish Knowledge Foundation through the Project Symphony-Supply-and-Demand-Based Service Exposure Using Robust Distributed Concepts under Grant Dnr 20190111.</t>
  </si>
  <si>
    <t xml:space="preserve">10.1109/ACCESS.2023.3327440</t>
  </si>
  <si>
    <t xml:space="preserve">Y0EH8</t>
  </si>
  <si>
    <t xml:space="preserve">WOS:001102082900001</t>
  </si>
  <si>
    <t xml:space="preserve">Dasari, SK; Cheddad, A; Andersson, P</t>
  </si>
  <si>
    <t xml:space="preserve">Dasari, Siva Krishna; Cheddad, Abbas; Andersson, Petter</t>
  </si>
  <si>
    <t xml:space="preserve">Predictive modelling to support sensitivity analysis for robust design in aerospace engineering</t>
  </si>
  <si>
    <t xml:space="preserve">STRUCTURAL AND MULTIDISCIPLINARY OPTIMIZATION</t>
  </si>
  <si>
    <t xml:space="preserve">Machine learning; Random forests; Response surface models; Surrogate models; Meta-models; Aerospace engineering; Robust design; Sensitivity analysis</t>
  </si>
  <si>
    <t xml:space="preserve">METAMODELING TECHNIQUES</t>
  </si>
  <si>
    <t xml:space="preserve">The design of aircraft engines involves computationally expensive engineering simulations. One way to solve this problem is the use of response surface models to approximate the high-fidelity time-consuming simulations while reducing computational time. For a robust design, sensitivity analysis based on these models allows for the efficient study of uncertain variables' effect on system performance. The aim of this study is to support sensitivity analysis for a robust design in aerospace engineering. For this, an approach is presented in which random forests (RF) and multivariate adaptive regression splines (MARS) are explored to handle linear and non-linear response types for response surface modelling. Quantitative experiments are conducted to evaluate the predictive performance of these methods with Turbine Rear Structure (a component of aircraft) case study datasets for response surface modelling. Furthermore, to test these models' applicability to perform sensitivity analysis, experiments are conducted using mathematical test problems (linear and non-linear functions) and their results are presented. From the experimental investigations, it appears that RF fits better on non-linear functions compared with MARS, whereas MARS fits well on linear functions.</t>
  </si>
  <si>
    <t xml:space="preserve">[Dasari, Siva Krishna; Cheddad, Abbas] Blekinge Inst Technol, Dept Comp Sci, S-37141 Karlskrona, Sweden; [Andersson, Petter] GKN Aerosp Engine Syst Sweden, Engn Method Dev, Dept 9635,TL3, SE-46181 Trollhattan, Sweden</t>
  </si>
  <si>
    <t xml:space="preserve">Dasari, SK (corresponding author), Blekinge Inst Technol, Dept Comp Sci, S-37141 Karlskrona, Sweden.</t>
  </si>
  <si>
    <t xml:space="preserve">siva.krishna.dasari@bth.se; abbas.cheddad@bth.se; petter.andersson@gknaerospace.com</t>
  </si>
  <si>
    <t xml:space="preserve">; Cheddad, Abbas/R-7061-2018</t>
  </si>
  <si>
    <t xml:space="preserve">Dasari, Siva Krishna/0000-0002-3311-2530; Cheddad, Abbas/0000-0002-4390-411X</t>
  </si>
  <si>
    <t xml:space="preserve">1615-147X</t>
  </si>
  <si>
    <t xml:space="preserve">1615-1488</t>
  </si>
  <si>
    <t xml:space="preserve">STRUCT MULTIDISCIP O</t>
  </si>
  <si>
    <t xml:space="preserve">Struct. Multidiscip. Optim.</t>
  </si>
  <si>
    <t xml:space="preserve">10.1007/s00158-019-02467-5</t>
  </si>
  <si>
    <t xml:space="preserve">Computer Science, Interdisciplinary Applications; Engineering, Multidisciplinary; Mechanics</t>
  </si>
  <si>
    <t xml:space="preserve">Computer Science; Engineering; Mechanics</t>
  </si>
  <si>
    <t xml:space="preserve">ME0ZL</t>
  </si>
  <si>
    <t xml:space="preserve">WOS:000544391800023</t>
  </si>
  <si>
    <t xml:space="preserve">Ghazi, SN; Behrens, A; Berner, J; Berglund, JS; Anderberg, P</t>
  </si>
  <si>
    <t xml:space="preserve">Ghazi, Sarah Nauman; Behrens, Anders; Berner, Jessica; Berglund, Johan Sanmartin; Anderberg, Peter</t>
  </si>
  <si>
    <t xml:space="preserve">Objective sleep monitoring at home in older adults: A scoping review</t>
  </si>
  <si>
    <t xml:space="preserve">JOURNAL OF SLEEP RESEARCH</t>
  </si>
  <si>
    <t xml:space="preserve">Review; Early Access</t>
  </si>
  <si>
    <t xml:space="preserve">actigraphy; healthy aging; objective sleep monitoring; sensors; sleep; technology</t>
  </si>
  <si>
    <t xml:space="preserve">ALZHEIMERS-DISEASE; LIGHT EXPOSURE; ONSET LATENCY; BRIGHT LIGHT; QUALITY; ASSOCIATION; DISTURBANCES; RESIDENTS; PATTERNS; INSOMNIA</t>
  </si>
  <si>
    <t xml:space="preserve">Inadequate sleep in older adults is linked to health issues such as frailty, cognitive impairment and cardiovascular disorders. Maintaining regular sleep patterns is important for healthy aging, making effective sleep monitoring essential. While polysomnography is the gold-standard for diagnosing sleep disorders, its regular use in home settings is limited. Alternative objective monitoring methods in the home can offer insights into natural sleep patterns and factors affecting them without the limitations of polysomnography. This scoping review aims to examine current technologies, sensors and sleep parameters used for home-based sleep monitoring in older adults. It also aims to explore various predictors and outcomes associated with sleep to understand the factors of sleep monitoring at home. We identified 54 relevant articles using PubMed, Scopus, Web of Science and an AI tool (Research Rabbit), with 48 studies using wearable technologies and eight studies using non-wearable technologies. Further, six types of sensors were utilized. The most common technology employed was actigraphy wearables, while ballistocardiography and electroencephalography were less common. The most frequent objective parameters of sleep measured were total sleep time, wakeup after sleep onset and sleep efficiency, with only six studies evaluating sleep architecture in terms of sleep stages. Additionally, six categories of predictors and outcomes associated with sleep were analysed, including Health-related, Environmental, Interventional, Behavioural, Time and Place, and Social associations. These associations correlate with total sleep time, wakeup after sleep onset and sleep efficiency, and include in-bed behaviours, exterior housing conditions, aerobic exercise, living place, relationship status, and seasonal thermal environments.</t>
  </si>
  <si>
    <t xml:space="preserve">[Ghazi, Sarah Nauman; Behrens, Anders; Berner, Jessica; Berglund, Johan Sanmartin; Anderberg, Peter] Blekinge Inst Technol, Dept Hlth, Valhallavagen 1, S-37141 Karlskrona, Sweden; [Anderberg, Peter] Univ Skovde, Sch Hlth Sci, Skovde, Vastra Gotaland, Sweden</t>
  </si>
  <si>
    <t xml:space="preserve">Ghazi, SN (corresponding author), Blekinge Inst Technol, Dept Hlth, Valhallavagen 1, S-37141 Karlskrona, Sweden.</t>
  </si>
  <si>
    <t xml:space="preserve">Anderberg, Peter/B-5541-2012</t>
  </si>
  <si>
    <t xml:space="preserve">Swedish National Graduate School on Aging and Health</t>
  </si>
  <si>
    <t xml:space="preserve">The authors thank the Swedish National Graduate School on Aging and Health for supporting the learning process. The authors would also like to thank Josefin Andersson and Ottilia Sundahl, the librarians at Blekinge Institute of Technology, for their help in refining the search strings.</t>
  </si>
  <si>
    <t xml:space="preserve">0962-1105</t>
  </si>
  <si>
    <t xml:space="preserve">1365-2869</t>
  </si>
  <si>
    <t xml:space="preserve">J SLEEP RES</t>
  </si>
  <si>
    <t xml:space="preserve">J. Sleep Res.</t>
  </si>
  <si>
    <t xml:space="preserve">2024 DEC 9</t>
  </si>
  <si>
    <t xml:space="preserve">10.1111/jsr.14436</t>
  </si>
  <si>
    <t xml:space="preserve">DEC 2024</t>
  </si>
  <si>
    <t xml:space="preserve">Clinical Neurology; Neurosciences</t>
  </si>
  <si>
    <t xml:space="preserve">Neurosciences &amp; Neurology</t>
  </si>
  <si>
    <t xml:space="preserve">O8P8I</t>
  </si>
  <si>
    <t xml:space="preserve">WOS:001373689200001</t>
  </si>
  <si>
    <t xml:space="preserve">Hallstedt, SI; Isaksson, O; Nylander, JW; Andersson, P; Knuts, S</t>
  </si>
  <si>
    <t xml:space="preserve">Hallstedt, Sophie I.; Isaksson, Ola; Nylander, Johanna W. W.; Andersson, Petter; Knuts, Soren</t>
  </si>
  <si>
    <t xml:space="preserve">Sustainable product development in aeroengine manufacturing: challenges, opportunities and experiences from GKN Aerospace Engine System</t>
  </si>
  <si>
    <t xml:space="preserve">Sustainable product development; Capabilities; Design method; New technologies; Aerospace; Sustainable design</t>
  </si>
  <si>
    <t xml:space="preserve">DESIGN SPACE EXPLORATION; DEVELOPMENT CAPABILITY; MATERIAL CRITICALITY; EARLY PHASES; OPTIMIZATION; INTEGRATION; FRAMEWORK; IMPACT; PERFORMANCE</t>
  </si>
  <si>
    <t xml:space="preserve">A radical shift in technology is necessary to enable future air transport solutions. Sustainability targets for aeroengine manufacturing mean more than reducing CO2 and NOX. The future will open up possibilities and bring new challenges when introducing hybrid- and electrical propulsion technologies using new materials, technology solutions and new business models. This article reports on findings from a longitudinal study and many years of collaboration between researchers and industry experts, where a first-tier aeroengine manufacturer transforms their product development capabilities to enable sustainable product development. The article highlights some activities undertaken and identifies critical challenges and opportunities remaining for a manufacturer of next-generation aeroengine solutions. It is argued that the challenge for aeroengine manufacturers to develop new-generation propulsive technologies will require a systemic change in the undertaking of design and development. The opportunities of sustainable technologies are evident yet require: (1) means to tighter integrate business and technology development, (2) the ability to quantify and assess sustainability impacts of different concept solutions, and (3) means to utilise natural resources, alloys and materials for a circular and life-cycle optimised solution.</t>
  </si>
  <si>
    <t xml:space="preserve">[Hallstedt, Sophie I.; Isaksson, Ola] Chalmers Univ Technol, Ind &amp; Mat Sci, S-41296 Gothenburg, Sweden; [Hallstedt, Sophie I.] Blekinge Inst Technol, Sch Engn, S-37179 Karlskrona, Sweden; [Nylander, Johanna W. W.; Andersson, Petter; Knuts, Soren] GKN Aerosp Engines, Flygmotorvagen 1, S-46181 Trollhattan, Sweden</t>
  </si>
  <si>
    <t xml:space="preserve">Hallstedt, SI (corresponding author), Chalmers Univ Technol, Ind &amp; Mat Sci, S-41296 Gothenburg, Sweden.;Hallstedt, SI (corresponding author), Blekinge Inst Technol, Sch Engn, S-37179 Karlskrona, Sweden.</t>
  </si>
  <si>
    <t xml:space="preserve">Sophie.Hallstedt@chalmers.se</t>
  </si>
  <si>
    <t xml:space="preserve">Knuts, Soren/LRT-1931-2024; Isaksson, Ola/B-3100-2016</t>
  </si>
  <si>
    <t xml:space="preserve">Isaksson, Ola/0000-0003-0373-3720; I. Hallstedt, Sophie/0000-0002-7382-1825</t>
  </si>
  <si>
    <t xml:space="preserve">AUG 7</t>
  </si>
  <si>
    <t xml:space="preserve">e22</t>
  </si>
  <si>
    <t xml:space="preserve">10.1017/dsj.2023.22</t>
  </si>
  <si>
    <t xml:space="preserve">O1WU7</t>
  </si>
  <si>
    <t xml:space="preserve">WOS:001041801300001</t>
  </si>
  <si>
    <t xml:space="preserve">Lundström, P; Öinert, J; Richter, J</t>
  </si>
  <si>
    <t xml:space="preserve">Lundstrom, P. A. T. R. I. K.; Oinert, J. O. H. A. N.; Richter, J. O. H. A. N.</t>
  </si>
  <si>
    <t xml:space="preserve">NON-UNITAL ORE EXTENSIONS</t>
  </si>
  <si>
    <t xml:space="preserve">non-unital ring; Ore extension; simple ring; outer derivation</t>
  </si>
  <si>
    <t xml:space="preserve">RINGS</t>
  </si>
  <si>
    <t xml:space="preserve">We study Ore extensions of non-unital associative rings. We provide a characterization of simple non-unital differential polynomial rings R[x; delta], under the hy-pothesis that R is s-unital and ker(delta) contains a non-zero idempotent. This result gener-alizes a result by oinert, Richter and Silvestrov from the unital setting. We also present a family of examples of simple non-unital differential polynomial rings.</t>
  </si>
  <si>
    <t xml:space="preserve">[Lundstrom, P. A. T. R. I. K.] Univ West, Dept Engn Sci, SE-46186 Trollhattan, Sweden; [Oinert, J. O. H. A. N.; Richter, J. O. H. A. N.] Blekinge Inst Technol, Dept Math &amp; Nat Sci, SE-37179 Karlskrona, Sweden</t>
  </si>
  <si>
    <t xml:space="preserve">Lundström, P (corresponding author), Univ West, Dept Engn Sci, SE-46186 Trollhattan, Sweden.</t>
  </si>
  <si>
    <t xml:space="preserve">patrik.lundstrom@hv.se; johan.oinert@bth.se; johan.richter@bth.se</t>
  </si>
  <si>
    <t xml:space="preserve">10.4064/cm8941-11-2022</t>
  </si>
  <si>
    <t xml:space="preserve">H3CC9</t>
  </si>
  <si>
    <t xml:space="preserve">WOS:000917921400001</t>
  </si>
  <si>
    <t xml:space="preserve">SIMPLICITY OF LEAVITT PATH ALGEBRAS VIA GRADED RING THEORY</t>
  </si>
  <si>
    <t xml:space="preserve">BULLETIN OF THE AUSTRALIAN MATHEMATICAL SOCIETY</t>
  </si>
  <si>
    <t xml:space="preserve">Leavitt path algebra; graded ring; simple ring; centre</t>
  </si>
  <si>
    <t xml:space="preserve">UNIQUENESS THEOREMS</t>
  </si>
  <si>
    <t xml:space="preserve">Suppose that R is an associative unital ring and that E= (E-0, E-1, r, s) is a directed graph. Using results from graded ring theory, we show that the associated Leavitt path algebra L-R(E) is simple if and only if R is simple, E-0 has no nontrivial hereditary and saturated subset, and every cycle in E has an exit. We also give a complete description of the centre of a simple Leavitt path algebra.</t>
  </si>
  <si>
    <t xml:space="preserve">Oinert, Johan/0000-0001-8095-0820; Nystedt, Patrik/0000-0001-6594-7041</t>
  </si>
  <si>
    <t xml:space="preserve">0004-9727</t>
  </si>
  <si>
    <t xml:space="preserve">1755-1633</t>
  </si>
  <si>
    <t xml:space="preserve">B AUST MATH SOC</t>
  </si>
  <si>
    <t xml:space="preserve">Bull. Aust. Math. Soc.</t>
  </si>
  <si>
    <t xml:space="preserve">PII S0004972723000114</t>
  </si>
  <si>
    <t xml:space="preserve">10.1017/S0004972723000114</t>
  </si>
  <si>
    <t xml:space="preserve">LI0Q9</t>
  </si>
  <si>
    <t xml:space="preserve">WOS:000943276000001</t>
  </si>
  <si>
    <t xml:space="preserve">Lewenhagen, K; Boldt, M; Borg, A; Gerell, M; Dahlén, J</t>
  </si>
  <si>
    <t xml:space="preserve">Lewenhagen, Kenneth; Boldt, Martin; Borg, Anton; Gerell, Manne; Dahlen, Johan</t>
  </si>
  <si>
    <t xml:space="preserve">An Interdisciplinary Web-based Framework for Data-driven Placement Analysis of CCTV Cameras</t>
  </si>
  <si>
    <t xml:space="preserve">PROCEEDINGS OF THE 2021 SWEDISH WORKSHOP ON DATA SCIENCE (SWEDS)</t>
  </si>
  <si>
    <t xml:space="preserve">9th Swedish Workshop on Data Science (SweDS)</t>
  </si>
  <si>
    <t xml:space="preserve">DEC 02-03, 2021</t>
  </si>
  <si>
    <t xml:space="preserve">Linnaeus Univ, ELECTR NETWORK</t>
  </si>
  <si>
    <t xml:space="preserve">Fortnox AB,IEEE Sweden Sect,MDPI Data</t>
  </si>
  <si>
    <t xml:space="preserve">Linnaeus Univ</t>
  </si>
  <si>
    <t xml:space="preserve">CCTV camera placement; data-driven placement analysis; web-based prototype; intelligent models</t>
  </si>
  <si>
    <t xml:space="preserve">This paper describes work in progress of an interdisciplinary research project that focuses on the placement and analysis of public close-circuit television (CCTV) cameras using data-driven analysis of crime data. A novel web-based prototype that acts as a framework for the camera placement analysis with regards to historical crime occurrence is presented. The web-based prototype enables various analyses involving public CCTV cameras e.g., to determine suitable locations for both stationary CCTV cameras as well as temporary cameras that are moved around after a few months to address crime seasonality. The framework also opens up for other analyses, e.g. automatically highlighting crimes that are carried out closed by at least one camera. The research also investigates to what extent it is possible to generate estimates on the amount of detail captured by a camera given the distance to the crime light conditions. The research project includes interdisciplinary competences from various areas such as criminology, computer and data science as well as the Swedish Police.</t>
  </si>
  <si>
    <t xml:space="preserve">[Lewenhagen, Kenneth; Boldt, Martin; Borg, Anton] Blekinge Inst Technol, Dept Comp Sci &amp; Engn, Karlskrona, Sweden; [Gerell, Manne] Malmo Univ, Dept Criminol, Malmo, Sweden; [Dahlen, Johan] Swedish Police, Invest Div, Camera &amp; Anal Sect, Stockholm, Sweden</t>
  </si>
  <si>
    <t xml:space="preserve">kenneth.lewenhagen@bth.se; martin.boldt@bth.se; anton.borg@bth.se; manne.gerell@mau.se; johan-h.dahlen@polisen.se</t>
  </si>
  <si>
    <t xml:space="preserve">Lewenhagen, Kenneth/IAQ-5495-2023; Boldt, Martin/J-4958-2019; Borg, Anton/AAS-4475-2021; Gerell, Manne/R-1712-2018</t>
  </si>
  <si>
    <t xml:space="preserve">Lans-forsakringar Skane</t>
  </si>
  <si>
    <t xml:space="preserve">The research described in this paper was funded by Lans-forsakringar Skane as part of their five year project for reducing crime and fear in Malmo, and the Skane region, through applied research on methods for crime prevention.</t>
  </si>
  <si>
    <t xml:space="preserve">978-1-6654-1830-0</t>
  </si>
  <si>
    <t xml:space="preserve">10.1109/SweDS53855.2021.9637719</t>
  </si>
  <si>
    <t xml:space="preserve">BT4OY</t>
  </si>
  <si>
    <t xml:space="preserve">WOS:000833296400002</t>
  </si>
  <si>
    <t xml:space="preserve">Tuvesson, H; Eriksen, S; Fagerström, C</t>
  </si>
  <si>
    <t xml:space="preserve">Tuvesson, Hanna; Eriksen, Sara; Fagerstrom, Cecilia</t>
  </si>
  <si>
    <t xml:space="preserve">mHealth and Engagement Concerning Persons With Chronic Somatic Health Conditions: Integrative Literature Review</t>
  </si>
  <si>
    <t xml:space="preserve">engagement; eHealth; mHealth; somatic disease; integrative literature review; telehealth</t>
  </si>
  <si>
    <t xml:space="preserve">SELF-MANAGEMENT SYSTEM; GLYCEMIC CONTROL; SUPPORT CALLS; MIXED METHODS; CARE; TELEHEALTH; DISEASE; PATIENT; HEART; FAILURE</t>
  </si>
  <si>
    <t xml:space="preserve">Background: Chronic somatic health conditions are a global public health challenge. Being engaged in one's own health management for such conditions is important, and mobile health (mHealth) solutions are often suggested as key to promoting engagement. Objective: The aim of this study was to review, critically appraise, and synthesize the available research regarding engagement through mHealth for persons with chronic somatic health conditions. Methods: An integrative literature review was conducted. The PubMed, CINAHL, and Inspec databases were used for literature searches. Quality assessment was done with the guidance of Critical Appraisal Skills Programme (CASP) checklists. We used a self-designed study protocol comprising 4 engagement aspects-cognitive, behavioral and emotional, interactional, and the usage of mHealth-as part of the synthesis and analysis. Results: A total of 44 articles met the inclusion criteria and were included in the analysis. mHealth usage was the most commonly occurring engagement aspect, behavioral and emotional aspects the second, cognitive aspects the third, and interactional aspects of engagement the least common aspect in the included articles. The results showed that there is a mix of enablers and barriers to engagement in relation to the 4 engagement aspects. The perceived meaningfulness and need for the solution and its content were important to create and maintain engagement. When perceived as meaningful, suitable, and usable, mHealth can support knowledge gain and learning, facilitate emotional and behavioral aspects such as a sense of confidence, and improve interactions and communications with health care professionals. Conclusions: mHealth solutions have the potential to support health care engagement for persons with chronic somatic conditions. More research is needed to further understand how, by which means, when, and among whom mHealth could further improve engagement for this population.</t>
  </si>
  <si>
    <t xml:space="preserve">[Tuvesson, Hanna] Linnaeus Univ, Dept Hlth &amp; Caring Sci, Univ Platsen 1, Vaxjo, Sweden; [Eriksen, Sara] Blekinge Inst Technol, Karlskrona, Sweden; [Fagerstrom, Cecilia] Linnaeus Univ, Dept Hlth &amp; Caring Sci, Kalmar, Sweden; [Fagerstrom, Cecilia] Blekinge Cty Council, Blekinge Ctr Competence, Karlskrona, Sweden</t>
  </si>
  <si>
    <t xml:space="preserve">Linnaeus University; Blekinge Institute Technology; Linnaeus University</t>
  </si>
  <si>
    <t xml:space="preserve">Tuvesson, H (corresponding author), Linnaeus Univ, Dept Hlth &amp; Caring Sci, Univ Platsen 1, Vaxjo, Sweden.</t>
  </si>
  <si>
    <t xml:space="preserve">Eriksén, Sara/A-3100-2013</t>
  </si>
  <si>
    <t xml:space="preserve">Tuvesson, Hanna/0000-0003-1020-5141</t>
  </si>
  <si>
    <t xml:space="preserve">VINNOVA [2013-046609]; Swedish Governmental Agency for Innovation Systems (VINNOVA); Department of Biotechnology, Government of India</t>
  </si>
  <si>
    <t xml:space="preserve">VINNOVA(Vinnova); Swedish Governmental Agency for Innovation Systems (VINNOVA)(Vinnova); Department of Biotechnology, Government of India(Department of Biotechnology (DBT) India)</t>
  </si>
  <si>
    <t xml:space="preserve">This literature review was initiated within the framework of a Swedish case study which was part of the Indo-Swedish research and development project entitled Health in Hand -Transforming Health care Delivery (VINNOVA Reg. No. 2013-046609) in collaboration between Blekinge Institute of Technology in Sweden and the Indian Institute of Technology Madras in India. The project, which started in January 2014 and ended in June 2017, was cofunded by the Swedish Governmental Agency for Innovation Systems (VINNOVA) and the Department of Biotechnology, Government of India, and had a multidisciplinary approach, with a focus on health and health promotion on one hand, and design and development of technology that facilitates the delivery of health promotion and health care on the other. We gratefully acknowledge the grant which made this study possible. The authors also thank the Department of Health and Caring Sciences at Linnaeus University.</t>
  </si>
  <si>
    <t xml:space="preserve">JUL 24</t>
  </si>
  <si>
    <t xml:space="preserve">e14315</t>
  </si>
  <si>
    <t xml:space="preserve">10.2196/14315</t>
  </si>
  <si>
    <t xml:space="preserve">MU8GI</t>
  </si>
  <si>
    <t xml:space="preserve">gold, Green Submitted, Green Published</t>
  </si>
  <si>
    <t xml:space="preserve">WOS:000555905400001</t>
  </si>
  <si>
    <t xml:space="preserve">Tkalich, A; Smite, D; Andersen, NH; Moe, NB</t>
  </si>
  <si>
    <t xml:space="preserve">Tkalich, Anastasiia; Smite, Darja; Andersen, Nina Haugland; Moe, Nils Brede</t>
  </si>
  <si>
    <t xml:space="preserve">What Happens to Psychological Safety When Going Remote?</t>
  </si>
  <si>
    <t xml:space="preserve">Psychology; Safety; Software; Pandemics; Interviews; Employment; Collaboration</t>
  </si>
  <si>
    <t xml:space="preserve">SUBGROUPS</t>
  </si>
  <si>
    <t xml:space="preserve">We explore how Norwegian software developers experienced remote work under the pandemic and after restrictions were waved and describe simple behaviors and attitudes related to psychological safety. We find flexible work to offer a trade-off between being able to stay focused and as a team being able to maintain psychological safety.</t>
  </si>
  <si>
    <t xml:space="preserve">[Tkalich, Anastasiia; Moe, Nils Brede] SINTEF, N-7034 Trondheim, Norway; [Smite, Darja] Blekinge Inst Technol, software Engn, S-37141 Karlskrona, Sweden; [Andersen, Nina Haugland] Norwegian Univ Sci &amp; Technol NTNU, N-7034 Trondheim, Norway</t>
  </si>
  <si>
    <t xml:space="preserve">SINTEF; Blekinge Institute Technology; Norwegian University of Science &amp; Technology (NTNU)</t>
  </si>
  <si>
    <t xml:space="preserve">Tkalich, A (corresponding author), SINTEF, N-7034 Trondheim, Norway.</t>
  </si>
  <si>
    <t xml:space="preserve">anastasiia.tkalich@sintef.no; darja.smite@bth.se; nina.haugland@ntnu.no; nils.b.moe@sintef.no</t>
  </si>
  <si>
    <t xml:space="preserve">Moe, Nils/AAD-8183-2021; Tkalich, Anastasiia/LMP-3329-2024</t>
  </si>
  <si>
    <t xml:space="preserve">Tkalich, Anastasiia/0000-0001-7391-4194; Moe, Nils Brede/0000-0003-2669-0778</t>
  </si>
  <si>
    <t xml:space="preserve">Research Council of Norway [309344]</t>
  </si>
  <si>
    <t xml:space="preserve">Research Council of Norway(Research Council of Norway)</t>
  </si>
  <si>
    <t xml:space="preserve">This research was supported by the Research Council of Norway under Grant 309344. This work involved human subjects or animals in its re-search. Approval of all ethical and experimental procedures and protocols was granted by the Norwegian Center for Research Data under Application No. 676627 07-04-2020. This article has supplementary downloadable material available at https://doi.org/10.1109/MS/2022. 3225579, provided by the authors.</t>
  </si>
  <si>
    <t xml:space="preserve">10.1109/MS.2022.3225579</t>
  </si>
  <si>
    <t xml:space="preserve">DK8P2</t>
  </si>
  <si>
    <t xml:space="preserve">WOS:001132030400014</t>
  </si>
  <si>
    <t xml:space="preserve">Non-Cooperative SAR Automatic Target Recognition Based on Scattering Centers Models</t>
  </si>
  <si>
    <t xml:space="preserve">synthetic aperture radar; automatic target recognition; scattering center; classification</t>
  </si>
  <si>
    <t xml:space="preserve">APERTURE RADAR IMAGERY; OBJECTS; REGION</t>
  </si>
  <si>
    <t xml:space="preserve">This article proposes an Automatic Target Recognition (ATR) algorithm to classify noncooperative targets in Synthetic Aperture Radar (SAR) images. The scarcity or nonexistence of measured SAR data demands that classification algorithms rely only on synthetic data for training purposes. Based on a model represented by the set of scattering centers extracted from purely synthetic data, the proposed algorithm generates hypotheses for the set of scattering centers extracted from the target under test belonging to each class. A Goodness of Fit test is considered to verify each hypothesis, where the Likelihood Ratio Test is modified by a scattering center-weighting function common to both the model and target. Some algorithm variations are assessed for scattering center extraction and hypothesis generation and verification. The proposed solution is the first model-based classification algorithm to address the recently released Synthetic and Measured Paired Labeled Experiment (SAMPLE) dataset on a 100% synthetic training data basis. As a result, an accuracy of 91.30% in a 10-target test within a class experiment under Standard Operating Conditions (SOCs) was obtained. The algorithm was also pioneered in testing the SAMPLE dataset in Extend Operating Conditions (EOCs), assuming noise contamination and different target configurations. The proposed algorithm was shown to be robust for SNRs greater than -5 dB.</t>
  </si>
  <si>
    <t xml:space="preserve">[Araujo, Gustavo F.; Machado, Renato] Aeronaut Inst Technol, BR-12228900 Sao Jose Dos Campos, Brazil; [Pettersson, Mats I.] Blekinge Inst Technol, S-37179 Karlskrona, Sweden</t>
  </si>
  <si>
    <t xml:space="preserve">Araujo, GF (corresponding author), Aeronaut Inst Technol, BR-12228900 Sao Jose Dos Campos, Brazil.</t>
  </si>
  <si>
    <t xml:space="preserve">Pettersson, Mats/0000-0002-6643-312X; Machado, Renato/0000-0003-0856-5391; Araujo, Gustavo/0000-0002-1115-5097</t>
  </si>
  <si>
    <t xml:space="preserve">Brazilian Agency of Coordination for the Improvement of Higher Education Personnel (CAPES) [001]</t>
  </si>
  <si>
    <t xml:space="preserve">Brazilian Agency of Coordination for the Improvement of Higher Education Personnel (CAPES)(Coordenacao de Aperfeicoamento de Pessoal de Nivel Superior (CAPES))</t>
  </si>
  <si>
    <t xml:space="preserve">This work was supported in part by the Brazilian Agency of Coordination for the Improvement of Higher Education Personnel (CAPES), finance code 001.</t>
  </si>
  <si>
    <t xml:space="preserve">10.3390/s22031293</t>
  </si>
  <si>
    <t xml:space="preserve">8G1HH</t>
  </si>
  <si>
    <t xml:space="preserve">WOS:000920100600028</t>
  </si>
  <si>
    <t xml:space="preserve">Bijelic, T; Ekberg, E; Willman, A; Nilsson, IM</t>
  </si>
  <si>
    <t xml:space="preserve">Bijelic, Tessa; Ekberg, EwaCarin; Willman, Ania; Nilsson, Ing-Marie</t>
  </si>
  <si>
    <t xml:space="preserve">Expectations and Experiences of Internet-Based Therapy for Adolescents with TMD Pain</t>
  </si>
  <si>
    <t xml:space="preserve">JOURNAL OF ORAL &amp; FACIAL PAIN AND HEADACHE</t>
  </si>
  <si>
    <t xml:space="preserve">TEMPOROMANDIBULAR DISORDER PAIN; QUALITATIVE CONTENT-ANALYSIS; TREATMENT EXPECTANCY; OCCLUSAL APPLIANCE; PREVALENCE; MANAGEMENT; CHILDREN; PARENTS; IMPACT; PREDICTORS</t>
  </si>
  <si>
    <t xml:space="preserve">Aims: To investigate expectations and experiences of internet-based therapy (IBT) in adolescents with temporomandibular disorder (TMD) pain. Methods: Seven adolescents were strategically selected for this study. All patients had received IBT for their TMD pain in a previous randomized controlled trial. One-on-one interviews were conducted in a nonclinical setting. The interviews were semi-structured, following an interview guide with six domains. The recorded interviews were transcribed, and a qualitative inductive content analysis was then performed. Results: Content analysis indicated that the expectations of the adolescents and their experiences of IBT as a treatment for TMD pain can be understood in light of three main categories: (1) To become better; (2) An ambivalent experience; and (3) A personal challenge. The adolescents expressed expectations of less TMD pain after treatment, but also of improvement in general well-being and everyday life. Although their experiences of IBT varied, adolescents described having mixed feelings about treatment and feeling that it was personally challenging. Conclusion: Gained understanding of expectations and experiences is a necessary basis for revising the IBT program to meet the demands of adolescents and to improve treatment adherence. Furthermore, the content of the three categories clarifies the values of adolescents, and this understanding can in turn contribute to the development of new patient -centered treatment programs.</t>
  </si>
  <si>
    <t xml:space="preserve">[Bijelic, Tessa; Ekberg, EwaCarin; Nilsson, Ing-Marie] Malmo Univ, Fac Odontol, Dept Orofacial Pain &amp; Jaw Funct, Carl Gustafs Vag 34, S-21421 Malmo, Sweden; [Willman, Ania] Malmo Univ, Dept Care Sci, Malmo, Sweden; [Willman, Ania] Blekinge Inst Technol, Sch Hlth Sci, Karlskrona, Sweden; [Nilsson, Ing-Marie] Ctr Oral Rehabil, Norrkoping, Sweden</t>
  </si>
  <si>
    <t xml:space="preserve">Malmo University; Malmo University; Blekinge Institute Technology</t>
  </si>
  <si>
    <t xml:space="preserve">Bijelic, T (corresponding author), Malmo Univ, Fac Odontol, Dept Orofacial Pain &amp; Jaw Funct, Carl Gustafs Vag 34, S-21421 Malmo, Sweden.</t>
  </si>
  <si>
    <t xml:space="preserve">tessa.bijelic@mau.se</t>
  </si>
  <si>
    <t xml:space="preserve">Regional Board of Dental Public Health in Skane, Sweden; Public Dental Service of 0stergotland, Sweden [3-17-22]</t>
  </si>
  <si>
    <t xml:space="preserve">Regional Board of Dental Public Health in Skane, Sweden; Public Dental Service of 0stergotland, Sweden</t>
  </si>
  <si>
    <t xml:space="preserve">The authors are grateful to the Regional Board of Dental Public Health in Skane, Sweden, and to the Public Dental Service of 0stergotland, Sweden (Dnr 3-17-22) , for funding this study. The authors declare no conflicts of interest. Author contributions: T.B.: acquisition of data, substantial contributions to the analysis and interpretation of data, drafting and revising the manuscript, final approval of the version to be published; EC.E.: substantial contributions to the analysis and interpretation of data, revising the manuscript, final approval of version to be published, and received grant from the Regional Board of Dental Public Health in Skane; A.W.: substantial contributions to the design of the study, analysis and interpretation of data, revising the manuscript, and final approval of version to be published; I-M.N.: substantial contributions to the design of the study, analysis and interpretation of data, revising the manuscript, final approval of version to be published, and received grant from the Public Dental Service of 0stergotland.</t>
  </si>
  <si>
    <t xml:space="preserve">MRE PRESS</t>
  </si>
  <si>
    <t xml:space="preserve">14 ROBINSON RD #08-01A FAR EAST FINANCE, SINGAPORE, SINGAPORE</t>
  </si>
  <si>
    <t xml:space="preserve">2333-0384</t>
  </si>
  <si>
    <t xml:space="preserve">2333-0376</t>
  </si>
  <si>
    <t xml:space="preserve">J ORAL FACIAL PAIN H</t>
  </si>
  <si>
    <t xml:space="preserve">J. Oral Facial Pain Headache</t>
  </si>
  <si>
    <t xml:space="preserve">10.11607/ofph.3042</t>
  </si>
  <si>
    <t xml:space="preserve">8G6QI</t>
  </si>
  <si>
    <t xml:space="preserve">WOS:000920467500005</t>
  </si>
  <si>
    <t xml:space="preserve">Dasari, SK; Cheddad, A; Lundberg, L; Palmquist, J</t>
  </si>
  <si>
    <t xml:space="preserve">Dasari, Siva Krishna; Cheddad, Abbas; Lundberg, Lars; Palmquist, Jonatan</t>
  </si>
  <si>
    <t xml:space="preserve">Active Learning to Support In-situ Process Monitoring in Additive Manufacturing</t>
  </si>
  <si>
    <t xml:space="preserve">Data labelling; Defects classification; Aerospace application; Random forests; Support vector machines</t>
  </si>
  <si>
    <t xml:space="preserve">This paper aims to address data labelling issues in process data to support in-situ process monitoring of additive manufactured components. For this, we adopted an active learning (AL) approach to minimise the manual effort for data labelling for classification models. In this study, we present an approach that utilises pre-trained models to extract deep features from images, and clustering and query by committee sampling to select the representative samples to build defect classification models. We conduct quantitative experiments to evaluate the proposed method's performance and compare it with other selected state-of-the-art AL approaches using a dataset of additive manufacturing (AM) and a publicly available dataset. The experimental results show that the proposed approach outperforms AL with committee based sampling, and AL with clustering and random sampling. The results of the statistical significance test show that there is a significant difference between the studied AL approaches. Hence, the proposed AL approach can be considered an alternative method to reduce labelling costs when building defects classification models, whose generalizability is most likely plausible.</t>
  </si>
  <si>
    <t xml:space="preserve">[Dasari, Siva Krishna; Cheddad, Abbas; Lundberg, Lars] Blekinge Inst Technol, Dept Comp Sci, SE-37179 Karlskrona, Sweden; [Palmquist, Jonatan] GKN Aerosp Engine Syst, Proc Engn Dept, SE-46181 Trollhattan, Sweden</t>
  </si>
  <si>
    <t xml:space="preserve">siva.krishna.dasari@bth.se; abbas.cheddad@bth.se; lars.lundberg@bth.se; Jonatan.Palmquist@gknaerospace.com</t>
  </si>
  <si>
    <t xml:space="preserve">10.1109/ICMLA52953.2021.00190</t>
  </si>
  <si>
    <t xml:space="preserve">WOS:000779208200182</t>
  </si>
  <si>
    <t xml:space="preserve">Group gradations on Leavitt path algebras</t>
  </si>
  <si>
    <t xml:space="preserve">IDEAL STRUCTURE</t>
  </si>
  <si>
    <t xml:space="preserve">Given a directed graph E and an associative unital ring R one may define the Leavitt path algebra with coefficients in R, denoted by L-R(E). For an arbitrary group G, L-R(E) can be viewed as a G-graded ring. In this paper, we show that L-R(E) is always nearly epsilon-strongly C-graded. We also show that if E is finite, then L-R(E) is epsilonstrongly G-graded. We present a new proof of Hazrat's characterization of strongly Z-graded Leavitt path algebras, when E is finite. Moreover, if E is row-finite and has no source, then we show that L-R(E) is strongly Z-graded if and only if E has no sink. We also use a result concerning Frobenius epsilon-strongly G-graded rings, where C is finite, to obtain criteria which ensure that L-R(E) is Frobenius over its identity component.</t>
  </si>
  <si>
    <t xml:space="preserve">[Nystedt, Patrik] Univ West, Dept Engn Sci, SE-46186 Trollhattan, Sweden; [Oinert, Johan] Blekinge Inst Technol, Dept Math &amp; Nat Sci, SE-37179 Karlskrona, Sweden</t>
  </si>
  <si>
    <t xml:space="preserve">10.1142/S0219498820501650</t>
  </si>
  <si>
    <t xml:space="preserve">WOS:000563009600004</t>
  </si>
  <si>
    <t xml:space="preserve">Zavadil, J; Bartunek, JS; Fojtik, D</t>
  </si>
  <si>
    <t xml:space="preserve">Zavadil, Jaromir; Bartunek, Josef Strom; Fojtik, David</t>
  </si>
  <si>
    <t xml:space="preserve">Analysis of Periodicities in Surface Topography of Cold rolled sheets Using Data Captured by Camera System</t>
  </si>
  <si>
    <t xml:space="preserve">MEASUREMENT SCIENCE REVIEW</t>
  </si>
  <si>
    <t xml:space="preserve">Surface analysis; cold rolling; optical profilometer; camera system; periodicities</t>
  </si>
  <si>
    <t xml:space="preserve">A method for surface analysis of cold rolled sheets is proposed in this paper. The approach is based on a low-cost specially built camera system followed by spectral analysis of the data captured from metal surfaces. The focus is on the changes in the surface topography caused by cold rolling with emphasis towards periodicities in the processed surface. Angular profile of the spectrum is calculated and used to display periodicities in surface topography and show their direction. The results obtained by using the proposed system were compared with results obtained from the optical profilometer MicroProf FRT. The experiments show that cold rolling creates marks on the surface of the material, which represent periodicities that can be effectively detected by the proposed method and camera system. Even though the camera system is not able to measure precise surface roughness, it is able to detect periodicities and the results of spectral analysis are comparable with the results from the optical profilometer.</t>
  </si>
  <si>
    <t xml:space="preserve">[Zavadil, Jaromir; Fojtik, David] VSB Tech Univ Ostrava, Fac Mech Engn, Dept Control Syst &amp; Instrumentat, 17 Listopadu 2172-15, Ostrava 70800, Czech Republic; [Bartunek, Josef Strom] Blekinge Inst Technol, Dept Appl Signal Proc, SE-37179 Karlskrona, Sweden</t>
  </si>
  <si>
    <t xml:space="preserve">Technical University of Ostrava; Blekinge Institute Technology</t>
  </si>
  <si>
    <t xml:space="preserve">Zavadil, J (corresponding author), VSB Tech Univ Ostrava, Fac Mech Engn, Dept Control Syst &amp; Instrumentat, 17 Listopadu 2172-15, Ostrava 70800, Czech Republic.</t>
  </si>
  <si>
    <t xml:space="preserve">jaromir.zavadil@vsb.cz</t>
  </si>
  <si>
    <t xml:space="preserve">Zavadil, Jaromír/AAR-4035-2020; Fojtík, David/HMP-6566-2023</t>
  </si>
  <si>
    <t xml:space="preserve">European Regional Development Fund in the Research Centre of Advanced Mechatronic Systems project within the Operational Programme Research, Development and Education [CZ.02.1.01/0.0/0.0/16_ 019/0000867]; Ministry of Education, Youth and Sports [SP2019/51]</t>
  </si>
  <si>
    <t xml:space="preserve">European Regional Development Fund in the Research Centre of Advanced Mechatronic Systems project within the Operational Programme Research, Development and Education; Ministry of Education, Youth and Sports(Ministry of Education, Youth &amp; Sports - Czech Republic)</t>
  </si>
  <si>
    <t xml:space="preserve">This work was supported by the European Regional Development Fund in the Research Centre of Advanced Mechatronic Systems project, CZ.02.1.01/0.0/0.0/16_ 019/0000867 within the Operational Programme Research, Development and Education and the project SP2019/51 Applied Research in the Area of Machine and Process Control supported by the Ministry of Education, Youth and Sports.</t>
  </si>
  <si>
    <t xml:space="preserve">SCIENDO</t>
  </si>
  <si>
    <t xml:space="preserve">BOGUMILA ZUGA 32A, WARSAW, MAZOVIA, POLAND</t>
  </si>
  <si>
    <t xml:space="preserve">1335-8871</t>
  </si>
  <si>
    <t xml:space="preserve">MEAS SCI REV</t>
  </si>
  <si>
    <t xml:space="preserve">Meas. Sci. Rev.</t>
  </si>
  <si>
    <t xml:space="preserve">10.2478/msr-2020-0017</t>
  </si>
  <si>
    <t xml:space="preserve">Instruments &amp; Instrumentation</t>
  </si>
  <si>
    <t xml:space="preserve">MU7ZI</t>
  </si>
  <si>
    <t xml:space="preserve">WOS:000555887000005</t>
  </si>
  <si>
    <t xml:space="preserve">van Dreven, J; Cheddad, A; Alawadi, S; Ghazi, AN; Al Koussa, J; Vanhoudt, D</t>
  </si>
  <si>
    <t xml:space="preserve">van Dreven, Jonne; Cheddad, Abbas; Alawadi, Sadi; Ghazi, Ahmad Nauman; Al Koussa, Jad; Vanhoudt, Dirk</t>
  </si>
  <si>
    <t xml:space="preserve">SHEDAD: SNN-Enhanced District Heating Anomaly Detection for Urban Substations</t>
  </si>
  <si>
    <t xml:space="preserve">Anomaly Detection; Clustering; District Heating; Nearest Neighbor Measure; Intelligent Urban Systems</t>
  </si>
  <si>
    <t xml:space="preserve">FAULT-DETECTION; OPTIMIZATION</t>
  </si>
  <si>
    <t xml:space="preserve">District Heating (DH) systems are essential for energy-efficient urban heating. However, despite the advancements in automated fault detection and diagnosis (FDD), DH still faces challenges in operational faults that impact efficiency. This study introduces the Shared Nearest Neighbor Enhanced District Heating Anomaly Detection (SHEDAD) approach, designed to approximate the DH network topology and allow for local anomaly detection without disclosing sensitive information, such as substation locations. The approach leverages a multi-adaptive k-Nearest Neighbor (k-NN) graph to improve the initial neighborhood creation. Moreover, it introduces a merging technique that reduces noise and eliminates trivial edges. We use the Median Absolute Deviation (MAD) and modified z-scores to flag anomalous substations. The results reveal that SHEDAD outperforms traditional clustering methods, achieving significantly lower intra-cluster variance and distance. Additionally, SHEDAD effectively isolates and identifies two distinct categories of anomalies: supply temperatures and substation performance. We identified 30 anomalous substations and reached a sensitivity of approximately 65% and specificity of approximately 97%. By focusing on this subset of poor-performing substations in the network, SHEDAD enables more targeted and effective maintenance interventions, which can reduce energy usage while optimizing network performance.</t>
  </si>
  <si>
    <t xml:space="preserve">[van Dreven, Jonne; Cheddad, Abbas; Alawadi, Sadi] Blekinge Inst Technol, Dept Comp Sci, Karlskrona, Sweden; [Ghazi, Ahmad Nauman] Blekinge Inst Technol, Dept Software Engn, Karlskrona, Sweden; [van Dreven, Jonne; Al Koussa, Jad; Vanhoudt, Dirk] Flemish Inst Technol Res VITO, Unit Energy Technol, Mol, Belgium; [van Dreven, Jonne; Al Koussa, Jad; Vanhoudt, Dirk] EnergyVille, Genk, Belgium</t>
  </si>
  <si>
    <t xml:space="preserve">Blekinge Institute Technology; Blekinge Institute Technology; VITO</t>
  </si>
  <si>
    <t xml:space="preserve">van Dreven, J (corresponding author), Blekinge Inst Technol, Dept Comp Sci, Karlskrona, Sweden.;van Dreven, J (corresponding author), Flemish Inst Technol Res VITO, Unit Energy Technol, Mol, Belgium.;van Dreven, J (corresponding author), EnergyVille, Genk, Belgium.</t>
  </si>
  <si>
    <t xml:space="preserve">Cheddad, Abbas/R-7061-2018; van Dreven, Jonne/IQW-5956-2023; Ghazi, Ahmad Nauman/R-1982-2016</t>
  </si>
  <si>
    <t xml:space="preserve">Ghazi, Ahmad Nauman/0000-0001-9336-4361</t>
  </si>
  <si>
    <t xml:space="preserve">10.1109/FMEC62297.2024.10710205</t>
  </si>
  <si>
    <t xml:space="preserve">WOS:001343069600017</t>
  </si>
  <si>
    <t xml:space="preserve">Frattini, J; Fischbach, J; Bauer, A</t>
  </si>
  <si>
    <t xml:space="preserve">Schneider, K; Dalpiaz, F; Horkoff, J</t>
  </si>
  <si>
    <t xml:space="preserve">Frattini, Julian; Fischbach, Jamiik; Bauer, Andreas</t>
  </si>
  <si>
    <t xml:space="preserve">CiRA: An Open-Source Python Package for Automated Generation of Test Case Descriptions from Natural Language Requirements</t>
  </si>
  <si>
    <t xml:space="preserve">2023 IEEE 31ST INTERNATIONAL REQUIREMENTS ENGINEERING CONFERENCE WORKSHOPS, REW</t>
  </si>
  <si>
    <t xml:space="preserve">31st IEEE International Requirements Engineering Conference (RE)</t>
  </si>
  <si>
    <t xml:space="preserve">SEP 04-05, 2023</t>
  </si>
  <si>
    <t xml:space="preserve">Hannover, GERMANY</t>
  </si>
  <si>
    <t xml:space="preserve">requirements engineering; natural language processing; acceptance test; test case description; BERT</t>
  </si>
  <si>
    <t xml:space="preserve">Deriving acceptance tests from high-level, natural language requirements that achieve full coverage is a major manual challenge at the interface between requirements engineering and testing. Conditional requirements (e.g., If A or B then C.) imply causal relationships which when extracted allow to generate these acceptance tests automatically. This paper presents a tool from the CiRA (Causality In Requirements Artifacts) initiative, which automatically processes conditional natural language requirements and generates a minimal set of test case descriptions achieving full coverage. We evaluate the tool on a publicly available data set of 61 requirements from the requirements specification of the German Corona-Warn-App. The tool infers the correct lest variables in 84.5% and correct variable configurations in 92.3% of all cases, which corroborates the feasibility of our approach.</t>
  </si>
  <si>
    <t xml:space="preserve">[Frattini, Julian; Bauer, Andreas] Blekinge Inst Technol, Karlskrona, Sweden; [Fischbach, Jamiik] Netlight Consulting GmbH, Munich, Germany; [Fischbach, Jamiik] fortiss GmbH, Munich, Germany</t>
  </si>
  <si>
    <t xml:space="preserve">julian.frattini@bth.se; jannik.fischbach@netlight.com; andreas.bauer@bth.se</t>
  </si>
  <si>
    <t xml:space="preserve">979-8-3503-2691-8</t>
  </si>
  <si>
    <t xml:space="preserve">10.1109/REW57809.2023.00019</t>
  </si>
  <si>
    <t xml:space="preserve">BV9BJ</t>
  </si>
  <si>
    <t xml:space="preserve">WOS:001085223300015</t>
  </si>
  <si>
    <t xml:space="preserve">Ehn, B; Anderberg, P; Berglund, JS; Lilje, S</t>
  </si>
  <si>
    <t xml:space="preserve">Ehn, B.; Anderberg, P.; Berglund, J. Sanmartin; Lilje, S.</t>
  </si>
  <si>
    <t xml:space="preserve">The process of opting for female permanent contraception: A qualitative study of women's experiences in Sweden</t>
  </si>
  <si>
    <t xml:space="preserve">CONTRACEPTION</t>
  </si>
  <si>
    <t xml:space="preserve">Permanent contraception; Counseling; Family planning</t>
  </si>
  <si>
    <t xml:space="preserve">STERILIZATION; VASECTOMY; PREGNANCY; ATTITUDES; MEN</t>
  </si>
  <si>
    <t xml:space="preserve">Objectives: We aimed to explore Swedish women's decision-making experiences regarding permanent contraception. Study design: In this study, we included 17 women aged 30-48 who were scheduled to undergo female permanent contraceptive procedures. We conducted semistructured interviews using two broad open-ended questions. We analyzed these data using systematic text condensation based on the principles of psychological phenomenological analysis. Results: The interviewees experienced no counseling or support from health care workers regarding permanent contraception until they specifically asked for it. Participants reported that they themselves place the responsibility of permanent contraception solely on women. Consequently, our participants described feeling hesitancy and ambivalence in the process of deciding to have the procedure. Once the decision was made and the women were on the waiting lists for surgery, they experienced relief and empowerment. Conclusions: Our findings suggest that health care providers in Sweden miss opportunities to support patient-centered decision-making regarding permanent contraception. This study indicates that women make deliberate and considered decisions regarding permanent contraception and are best positioned to know when the procedure should take place in their reproductive lives. (C) 2020 Elsevier Inc. All rights reserved.</t>
  </si>
  <si>
    <t xml:space="preserve">[Ehn, B.] Blekingesjukhuset, Dept Obstet &amp; Gynecol, Hosp Karlskrona, Kvinnokliniken, S-37185 Karlskrona, Sweden; [Anderberg, P.; Berglund, J. Sanmartin] Karlskrona Blekinge Tekniska Hgsk, Blekinge Inst Technol, BTH, Valhallavagen 1, S-37141 Karlskrona, Sweden; [Lilje, S.] Karolinska Inst, Nobels V 13, S-17177 Stockholm, Sweden</t>
  </si>
  <si>
    <t xml:space="preserve">Ehn, B (corresponding author), Blekingesjukhuset, Dept Obstet &amp; Gynecol, Hosp Karlskrona, Kvinnokliniken, S-37185 Karlskrona, Sweden.</t>
  </si>
  <si>
    <t xml:space="preserve">bodil.ehn@regionblekinge.se; peter.anderberg@bth.se; Johan.sanmartin.berglund@bth.se; stina.lilje@ki.se</t>
  </si>
  <si>
    <t xml:space="preserve">0010-7824</t>
  </si>
  <si>
    <t xml:space="preserve">1879-0518</t>
  </si>
  <si>
    <t xml:space="preserve">Contraception</t>
  </si>
  <si>
    <t xml:space="preserve">10.1016/j.contraception.2020.10.003</t>
  </si>
  <si>
    <t xml:space="preserve">Obstetrics &amp; Gynecology</t>
  </si>
  <si>
    <t xml:space="preserve">PH7TK</t>
  </si>
  <si>
    <t xml:space="preserve">WOS:000600609900010</t>
  </si>
  <si>
    <t xml:space="preserve">Börstler, J; bin Ali, N; Petersen, K; Engström, E</t>
  </si>
  <si>
    <t xml:space="preserve">Borstler, Jurgen; bin Ali, Nauman; Petersen, Kai; Engstrom, Emelie</t>
  </si>
  <si>
    <t xml:space="preserve">Acceptance behavior theories and models in software engineering - A mapping study</t>
  </si>
  <si>
    <t xml:space="preserve">Acceptance behavior; Technology adoption; Theory use in software engineering; TAM; TPB; TRA; Fitness; Innovation diffusion</t>
  </si>
  <si>
    <t xml:space="preserve">TASK-TECHNOLOGY FIT; USER ACCEPTANCE; INFORMATION-TECHNOLOGY</t>
  </si>
  <si>
    <t xml:space="preserve">Context: The adoption or acceptance of new technologies or ways of working in software development activities is a recurrent topic in the software engineering literature. The topic has, therefore, been empirically investigated extensively. It is, however, unclear which theoretical frames of reference are used in this research to explain acceptance behaviors. Objective: In this study, we explore how major theories and models of acceptance behavior have been used in the software engineering literature to empirically investigate acceptance behavior. Method: We conduct a systematic mapping study of empirical studies using acceptance behavior theories in software engineering. Results: We identified 47 primary studies covering 56 theory uses. The theories were categorized into six groups. Technology acceptance models (TAM and its extensions) were used in 29 of the 47 primary studies, innovation theories in 10, and the theories of planned behavior/ reasoned action (TPB/TRA) in six. All other theories were used in at most two of the primary studies. The usage and operationalization of the theories were, in many cases, inconsistent with the underlying theories. Furthermore, we identified 77 constructs used by these studies of which many lack clear definitions. Conclusions: Our results show that software engineering researchers are aware of some of the leading theories and models of acceptance behavior, which indicates an attempt to have more theoretical foundations. However, we identified issues related to theory usage that make it difficult to aggregate and synthesize results across studies. We propose mitigation actions that encourage the consistent use of theories and emphasize the measurement of key constructs.</t>
  </si>
  <si>
    <t xml:space="preserve">[Borstler, Jurgen; bin Ali, Nauman; Petersen, Kai] Blekinge Inst Technol, Karlskrona, Sweden; [Petersen, Kai] Univ Appl Sci, Flensburg, Germany; [Engstrom, Emelie] Lund Univ, Lund, Sweden</t>
  </si>
  <si>
    <t xml:space="preserve">Börstler, J (corresponding author), Blekinge Inst Technol, Karlskrona, Sweden.</t>
  </si>
  <si>
    <t xml:space="preserve">jurgen.borstler@bth.se</t>
  </si>
  <si>
    <t xml:space="preserve">Ali, Nauman bin/0000-0001-7266-5632; Engstrom, Emelie/0000-0001-6736-9425</t>
  </si>
  <si>
    <t xml:space="preserve">ELLIIT; Strategic Research Area within IT and Mobile Communications, Sweden - Swedish Government; Knowledge Foundation in Sweden [20220235]</t>
  </si>
  <si>
    <t xml:space="preserve">ELLIIT; Strategic Research Area within IT and Mobile Communications, Sweden - Swedish Government; Knowledge Foundation in Sweden</t>
  </si>
  <si>
    <t xml:space="preserve">This work has been supported by ELLIIT; the Strategic Research Area within IT and Mobile Communications, Sweden, funded by the Swedish Government. The work has also been supported by a research grant for the GIST project, Sweden (reference number 20220235) from the Knowledge Foundation in Sweden.</t>
  </si>
  <si>
    <t xml:space="preserve">10.1016/j.infsof.2024.107469</t>
  </si>
  <si>
    <t xml:space="preserve">SH8T8</t>
  </si>
  <si>
    <t xml:space="preserve">WOS:001233663200001</t>
  </si>
  <si>
    <t xml:space="preserve">Concluding Remarks</t>
  </si>
  <si>
    <t xml:space="preserve">WOS:000764055500007</t>
  </si>
  <si>
    <t xml:space="preserve">Bustamante-Arias, A; Cheddad, A; Jimenez-Perez, JC; Rodriguez-Garcia, A</t>
  </si>
  <si>
    <t xml:space="preserve">Bustamante-Arias, Andres; Cheddad, Abbas; Cesar Jimenez-Perez, Julio; Rodriguez-Garcia, Alejandro</t>
  </si>
  <si>
    <t xml:space="preserve">Digital Image Processing and Development of Machine Learning Models for the Discrimination of Corneal Pathology: An Experimental Model</t>
  </si>
  <si>
    <t xml:space="preserve">PHOTONICS</t>
  </si>
  <si>
    <t xml:space="preserve">artificial intelligence; machine learning; cornea; SD-OCT; keratoconus; ectasia; keratitis; random forest; convolutional neural network; transfer learning</t>
  </si>
  <si>
    <t xml:space="preserve">DIABETIC-RETINOPATHY; MACULAR DEGENERATION; TOMOGRAPHY; VALIDATION</t>
  </si>
  <si>
    <t xml:space="preserve">Machine learning (ML) has an impressive capacity to learn and analyze a large volume of data. This study aimed to train different algorithms to discriminate between healthy and pathologic corneal images by evaluating digitally processed spectral-domain optical coherence tomography (SD-OCT) corneal images. A set of 22 SD-OCT images belonging to a random set of corneal pathologies was compared to 71 healthy corneas (control group). A binary classification method was applied where three approaches of ML were explored. Once all images were analyzed, representative areas from every digital image were also extracted, processed and analyzed for a statistical feature comparison between healthy and pathologic corneas. The best performance was obtained from transfer learning-support vector machine (TL-SVM) (AUC = 0.94, SPE 88%, SEN 100%) and transfer learning-random forest (TL- RF) method (AUC = 0.92, SPE 84%, SEN 100%), followed by convolutional neural network (CNN) (AUC = 0.84, SPE 77%, SEN 91%) and random forest (AUC = 0.77, SPE 60%, SEN 95%). The highest diagnostic accuracy in classifying corneal images was achieved with the TL-SVM and the TL-RF models. In image classification, CNN was a strong predictor. This pilot experimental study developed a systematic mechanized system to discern pathologic from healthy corneas using a small sample.</t>
  </si>
  <si>
    <t xml:space="preserve">[Bustamante-Arias, Andres; Cesar Jimenez-Perez, Julio; Rodriguez-Garcia, Alejandro] Inst Ophthalmol &amp; Visual Sci, Sch Med &amp; Hlth Sci, Tecnol Monterrey, Monterrey 66278, Mexico; [Cheddad, Abbas] Blekinge Inst Technol, Dept Comp Sci &amp; Engn, SE-37179 Karlskrona, Sweden</t>
  </si>
  <si>
    <t xml:space="preserve">Tecnologico de Monterrey; Blekinge Institute Technology</t>
  </si>
  <si>
    <t xml:space="preserve">Rodriguez-Garcia, A (corresponding author), Inst Ophthalmol &amp; Visual Sci, Sch Med &amp; Hlth Sci, Tecnol Monterrey, Monterrey 66278, Mexico.</t>
  </si>
  <si>
    <t xml:space="preserve">a00826776@itesm.mx; abbas.cheddad@bth.se; juliojimenez@outlook.com; arodri@tec.mx</t>
  </si>
  <si>
    <t xml:space="preserve">Jimenez-Perez, Julio Cesar/K-3913-2018; Rodriguez-Garcia, Alejandro/AAI-1045-2019; Cheddad, Abbas/R-7061-2018; Bustamante, Andres/F-3549-2018</t>
  </si>
  <si>
    <t xml:space="preserve">Jimenez-Perez, Julio Cesar/0000-0003-0914-648X; Rodriguez-Garcia, Alejandro/0000-0002-1419-2109; Cheddad, Abbas/0000-0002-4390-411X; Bustamante, Andres/0000-0002-1790-8344</t>
  </si>
  <si>
    <t xml:space="preserve">Immuneye Foundation, Monterrey, Mexico</t>
  </si>
  <si>
    <t xml:space="preserve">The Immuneye Foundation, Monterrey, Mexico.</t>
  </si>
  <si>
    <t xml:space="preserve">2304-6732</t>
  </si>
  <si>
    <t xml:space="preserve">PHOTONICS-BASEL</t>
  </si>
  <si>
    <t xml:space="preserve">Photonics</t>
  </si>
  <si>
    <t xml:space="preserve">10.3390/photonics8040118</t>
  </si>
  <si>
    <t xml:space="preserve">RS0UK</t>
  </si>
  <si>
    <t xml:space="preserve">WOS:000643501300001</t>
  </si>
  <si>
    <t xml:space="preserve">Netz, J; Svensson, M; Brundin, E</t>
  </si>
  <si>
    <t xml:space="preserve">Netz, Joakim; Svensson, Martin; Brundin, Ethel</t>
  </si>
  <si>
    <t xml:space="preserve">Business disruptions and affective reactions: A strategy-as-practice perspective on fast strategic decision making</t>
  </si>
  <si>
    <t xml:space="preserve">LONG RANGE PLANNING</t>
  </si>
  <si>
    <t xml:space="preserve">TOP MANAGEMENT TEAM; HIGH-VELOCITY ENVIRONMENTS; CONTINUITY MANAGEMENT; DYNAMIC CAPABILITIES; DISCRETE EMOTIONS; SOCIAL FUNCTIONS; MIDDLE MANAGERS; CRISIS; HEURISTICS; CONSTRUCTION</t>
  </si>
  <si>
    <t xml:space="preserve">This study examines management teams' work in making fast strategic decisions under extreme time pressure. Focusing on affective reactions as behavioural responses to business disruptions due to unforeseen events, we elaborate the strategy-as-practice perspective by drawing upon qualitative and quantitative datasets collected from 39 sites in a corporate setting over three consecutive phases during a four-year period. The data show two types of patterns: intensity-focused and type-focused affective reactions in management teams' use of management tools as part of mental shortcuts when making fast decisions. These patterns are contingent on whether the teams functioned in contexts that had previous experience of management of similar unforeseen events. Affective reactions in the use of tool-based mental shortcuts unveil a mechanism of practices that explains middle management teams' strategic actions during business disruption due to unforeseen events. While research predominantly suggests that affect is bad for management teams in crisis-related contexts, we find that this view is misleading. Affective reactions not only hinder but also aid crucial information exchanges between middle management teams and corporate levels while making strategic decisions under extreme time pressure. Therefore, we propose a reconceptualized view of managing fast strategic decision making and discuss the implications for theory and practice.</t>
  </si>
  <si>
    <t xml:space="preserve">[Netz, Joakim] Jonkoping Univ, Sch Engn, POB 1026, SE-55111 Jonkoping, Sweden; [Svensson, Martin] Blekinge Inst Technol, Dept Ind Econ, SE-37179 Karlskrona, Sweden; [Brundin, Ethel] Jonkoping Univ, Ctr Family Enterprise &amp; Ownership CeFEO, Jonkoping Int Business Sch, POB 1026, SE-55111 Jonkoping, Sweden</t>
  </si>
  <si>
    <t xml:space="preserve">Jonkoping University; Blekinge Institute Technology; Jonkoping University</t>
  </si>
  <si>
    <t xml:space="preserve">Netz, J (corresponding author), Jonkoping Univ, Sch Engn, POB 1026, SE-55111 Jonkoping, Sweden.</t>
  </si>
  <si>
    <t xml:space="preserve">joakim.netz@ju.se; martin.svensson@bth.se; ethel.brundin@ju.se</t>
  </si>
  <si>
    <t xml:space="preserve">Svensson, Martin/ISR-9012-2023</t>
  </si>
  <si>
    <t xml:space="preserve">0024-6301</t>
  </si>
  <si>
    <t xml:space="preserve">1873-1872</t>
  </si>
  <si>
    <t xml:space="preserve">LONG RANGE PLANN</t>
  </si>
  <si>
    <t xml:space="preserve">Long Range Plan.</t>
  </si>
  <si>
    <t xml:space="preserve">10.1016/j.lrp.2019.101910</t>
  </si>
  <si>
    <t xml:space="preserve">Business; Development Studies; Management</t>
  </si>
  <si>
    <t xml:space="preserve">Business &amp; Economics; Development Studies</t>
  </si>
  <si>
    <t xml:space="preserve">OA1QQ</t>
  </si>
  <si>
    <t xml:space="preserve">WOS:000577569500002</t>
  </si>
  <si>
    <t xml:space="preserve">Xu, F; Ahlin, K; Wang, BY</t>
  </si>
  <si>
    <t xml:space="preserve">Xu, Fei; Ahlin, Kjell; Wang, Binyi</t>
  </si>
  <si>
    <t xml:space="preserve">Optimization of Damage Equivalent Accelerated Test Spectrum Derivation Using Multiple Non-Gaussian Vibration Data</t>
  </si>
  <si>
    <t xml:space="preserve">JOURNAL OF SENSORS</t>
  </si>
  <si>
    <t xml:space="preserve">DURABILITY TESTS; NONSTATIONARY</t>
  </si>
  <si>
    <t xml:space="preserve">The response spectra are widely used in the damage assessment of non-Gaussian random vibration environments and the derivation of damage equivalent accelerated test spectrum. The effectiveness of the latter is strongly affected by modal parameter uncertainties, multiple field data processing, and the nonsmooth shape of the derived power spectral density (PSD). Optimization of accelerated test spectrum derivation based on dynamic parameter selection and iterative update of spectrum envelope is presented in this paper. The extreme response spectrum (ERS) envelope of the field data is firstly taken as the limiting spectrum, and the corresponding relationship between damping coefficient, fatigue exponent, and damage equivalent PSD under different test times is constructed to achieve the dynamic selection of uncertain parameters in the response spectrum model. Then, an iterative update model based on the weighted sum of fatigue damage spectrum (FDS) error is presented to reduce the error introduced by the nonsmooth shape of the derived PSD. The case study shows that undertest can be effectively avoided by the dynamic selection of model parameters. The weighted error is reduced from 80.1% to 7.5% after 7 iterations. Particularly, the error is close to 0 within the peak and valley frequency band.</t>
  </si>
  <si>
    <t xml:space="preserve">[Xu, Fei] Yancheng Inst Technol, Sch Automot Engn, Yancheng 224051, Peoples R China; [Ahlin, Kjell] Blekinge Tekniska Hgsk, S-37179 Karlskrona, Sweden; [Wang, Binyi] Northwest Inst Mech &amp; Elect Engn, Xianyang 712000, Shaanxi, Peoples R China</t>
  </si>
  <si>
    <t xml:space="preserve">Yancheng Institute of Technology; Blekinge Institute Technology</t>
  </si>
  <si>
    <t xml:space="preserve">Xu, F (corresponding author), Yancheng Inst Technol, Sch Automot Engn, Yancheng 224051, Peoples R China.</t>
  </si>
  <si>
    <t xml:space="preserve">luoyefeihen@163.com</t>
  </si>
  <si>
    <t xml:space="preserve">Xu, Fei/0000-0001-9501-5085</t>
  </si>
  <si>
    <t xml:space="preserve">National Natural Science Foundation of China [52102443, xjr2019036]</t>
  </si>
  <si>
    <t xml:space="preserve">This research activity was partially supported by the National Natural Science Foundation of China (Grant No. 52102443) and a project (No. xjr2019036) entitled funding for school-level research projects of Yancheng Institute of Technology.</t>
  </si>
  <si>
    <t xml:space="preserve">1687-725X</t>
  </si>
  <si>
    <t xml:space="preserve">1687-7268</t>
  </si>
  <si>
    <t xml:space="preserve">J SENSORS</t>
  </si>
  <si>
    <t xml:space="preserve">J. Sens.</t>
  </si>
  <si>
    <t xml:space="preserve">SEP 6</t>
  </si>
  <si>
    <t xml:space="preserve">10.1155/2021/3668726</t>
  </si>
  <si>
    <t xml:space="preserve">Engineering, Electrical &amp; Electronic; Instruments &amp; Instrumentation</t>
  </si>
  <si>
    <t xml:space="preserve">Engineering; Instruments &amp; Instrumentation</t>
  </si>
  <si>
    <t xml:space="preserve">US2XT</t>
  </si>
  <si>
    <t xml:space="preserve">WOS:000697299200007</t>
  </si>
  <si>
    <t xml:space="preserve">Sjöberg, P; Mendez, D; Gorschek, T</t>
  </si>
  <si>
    <t xml:space="preserve">Sjoberg, Peter; Mendez, Daniel; Gorschek, Tony</t>
  </si>
  <si>
    <t xml:space="preserve">Contemporary Challenges when Developing Cyber-Physical Systems of Systems - A Case Study</t>
  </si>
  <si>
    <t xml:space="preserve">2023 IEEE/ACM 11TH INTERNATIONAL WORKSHOP ON SOFTWARE ENGINEERING FOR SYSTEMS-OF-SYSTEMS AND SOFTWARE ECOSYSTEMS, SESOS</t>
  </si>
  <si>
    <t xml:space="preserve">IEEE/ACM 11th International Workshop on Software Engineering for Systems-of-Systems and Software Ecosystems (SESoS)</t>
  </si>
  <si>
    <t xml:space="preserve">MAY 14, 2023</t>
  </si>
  <si>
    <t xml:space="preserve">Cyber-physical systems; System of systems; Internet of things; Information and communication technology; Interview Study; Case Study</t>
  </si>
  <si>
    <t xml:space="preserve">Digitalization has created service business opportunities for machine manufacturing companies. But creating these cyber-physical systems of systems effectively constitutes a critical measure of success in practice. At the same time, the body of knowledge in software engineering provides little guidance on how to manage this evolution. To contribute to closing this gap in the long run via problem-driven research, we need to first understand which contemporary challenges and needs are encountered in industry. To this end, we conducted a series of semi-structured interviews at a machine manufacturing company, that is expanding its service offerings utilizing digitalization, where we explored how such systems are engineered and what challenges and needs are encountered.</t>
  </si>
  <si>
    <t xml:space="preserve">[Sjoberg, Peter] Volvo Construct Equipment, Vasteras, Sweden; [Sjoberg, Peter] Blekinge Inst Technol, Vasteras, Sweden; [Mendez, Daniel; Gorschek, Tony] Blekinge Inst Technol &amp; Fortiss, Karlskrona, Sweden</t>
  </si>
  <si>
    <t xml:space="preserve">Sjöberg, P (corresponding author), Volvo Construct Equipment, Vasteras, Sweden.;Sjöberg, P (corresponding author), Blekinge Inst Technol, Vasteras, Sweden.</t>
  </si>
  <si>
    <t xml:space="preserve">peter.sjoberg@bth.se</t>
  </si>
  <si>
    <t xml:space="preserve">KKS foundation through PLEng</t>
  </si>
  <si>
    <t xml:space="preserve">We would like to acknowledge that this work was supported by the KKS foundation through PLEng and the S.E.R.T. Research Profile project at Blekinge Institute of Technology.</t>
  </si>
  <si>
    <t xml:space="preserve">979-8-3503-0174-8</t>
  </si>
  <si>
    <t xml:space="preserve">10.1109/SESoS59159.2023.00012</t>
  </si>
  <si>
    <t xml:space="preserve">BV4VL</t>
  </si>
  <si>
    <t xml:space="preserve">WOS:001042226500008</t>
  </si>
  <si>
    <t xml:space="preserve">Wagenpfeil, S; Mc Kevitt, P; Cheddad, A; Hemmje, M</t>
  </si>
  <si>
    <t xml:space="preserve">Wagenpfeil, Stefan; Mc Kevitt, Paul; Cheddad, Abbas; Hemmje, Matthias</t>
  </si>
  <si>
    <t xml:space="preserve">Explainable Multimedia Feature Fusion for Medical Applications</t>
  </si>
  <si>
    <t xml:space="preserve">JOURNAL OF IMAGING</t>
  </si>
  <si>
    <t xml:space="preserve">indexing; retrieval; explainability; semantic; multimedia; feature graph; graph code</t>
  </si>
  <si>
    <t xml:space="preserve">OF-THE-ART; RETRIEVAL</t>
  </si>
  <si>
    <t xml:space="preserve">Due to the exponential growth of medical information in the form of, e.g., text, images, Electrocardiograms (ECGs), X-ray, and multimedia, the management of a patient's data has become a huge challenge. In particular, the extraction of features from various different formats and their representation in a homogeneous way are areas of interest in medical applications. Multimedia Information Retrieval (MMIR) frameworks, like the Generic Multimedia Analysis Framework (GMAF), can contribute to solving this problem, when adapted to special requirements and modalities of medical applications. In this paper, we demonstrate how typical multimedia processing techniques can be extended and adapted to medical applications and how these applications benefit from employing a Multimedia Feature Graph (MMFG) and specialized, efficient indexing indexing structures in the form of Graph Codes. These Graph Codes are transformed to feature relevant Graph Codes by employing a modified Term Frequency Inverse Document Frequency (TFIDF) algorithm, which further supports value ranges and Boolean operations required in the medical context. On this basis, various metrics for the calculation of similarity, recommendations, and automated inferencing and reasoning can be applied supporting the field of diagnostics. Finally, the presentation of these new facilities in the form of explainability is introduced and demonstrated. Thus, in this paper, we show how Graph Codes contribute new querying options for diagnosis and how Explainable Graph Codes can help to readily understand medical multimedia formats.</t>
  </si>
  <si>
    <t xml:space="preserve">[Wagenpfeil, Stefan; Hemmje, Matthias] Univ Hagen, Fac Math &amp; Comp Sci, Univ Str 1, D-58097 Hagen, Germany; [Mc Kevitt, Paul] Acad Int Sci &amp; Res AISR, Derry BT48 7JL, Londonderry, North Ireland; [Cheddad, Abbas] Blekinge Inst Technol, S-37179 Karlskrona, Sweden</t>
  </si>
  <si>
    <t xml:space="preserve">Fern University Hagen; Blekinge Institute Technology</t>
  </si>
  <si>
    <t xml:space="preserve">Wagenpfeil, S (corresponding author), Univ Hagen, Fac Math &amp; Comp Sci, Univ Str 1, D-58097 Hagen, Germany.</t>
  </si>
  <si>
    <t xml:space="preserve">stefan.wagenpfeil@fernuni-hagen.de; p.mckevitt@aisr.org.uk; abbas.cheddad@bth.se; matthias.hemmje@fernuni-hagen.de</t>
  </si>
  <si>
    <t xml:space="preserve">Cheddad, Abbas/0000-0002-4390-411X; Wagenpfeil, Stefan/0000-0003-2100-7589; McKevitt, Paul/0000-0001-9715-1590</t>
  </si>
  <si>
    <t xml:space="preserve">2313-433X</t>
  </si>
  <si>
    <t xml:space="preserve">J IMAGING</t>
  </si>
  <si>
    <t xml:space="preserve">J. Imaging</t>
  </si>
  <si>
    <t xml:space="preserve">10.3390/jimaging8040104</t>
  </si>
  <si>
    <t xml:space="preserve">Imaging Science &amp; Photographic Technology</t>
  </si>
  <si>
    <t xml:space="preserve">0R0YZ</t>
  </si>
  <si>
    <t xml:space="preserve">WOS:000785333300001</t>
  </si>
  <si>
    <t xml:space="preserve">Barlo, A; Sigvant, M; Pérez, L; Islam, MS; Pilthammar, J</t>
  </si>
  <si>
    <t xml:space="preserve">Thuillier, S; Grolleau, V; Laurent, H</t>
  </si>
  <si>
    <t xml:space="preserve">Barlo, A.; Sigvant, M.; Perez, L.; Islam, M. S.; Pilthammar, J.</t>
  </si>
  <si>
    <t xml:space="preserve">A Study of the Boundary Conditions in the ISO-16630 Hole Expansion Test</t>
  </si>
  <si>
    <t xml:space="preserve">INTERNATIONAL DEEP-DRAWING RESEARCH GROUP CONFERENCE (IDDRG 2022)</t>
  </si>
  <si>
    <t xml:space="preserve">41st Annual Conference of the International-Deep-Drawing-Research-Group (IDDRG)</t>
  </si>
  <si>
    <t xml:space="preserve">JUN 06-10, 2022</t>
  </si>
  <si>
    <t xml:space="preserve">Lorient, FRANCE</t>
  </si>
  <si>
    <t xml:space="preserve">Int Deep Drawing Res Grp,Univ Bretagne Sud,ArcelorMittal France,AutoForm,Acad Militaire,Assoc Francaise Mecanique,Inst Natl Sci Appliquees,Univ Bretagne Sud,Inst Rech Dupuy Lome</t>
  </si>
  <si>
    <t xml:space="preserve">As new and more advanced sheet metal materials are introduced to the market, more accurate techniques for determination of failure limits are needed. One area that needs attention is edge formability, where the ISO-16630 standardized Hole Expansion Test currently is used to express this through the Hole Expansion Ratio. Over the years, this standard has been criticized for producing a large scatter in repeated tests. This paper investigates a new setup for the Hole Expansion Test which introduces draw beads into the setup to ensure sufficient restraining of the specimen during the test in an effort to reduced the scatter. In total 62 tests of a DP800 steel alloy were executed, but a large scatter in the results were still seen. It was therefore concluded that a lack of restraining force in the Hole Expansion Test was not the primary cause of the reported scatter seen in other tests.</t>
  </si>
  <si>
    <t xml:space="preserve">[Barlo, A.; Sigvant, M.; Islam, M. S.; Pilthammar, J.] Blekinge Inst Technol, Dept Mech Engn, Karlskrona, Sweden; [Sigvant, M.; Pilthammar, J.] Volvo Cars, Dept Strategy &amp; Concept 81110, Olofstrom, Sweden; [Perez, L.] RISE IVF AB, Component Mfg Unit, Olofstrom, Sweden</t>
  </si>
  <si>
    <t xml:space="preserve">Sigvant, Mats/JJG-2577-2023; Islam, Shafiqul/AAA-7809-2021; Perez Caro, Lluis/J-3217-2014</t>
  </si>
  <si>
    <t xml:space="preserve">Perez Caro, Lluis/0000-0002-1432-444X; Islam, Md Shafiqul/0000-0002-1162-7023; Barlo, Alexander/0000-0001-9889-6746</t>
  </si>
  <si>
    <t xml:space="preserve">Blekinge Institute of Technology - VINNOVA in the Sustainable Production sub-program within Vehicle Strategic Research and Innovation (FFI) program [2020-02986]; Vinnova [2020-02986] Funding Source: Vinnova</t>
  </si>
  <si>
    <t xml:space="preserve">Blekinge Institute of Technology - VINNOVA in the Sustainable Production sub-program within Vehicle Strategic Research and Innovation (FFI) program; Vinnova(Vinnova)</t>
  </si>
  <si>
    <t xml:space="preserve">Open Access funding was provided by Blekinge Institute of Technology. This study was also funded by VINNOVA in the Sustainable Production sub-program within Vehicle Strategic Research and Innovation (FFI) program (grant number 2020-02986).</t>
  </si>
  <si>
    <t xml:space="preserve">10.1088/1757-899X/1238/1/012031</t>
  </si>
  <si>
    <t xml:space="preserve">Electrochemistry; Engineering, Mechanical; Materials Science, Multidisciplinary; Metallurgy &amp; Metallurgical Engineering</t>
  </si>
  <si>
    <t xml:space="preserve">Electrochemistry; Engineering; Materials Science; Metallurgy &amp; Metallurgical Engineering</t>
  </si>
  <si>
    <t xml:space="preserve">BU3YH</t>
  </si>
  <si>
    <t xml:space="preserve">WOS:000894042400031</t>
  </si>
  <si>
    <t xml:space="preserve">Palm, BG; Javadi, S; Bayer, FM; Vu, VT; Pettersson, MI</t>
  </si>
  <si>
    <t xml:space="preserve">Palm, Bruna G.; Javadi, Saleh; Bayer, Fabio M.; Vu, Viet T.; Pettersson, Mats I.</t>
  </si>
  <si>
    <t xml:space="preserve">INFLATED RAYLEIGH DISTRIBUTION FOR SAR IMAGERY MODELING</t>
  </si>
  <si>
    <t xml:space="preserve">Maximum likelihood estimation; Null amplitude value; Rayleigh distribution; SAR images</t>
  </si>
  <si>
    <t xml:space="preserve">Synthetic aperture radars (SAR) data plays an important role in remote sensing applications. It is common knowledge that SAR image amplitude pixels can be approximately modeled by the Rayleigh distribution. However, this model is continuous and does not accommodate points with non-zero probability, such as a null pixel amplitude value. Thus, in this paper, we propose an inflated Rayleigh distribution for SAR image modeling that is based on a mixed continuous-discrete distribution and can be used to fit signals with observed values on [0, infinity). The maximum likelihood approach is considered to estimate the parameters of the proposed distribution. An empirical experiment with a SAR image is also presented and discussed.</t>
  </si>
  <si>
    <t xml:space="preserve">[Palm, Bruna G.; Javadi, Saleh; Vu, Viet T.; Pettersson, Mats I.] Blekinge Inst Technol, Dept Math &amp; Nat Sci, S-37179 Karlskrona, Sweden; [Bayer, Fabio M.] Univ Fed Santa Maria, Dept Estat, BR-97105900 Santa Maria, RS, Brazil; [Bayer, Fabio M.] LACESM, BR-97105900 Santa Maria, RS, Brazil</t>
  </si>
  <si>
    <t xml:space="preserve">Blekinge Institute Technology; Universidade Federal de Santa Maria (UFSM)</t>
  </si>
  <si>
    <t xml:space="preserve">Bayer, Fábio/G-4513-2012; Javadi, Saleh/JDW-1296-2023; Vu, Viet/JDW-0738-2023; G. Palm, Bruna/AAZ-4107-2021; Pettersson, Mats/N-1063-2016</t>
  </si>
  <si>
    <t xml:space="preserve">Conselho Nacional de Desenvolvimento Cientifico e Tecnologico (CNPq); Fundacao de Amparoa Pesquisa do Estado do Rio Grande do Sul (FAPERGS), Brazil</t>
  </si>
  <si>
    <t xml:space="preserve">Conselho Nacional de Desenvolvimento Cientifico e Tecnologico (CNPq)(Conselho Nacional de Desenvolvimento Cientifico e Tecnologico (CNPQ)); Fundacao de Amparoa Pesquisa do Estado do Rio Grande do Sul (FAPERGS), Brazil(Fundacao de Amparo a Ciencia e Tecnologia do Estado do Rio Grande do Sul (FAPERGS))</t>
  </si>
  <si>
    <t xml:space="preserve">This work was supported in part by Conselho Nacional de Desenvolvimento Cientifico e Tecnologico (CNPq) and Fundacao de Amparoa Pesquisa do Estado do Rio Grande do Sul (FAPERGS), Brazil</t>
  </si>
  <si>
    <t xml:space="preserve">10.1109/IGARSS46834.2022.9883264</t>
  </si>
  <si>
    <t xml:space="preserve">WOS:000920916600012</t>
  </si>
  <si>
    <t xml:space="preserve">Sun, B; Ma, LY; Shen, T; Geng, RK; Zhou, Y; Tian, Y</t>
  </si>
  <si>
    <t xml:space="preserve">Sun, Bin; Ma, Liyao; Shen, Tao; Geng, Renkang; Zhou, Yuan; Tian, Ye</t>
  </si>
  <si>
    <t xml:space="preserve">A Robust Data-Driven Method for Multiseasonality and Heteroscedasticity in Time Series Preprocessing</t>
  </si>
  <si>
    <t xml:space="preserve">WIRELESS COMMUNICATIONS &amp; MOBILE COMPUTING</t>
  </si>
  <si>
    <t xml:space="preserve">HETEROGENEITY</t>
  </si>
  <si>
    <t xml:space="preserve">Internet of Things (IoT) is emerging, and 5G enables much more data transport from mobile and wireless sources. The data to be transmitted is too much compared to link capacity. Labelling data and transmit only useful part of the collected data or their features is a promising solution for this challenge. Abnormal data are valuable due to the need to train models and to detect anomalies when being compared to already overflowing normal data. Labelling can be done in data sources or edges to balance the load and computing between sources, edges, and centres. However, unsupervised labelling method is still a challenge preventing to implement the above solutions. Two main problems in unsupervised labelling are long-term dynamic multiseasonality and heteroscedasticity. This paper proposes a data-driven method to handle modelling and heteroscedasticity problems. The method contains the following main steps. First, raw data are preprocessed and grouped. Second, main models are built for each group. Third, models are adapted back to the original measured data to get raw residuals. Fourth, raw residuals go through deheteroscedasticity and become normalized residuals. Finally, normalized residuals are used to conduct anomaly detection. The experimental results with real-world data show that our method successfully increases receiver-operating characteristic (AUC) by about 30%.</t>
  </si>
  <si>
    <t xml:space="preserve">[Sun, Bin; Ma, Liyao; Shen, Tao; Geng, Renkang] Univ Jinan, Sch Elect Engn, Jinan 250022, Peoples R China; [Zhou, Yuan] Blekinge Inst Technol, S-37179 Karlskrona, Sweden; [Tian, Ye] China Informat Commun Technol Grp Corp CICT, Wuhan 430074, Peoples R China</t>
  </si>
  <si>
    <t xml:space="preserve">Ma, LY; Shen, T (corresponding author), Univ Jinan, Sch Elect Engn, Jinan 250022, Peoples R China.</t>
  </si>
  <si>
    <t xml:space="preserve">cse_maly@ujn.edu.cn; cse_st@ujn.edu.cn</t>
  </si>
  <si>
    <t xml:space="preserve">Zhou, Yuan/0000-0001-9364-5171</t>
  </si>
  <si>
    <t xml:space="preserve">Shandong Natural Science Foundation [ZR2020MF067]; Shandong Key Research and Development Program [2019JZZY021005]</t>
  </si>
  <si>
    <t xml:space="preserve">Shandong Natural Science Foundation(Natural Science Foundation of Shandong Province); Shandong Key Research and Development Program</t>
  </si>
  <si>
    <t xml:space="preserve">We would like to thank the reviewers for their detailed suggestions that have indeed made great contribution to this work. This work is supported by the Shandong Natural Science Foundation under ZR2020MF067 and Shandong Key Research and Development Program under 2019JZZY021005.</t>
  </si>
  <si>
    <t xml:space="preserve">WILEY-HINDAWI</t>
  </si>
  <si>
    <t xml:space="preserve">ADAM HOUSE, 3RD FL, 1 FITZROY SQ, LONDON, WIT 5HE, ENGLAND</t>
  </si>
  <si>
    <t xml:space="preserve">1530-8669</t>
  </si>
  <si>
    <t xml:space="preserve">1530-8677</t>
  </si>
  <si>
    <t xml:space="preserve">WIREL COMMUN MOB COM</t>
  </si>
  <si>
    <t xml:space="preserve">Wirel. Commun. Mob. Comput.</t>
  </si>
  <si>
    <t xml:space="preserve">AUG 16</t>
  </si>
  <si>
    <t xml:space="preserve">10.1155/2021/6692390</t>
  </si>
  <si>
    <t xml:space="preserve">UJ2JU</t>
  </si>
  <si>
    <t xml:space="preserve">WOS:000691119100005</t>
  </si>
  <si>
    <t xml:space="preserve">Meyer, C; Gerlitz, L; Henesey, L</t>
  </si>
  <si>
    <t xml:space="preserve">Meyer, Christopher; Gerlitz, Laima; Henesey, Lawrence</t>
  </si>
  <si>
    <t xml:space="preserve">Cross-Border Capacity-Building for Port Ecosystems in Small and Medium-Sized Baltic Ports</t>
  </si>
  <si>
    <t xml:space="preserve">TALTECH JOURNAL OF EUROPEAN STUDIES</t>
  </si>
  <si>
    <t xml:space="preserve">blockchain; capacity building; digital transformation; digitalisation; small ports; the Baltic Sea; training</t>
  </si>
  <si>
    <t xml:space="preserve">SMART; TECHNOLOGIES; KNOWLEDGE; FRAMEWORK; MARITIME; REGIONS</t>
  </si>
  <si>
    <t xml:space="preserve">One of the key challenges related to the threat posed by the COVID-19 pandemic is preservation of employment and protecting staff who are working in port operations and struggling to keep ports operating for ship calls. These activities performed by port labour are deemed to be crucial for the EU and European ports, since 75% of the EU external trade and 30% of intra-EU transport goods are moved by waterborne transport. As a response to the global lockdown and the vulnerability of global supply chains, the majority of international organisations and maritime ports networks have shortlisted measures necessary to keep the severe effects of the lockdown to a minimum. One of the key measures identified is how to limit physical interaction. As an effect, millions of people and organisations across the globe have had to use and/ or increase their deployment of digital technologies, such as digital documentation, tracing information systems and digital groupworking platforms. Hence, blockchain and data-enabling systems have become to be recognised as a core element maintaining the uninterrupted flow of goods and services at ports. In pursuing uninterrupted trade and keeping ports open and running, this research paper addresses how the current situation afflicts the small and medium-sized ports located on the Baltic Sea which are argued to be critical actors of the port-centric logistics' ecosystem. Given the topicality of this research and addressing the research gap, the authors suggest a conceptual capacity-building framework for port employees. This suggested framework is based on empirical insights: primary and secondary data collected from the project Connect2SmallPorts, part-financed by the Interreg South Baltic Programme 2014-2020 from the European Regional Development Fund (ERDF). The conceptual framework aims towards a practical training programme dedicated to fill in the missing skills or expand the limited competence of human resources and ports' capacity when adapting or advancing digitalisation in the ports' ecosystems. In particular, specific areas of capacity building are addressed and individual solutions suggested to foster a digital transformation of ports. The conceptual training framework is designed as a training tool indicating opportunities to help ports upgrade their competences with the blockchain technology, and to advance their transportation, environmental and economic performance with improved digitalisation. For this purpose, the conducted research employed mixed methods and applied concepts and approaches based on the field of management. For example, the construct of absorptive capacity, organisational learning, transformation, resource-based view and the concept of dynamic capabilities are included in the ecosystem discourse and are linked with open innovation and service design. The research presented in this article provides both theoretical and practical contributions, in which the affected stakeholders can test and utilise the developed tool as well as transfer it to other regions.</t>
  </si>
  <si>
    <t xml:space="preserve">[Meyer, Christopher; Gerlitz, Laima] Univ Appl Sci Technol Business &amp; Design, Hsch Wismar, Philipp Muller Str 14, D-23966 Wismar, Germany; [Meyer, Christopher] Tallinn Univ Technol, Ehitajate Tee 5, EE-19086 Tallinn, Estonia; [Henesey, Lawrence] Blekinge Inst Technol, Biblioteksgatan 4, SE-37424 Karlshamn, Sweden</t>
  </si>
  <si>
    <t xml:space="preserve">Tallinn University of Technology; Blekinge Institute Technology</t>
  </si>
  <si>
    <t xml:space="preserve">Meyer, C (corresponding author), Univ Appl Sci Technol Business &amp; Design, Hsch Wismar, Philipp Muller Str 14, D-23966 Wismar, Germany.</t>
  </si>
  <si>
    <t xml:space="preserve">christopher.meyer@hs-wismar.de; laima.gerlitz@hs-wismar.de; lhe@bth.se</t>
  </si>
  <si>
    <t xml:space="preserve">Meyer, Christopher/JMB-9615-2023; Gerlitz, Laima/ABD-6100-2020</t>
  </si>
  <si>
    <t xml:space="preserve">Meyer, Christopher/0000-0002-6048-1198</t>
  </si>
  <si>
    <t xml:space="preserve">2674-4600</t>
  </si>
  <si>
    <t xml:space="preserve">2674-4619</t>
  </si>
  <si>
    <t xml:space="preserve">TALTECH J EUR STUD</t>
  </si>
  <si>
    <t xml:space="preserve">TalTech J. Eur. Stud.</t>
  </si>
  <si>
    <t xml:space="preserve">10.2478/bjes-2021-0008</t>
  </si>
  <si>
    <t xml:space="preserve">Law; Political Science</t>
  </si>
  <si>
    <t xml:space="preserve">Government &amp; Law</t>
  </si>
  <si>
    <t xml:space="preserve">6G1XJ</t>
  </si>
  <si>
    <t xml:space="preserve">WOS:000884551800008</t>
  </si>
  <si>
    <t xml:space="preserve">Anderberg, P; Skär, L; Abrahamsson, L; Berglund, JS</t>
  </si>
  <si>
    <t xml:space="preserve">Anderberg, Peter; Skar, Lisa; Abrahamsson, Linda; Berglund, Johan Sanmartin</t>
  </si>
  <si>
    <t xml:space="preserve">Older People's Use and Nonuse of the Internet in Sweden</t>
  </si>
  <si>
    <t xml:space="preserve">gerontechnology; aging; internet; usage</t>
  </si>
  <si>
    <t xml:space="preserve">The use of the internet has considerably increased over recent years, and the importance of internet use has also grown as services have gone online. Sweden is largely an information society like other countries with high reported use amongst European countries. In line with digitalization development, society is also changing, and many activities and services today take place on the internet. This development could potentially lead to those older persons who do not use the internet or do not follow the development of services on the internet finding it difficult to take part in information and activities that no longer occur in the physical world. This has led to a digital divide between groups, where the older generations (60+), in particular, have been affected. In a large study of Sweden's adult population in 2019, 95 percent of the overall population was said to be internet users, and the corresponding number for users over 66 years of age was 84%. This study shows that the numbers reported about older peoples' internet use, most likely, are vastly overestimated and that real use is significantly lower, especially among the oldest age groups. We report that 62.4% of the study subjects are internet users and that this number most likely also is an overestimation. When looking at nonresponders to the questionnaire, we find that they display characteristics generally attributed to non-use, such as lower education, lower household economy, and lower cognitive functioning.</t>
  </si>
  <si>
    <t xml:space="preserve">[Anderberg, Peter; Skar, Lisa; Abrahamsson, Linda; Berglund, Johan Sanmartin] Blekinge Inst Technol, Dept Hlth, SE-37179 Karlskrona, Sweden; [Anderberg, Peter] Univ Skovde, Sch Hlth Sci, SE-54128 Skovde, Sweden</t>
  </si>
  <si>
    <t xml:space="preserve">Anderberg, P (corresponding author), Blekinge Inst Technol, Dept Hlth, SE-37179 Karlskrona, Sweden.;Anderberg, P (corresponding author), Univ Skovde, Sch Hlth Sci, SE-54128 Skovde, Sweden.</t>
  </si>
  <si>
    <t xml:space="preserve">peter.anderberg@bth.se; lisa.skar@bth.se; linda.abrahamsson@bth.se; johan.sanmartin.berglund@bth.se</t>
  </si>
  <si>
    <t xml:space="preserve">Abrahamsson, Linda/AAC-6359-2020; Sanmartin Berglund, Johan/HGB-0471-2022; Anderberg, Peter/B-5541-2012</t>
  </si>
  <si>
    <t xml:space="preserve">Anderberg, Peter/0000-0001-9870-8477; Abrahamsson, Linda/0000-0002-1372-5508; Skar, Lisa/0000-0002-5731-2799; Berglund, Johan/0000-0003-4312-2246</t>
  </si>
  <si>
    <t xml:space="preserve">10.3390/ijerph17239050</t>
  </si>
  <si>
    <t xml:space="preserve">PD8MJ</t>
  </si>
  <si>
    <t xml:space="preserve">WOS:000597931800001</t>
  </si>
  <si>
    <t xml:space="preserve">Cristvall, AJ; Larsson, M; Tell, J; Skär, L</t>
  </si>
  <si>
    <t xml:space="preserve">Johansson Cristvall, Angelika; Larsson, Margaretha; Tell, Johanna; Skar, Lisa</t>
  </si>
  <si>
    <t xml:space="preserve">School Health Services' Use of Information and Communication Technologies in Interorganizational Collaboration Regarding Students With Mental Illness: A Scoping Review</t>
  </si>
  <si>
    <t xml:space="preserve">JOURNAL OF SCHOOL NURSING</t>
  </si>
  <si>
    <t xml:space="preserve">adolescents; cooperation; digital technology; health information technology; mental health; school health; school nurse; system collaboration</t>
  </si>
  <si>
    <t xml:space="preserve">STRATEGIES; CHILDREN; CARE</t>
  </si>
  <si>
    <t xml:space="preserve">School health services (SHSs) and school nurses play a crucial role in identifying and supporting students with mental illness. The integration of information and communication technology (ICT) can facilitate interorganizational collaboration in this context. Due to the limited research in this area, a scoping review was conducted to explore SHSs' use of ICT in interorganization collaboration regarding students with mental illness. Six articles were reviewed, revealing three key themes: types of ICT employed by SHSs in interorganizational collaboration, constellation of SHSs in interorganizational collaboration, and opportunities and challenges for SHSs using ICT in interorganizational collaboration. Notably, two of the six articles highlighted the absence of school nurses in interorganizational collaboration. Even though ICT plays a crucial role in interorganizational collaboration, no comprehensive solution was found. This scoping review confirms that there are challenges with operability and regulations that govern the exchange of private information between organizations.</t>
  </si>
  <si>
    <t xml:space="preserve">[Johansson Cristvall, Angelika; Tell, Johanna] Inst Hlth, Blekinge Inst Technol BTH, S-37179 Karlskrona, Sweden; [Larsson, Margaretha] Univ Skovde HIS, Inst Hlth &amp; Learning, Skovde, Sweden; [Skar, Lisa] Kristianstad Univ HKR, Dean Fac Hlth Sci, Kristianstad, Sweden</t>
  </si>
  <si>
    <t xml:space="preserve">Cristvall, AJ (corresponding author), Inst Hlth, Blekinge Inst Technol BTH, S-37179 Karlskrona, Sweden.</t>
  </si>
  <si>
    <t xml:space="preserve">angelika.johansson.cristvall@bth.se</t>
  </si>
  <si>
    <t xml:space="preserve">; Larsson, Margaretha/K-5525-2013</t>
  </si>
  <si>
    <t xml:space="preserve">Tell, Johanna/0000-0002-1714-0785; Johansson Cristvall, Angelika/0000-0003-2577-3694; Larsson, Margaretha/0000-0001-7368-953X</t>
  </si>
  <si>
    <t xml:space="preserve">Norrtalje County Council</t>
  </si>
  <si>
    <t xml:space="preserve">The authors disclosed receipt of the following financial support for the research, authorship, and/or publication of this article: research grants for PhD studies (AJC) from Norrtalje County Council.</t>
  </si>
  <si>
    <t xml:space="preserve">1059-8405</t>
  </si>
  <si>
    <t xml:space="preserve">1546-8364</t>
  </si>
  <si>
    <t xml:space="preserve">J SCH NURS</t>
  </si>
  <si>
    <t xml:space="preserve">J. Sch. Nurs.</t>
  </si>
  <si>
    <t xml:space="preserve">10.1177/10598405241245029</t>
  </si>
  <si>
    <t xml:space="preserve">T1F2X</t>
  </si>
  <si>
    <t xml:space="preserve">WOS:001199578100001</t>
  </si>
  <si>
    <t xml:space="preserve">Minhas, NM; Irshad, M; Petersen, K; Börstler, J</t>
  </si>
  <si>
    <t xml:space="preserve">Minhas, Nasir Mehmood; Irshad, Mohsin; Petersen, Kai; Borstler, Jurgen</t>
  </si>
  <si>
    <t xml:space="preserve">Lessons learned from replicating a study on information-retrieval-based test case prioritization</t>
  </si>
  <si>
    <t xml:space="preserve">Replication; Regression testing; Technique; Test case prioritization; Information retrieval; SIR</t>
  </si>
  <si>
    <t xml:space="preserve">SELECTION; MUTATION; SERIES</t>
  </si>
  <si>
    <t xml:space="preserve">Replication studies help solidify and extend knowledge by evaluating previous studies' findings. Software engineering literature showed that too few replications are conducted focusing on software artifacts without the involvement of humans. This study aims to replicate an artifact-based study on software testing to address the gap related to replications. In this investigation, we focus on (i) providing a step-by-step guide of the replication, reflecting on challenges when replicating artifact-based testing research and (ii) evaluating the replicated study concerning the validity and robustness of the findings. We replicate a test case prioritization technique proposed by Kwon et al. We replicated the original study using six software programs, four from the original study and two additional software programs. We automated the steps of the original study using a Jupyter notebook to support future replications. Various general factors facilitating replications are identified, such as (1) the importance of documentation; (2) the need for assistance from the original authors; (3) issues in the maintenance of open-source repositories (e.g., concerning needed software dependencies, versioning); and (4) availability of scripts. We also noted observations specific to the study and its context, such as insights from using different mutation tools and strategies for mutant generation. We conclude that the study by Kwon et al. is partially replicable for small software programs and could be automated to facilitate software practitioners, given the availability of required information. However, it is hard to implement the technique for large software programs with the current guidelines. Based on lessons learned, we suggest that the authors of original studies need to publish their data and experimental setup to support the external replications.</t>
  </si>
  <si>
    <t xml:space="preserve">[Minhas, Nasir Mehmood; Petersen, Kai; Borstler, Jurgen] Blekinge Inst Technol, Karlskrona, Sweden; [Minhas, Nasir Mehmood] Maalrdalen Univ, Vasteras, Sweden; [Irshad, Mohsin] Ericsson Sweden AB, Karlskrona, Sweden; [Petersen, Kai] Univ Appl Sci Flensburg, Flensburg, Germany</t>
  </si>
  <si>
    <t xml:space="preserve">Minhas, NM (corresponding author), Blekinge Inst Technol, Karlskrona, Sweden.;Minhas, NM (corresponding author), Maalrdalen Univ, Vasteras, Sweden.</t>
  </si>
  <si>
    <t xml:space="preserve">nasir.mehmood.minhas@bth.se; mohsin.irshad@ericsson.com; kai.petersen@bth.se; jurgen.borstler@bth.se</t>
  </si>
  <si>
    <t xml:space="preserve">Blekinge Institute of Technology; ELLIIT: the Swedish Strategic Research Area in IT and Mobile Communications</t>
  </si>
  <si>
    <t xml:space="preserve">Open access funding provided by Blekinge Institute of Technology. This work has in parts been supported by ELLIIT: the Swedish Strategic Research Area in IT and Mobile Communications.</t>
  </si>
  <si>
    <t xml:space="preserve">10.1007/s11219-023-09650-4</t>
  </si>
  <si>
    <t xml:space="preserve">GW7B8</t>
  </si>
  <si>
    <t xml:space="preserve">WOS:001084224100001</t>
  </si>
  <si>
    <t xml:space="preserve">Qammar, A; Naouri, A; Ding, JG; Ning, HS</t>
  </si>
  <si>
    <t xml:space="preserve">Qammar, Attia; Naouri, Abdenacer; Ding, Jianguo; Ning, Huansheng</t>
  </si>
  <si>
    <t xml:space="preserve">Blockchain-based optimized edge node selection and privacy preserved framework for federated learning</t>
  </si>
  <si>
    <t xml:space="preserve">CLUSTER COMPUTING-THE JOURNAL OF NETWORKS SOFTWARE TOOLS AND APPLICATIONS</t>
  </si>
  <si>
    <t xml:space="preserve">Federated learning; Blockchain; Smart contracts; Privacy; Security; Edge-node/device</t>
  </si>
  <si>
    <t xml:space="preserve">Federated learning is a distributed paradigm that trained large-scale neural network models with the participation of multiple edge nodes and data remains on their devices, only sharing the local model updates. With this feature, federated learning is considered a secure solution for data privacy issues. However, the typical FL structure relies on the client-server architecture, which leads to the single-point-of-failure (SPoF) attack, and the random selection of edge devices for model training compromised the accuracy of the model. Furthermore, adversaries try to initiate inference attack i.e., attack on privacy leads to gradient leakage attack. Hence, we proposed a blockchain-based optimized edge node selection and privacy-preserved framework to address the aforementioned issues. We have designed three kinds of smart contracts (1) registration of edge nodes (2) forward bidding to select optimized edge devices for FL model training, and (3) payment settlement and reward smart contracts. Moreover, fully homomorphic encryption with the Cheon, Kim, Kim, and Song (CKKS) method is implemented before transmitting the local model updates to the server. Finally, we evaluated our proposed method on the benchmark dataset and compared it with other state-of-the-art studies. Consequently, we have achieved a higher accuracy and privacy-preserved FL framework with a decentralized nature.</t>
  </si>
  <si>
    <t xml:space="preserve">[Qammar, Attia; Naouri, Abdenacer; Ning, Huansheng] Univ Sci &amp; Technol Beijing, Sch Comp &amp; Commun Engn, Beijing 100083, Peoples R China; [Ding, Jianguo] Blekinge Inst Technol, Dept Comp Sci, S-37179 Karlskrona, Sweden</t>
  </si>
  <si>
    <t xml:space="preserve">Ning, HS (corresponding author), Univ Sci &amp; Technol Beijing, Sch Comp &amp; Commun Engn, Beijing 100083, Peoples R China.</t>
  </si>
  <si>
    <t xml:space="preserve">q.attia@yahoo.com; nacer.naouri@gmail.com; jianguo.ding@bth.se; ninghuansheng@ustb.edu.cn</t>
  </si>
  <si>
    <t xml:space="preserve">1386-7857</t>
  </si>
  <si>
    <t xml:space="preserve">1573-7543</t>
  </si>
  <si>
    <t xml:space="preserve">CLUSTER COMPUT</t>
  </si>
  <si>
    <t xml:space="preserve">Cluster Comput.</t>
  </si>
  <si>
    <t xml:space="preserve">10.1007/s10586-023-04145-0</t>
  </si>
  <si>
    <t xml:space="preserve">SN8E0</t>
  </si>
  <si>
    <t xml:space="preserve">WOS:001196291000001</t>
  </si>
  <si>
    <t xml:space="preserve">Scurati, GW; Bertoni, M; Graziosi, S; Ferrise, F</t>
  </si>
  <si>
    <t xml:space="preserve">Scurati, Giulia Wally; Bertoni, Marco; Graziosi, Serena; Ferrise, Francesco</t>
  </si>
  <si>
    <t xml:space="preserve">Exploring the Use of Virtual Reality to Support Environmentally Sustainable Behavior: A Framework to Design Experiences</t>
  </si>
  <si>
    <t xml:space="preserve">sustainable behavior; virtual reality; design framework</t>
  </si>
  <si>
    <t xml:space="preserve">GREEN PRODUCT CONSUMPTION; CLIMATE-CHANGE; IMPACT; ENHANCE; PERCEPTIONS; STRATEGIES; MANAGEMENT; EDUCATION; SYSTEMS; ETHICS</t>
  </si>
  <si>
    <t xml:space="preserve">The current and future challenges of sustainable development require a massive transformation of habits and behaviors in the whole society at many levels. This demands a change of perspectives, priorities, and practices that can only result from the development of more aware, informed, and instructed communities and individuals. The field of design for sustainable behavior is answering this need through the development of products, systems, and services to support the change of people's habits and decision-making processes. In this regard, Virtual Reality (VR) is a promising tool: it has already been explored to drive sustainable behavior change in several situations, through a wide range of devices, technologies, and modalities. This variety provides uncountable opportunities to designers, but it comes with a series of ethical, psychological, and technical questions. Hence, VR developers should be able to distinguish and identify possible strategies, delivering suitable solutions for each case study. In this work, we present a framework for the development of VR experiences to support sustainable behavior change, based on a systematic review. We consider the various features to manage and possible alternatives when creating a VR experience, linking them to the behavioral aspects that can be addressed according to the project's aim. The framework will provide designers with a tool to explore and orient themselves towards possible sets of optimal choices generating tailored solutions.</t>
  </si>
  <si>
    <t xml:space="preserve">[Scurati, Giulia Wally; Graziosi, Serena; Ferrise, Francesco] Politecn Milan, Dept Mech Engn, I-20156 Milan, Italy; [Bertoni, Marco] Blekinge Inst Technol, Dept Mech Engn, SE-37179 Karlskrona, Sweden</t>
  </si>
  <si>
    <t xml:space="preserve">Polytechnic University of Milan; Blekinge Institute Technology</t>
  </si>
  <si>
    <t xml:space="preserve">Ferrise, F (corresponding author), Politecn Milan, Dept Mech Engn, I-20156 Milan, Italy.</t>
  </si>
  <si>
    <t xml:space="preserve">giuliawally.scurati@polimi.it; marco.bertoni@bth.se; serena.graziosi@polimi.it; francesco.ferrise@polimi.it</t>
  </si>
  <si>
    <t xml:space="preserve">Ferrise, Francesco/C-6502-2008; Bertoni, Marco/P-6226-2014</t>
  </si>
  <si>
    <t xml:space="preserve">Ferrise, Francesco/0000-0001-8951-8807; Scurati, Giulia Wally/0000-0002-0389-4279; Bertoni, Marco/0000-0002-5076-3300; Graziosi, Serena/0000-0002-6103-9107</t>
  </si>
  <si>
    <t xml:space="preserve">10.3390/su13020943</t>
  </si>
  <si>
    <t xml:space="preserve">PY0ZG</t>
  </si>
  <si>
    <t xml:space="preserve">WOS:000611777900001</t>
  </si>
  <si>
    <t xml:space="preserve">Voigt, GHM; Alves, DI; Müller, C; Machado, R; Vu, VT; Pettersson, MI</t>
  </si>
  <si>
    <t xml:space="preserve">Bruzzone, L; Bovolo, F; Benediktsson, JA</t>
  </si>
  <si>
    <t xml:space="preserve">Voigt, Gustavo H. M.; Alves, Dimas, I; Muller, Cristian; Machado, Renato; Vu, Viet T.; Pettersson, Mats, I</t>
  </si>
  <si>
    <t xml:space="preserve">Change Detection Method for Intensity VHF Wavelength-Resolution SAR Images</t>
  </si>
  <si>
    <t xml:space="preserve">IMAGE AND SIGNAL PROCESSING FOR REMOTE SENSING XXVII</t>
  </si>
  <si>
    <t xml:space="preserve">Conference on Image and Signal Processing for Remote Sensing XXVII</t>
  </si>
  <si>
    <t xml:space="preserve">SEP 13-17, 2021</t>
  </si>
  <si>
    <t xml:space="preserve">Change detection method; CARABAS II; Intensity images; VHF UWB SAR</t>
  </si>
  <si>
    <t xml:space="preserve">This paper presents the proposal of a new change detection method for intensity VHF wavelength-resolution images. High-amplitude pixels are related to the presence of strong scatterers, resulting in high detection probability performance. However, the number of false alarms tends to be high too. In this initial study, difference images are considered to reduce the influence of the strong scatterers that are not related to targets, i.e., present in both surveillance and reference images. The proposed change detection method is based on a likelihood-ratio test, where the tested hypothesis is the bivariate exponential distribution. The derivation of the proposed likelihood test is presented. Finally, the proposed change detection method is assessed considering data measured with the CARABAS II VHF UWB SAR system. Preliminary results show that the proposed method is efficient in detecting positive changes.</t>
  </si>
  <si>
    <t xml:space="preserve">[Voigt, Gustavo H. M.; Alves, Dimas, I; Muller, Cristian] Fed Univ Pampa UNIPAMPA, Alegrete, Brazil; [Machado, Renato] Aeronaut Inst Technol ITA, Sao Jose Dos Campos, Brazil; [Vu, Viet T.; Pettersson, Mats, I] Blekinge Inst Technol BTH, Karlskrona, Sweden</t>
  </si>
  <si>
    <t xml:space="preserve">Voigt, GHM (corresponding author), Fed Univ Pampa UNIPAMPA, Alegrete, Brazil.</t>
  </si>
  <si>
    <t xml:space="preserve">gustavovoigt.aluno@unipampa.edu.br; dimasalves@unipampa.edu.br; cristianmuller@unipampa.edu.br; rmachado@ita.br; viet.thuy.vu@bth.se; mats.pettersson@bth.se</t>
  </si>
  <si>
    <t xml:space="preserve">Irion Alves, Dimas/AAY-4651-2021; Vu, Viet/JDW-0738-2023; Machado, Renato/P-8515-2018; Pettersson, Mats/N-1063-2016</t>
  </si>
  <si>
    <t xml:space="preserve">Pettersson, Mats/0000-0002-6643-312X; Irion Alves, Dimas/0000-0002-5443-6446</t>
  </si>
  <si>
    <t xml:space="preserve">Brazilian Agency National Council for Scientific and Technological Development (CNPq); Saab AB; Brazilian Agency Coordination for the Improvement of Higher Education Personnel (CAPES) [001]</t>
  </si>
  <si>
    <t xml:space="preserve">Brazilian Agency National Council for Scientific and Technological Development (CNPq)(Conselho Nacional de Desenvolvimento Cientifico e Tecnologico (CNPQ)Fundacao de Apoio a Pesquisa do Distrito Federal (FAPDF)); Saab AB; Brazilian Agency Coordination for the Improvement of Higher Education Personnel (CAPES)(Coordenacao de Aperfeicoamento de Pessoal de Nivel Superior (CAPES))</t>
  </si>
  <si>
    <t xml:space="preserve">This work was supported in part by the Brazilian Agencies National Council for Scientific and Technological Development (CNPq), by Saab AB, and Coordination for the Improvement of Higher Education Personnel (CAPES) -Finance Code 001 (Pr ' o-Defesa IV).</t>
  </si>
  <si>
    <t xml:space="preserve">978-1-5106-4569-1; 978-1-5106-4568-4</t>
  </si>
  <si>
    <t xml:space="preserve">118620P</t>
  </si>
  <si>
    <t xml:space="preserve">10.1117/12.2599952</t>
  </si>
  <si>
    <t xml:space="preserve">Computer Science, Artificial Intelligence; Remote Sensing; Optics; Imaging Science &amp; Photographic Technology</t>
  </si>
  <si>
    <t xml:space="preserve">Computer Science; Remote Sensing; Optics; Imaging Science &amp; Photographic Technology</t>
  </si>
  <si>
    <t xml:space="preserve">BS7DU</t>
  </si>
  <si>
    <t xml:space="preserve">WOS:000759218100021</t>
  </si>
  <si>
    <t xml:space="preserve">Braunerhjelm, P; Ding, D; Thulin, P</t>
  </si>
  <si>
    <t xml:space="preserve">Braunerhjelm, Pontus; Ding, Ding; Thulin, Per</t>
  </si>
  <si>
    <t xml:space="preserve">Labour market mobility, knowledge diffusion and innovation</t>
  </si>
  <si>
    <t xml:space="preserve">EUROPEAN ECONOMIC REVIEW</t>
  </si>
  <si>
    <t xml:space="preserve">Labour mobility; Knowledge diffusion; Innovation; Social networks</t>
  </si>
  <si>
    <t xml:space="preserve">PATENT CITATIONS; JOB MOBILITY; SPILLOVERS; GEOGRAPHY; NETWORKS; FIRMS; PRODUCTIVITY; SCIENTISTS; EMPLOYMENT; CONTRACTS</t>
  </si>
  <si>
    <t xml:space="preserve">Utilising a unique Swedish matched employer-employee dataset, which has been pooled with firm-level patent application data, we provide new evidence that knowledge workers mobility has a positive and strongly significant impact on firm innovation output, as measured by firm patent applications. The effect is statistically and economically highly significant for knowledge workers who have previously worked in a patenting firm (the learning-by-hiring effect), whereas only limited impact could be detected for firms losing knowledge workers (the learning-by-diaspora effect). No effects were detected for inexperienced university graduates. Finally, the effect is more pronounced when the joining worker originates from within the same region. (C) 2020 Elsevier B.V. All rights reserved.</t>
  </si>
  <si>
    <t xml:space="preserve">[Braunerhjelm, Pontus; Ding, Ding; Thulin, Per] KTH Royal Inst Technol, Lindstedtsvagen 30, SE-10044 Stockholm, Sweden; [Braunerhjelm, Pontus; Thulin, Per] Swedish Entrepreneurship Forum, Grevgatan 34, SE-11453 Stockholm, Sweden; [Braunerhjelm, Pontus] Blekinge Inst Technol, SE-37179 Karlskrona, Sweden</t>
  </si>
  <si>
    <t xml:space="preserve">Thulin, P (corresponding author), KTH Royal Inst Technol, Lindstedtsvagen 30, SE-10044 Stockholm, Sweden.</t>
  </si>
  <si>
    <t xml:space="preserve">per.thulin@indek.kth.se</t>
  </si>
  <si>
    <t xml:space="preserve">Thulin, Per/0000-0001-8377-1633</t>
  </si>
  <si>
    <t xml:space="preserve">Marianne and Marcus Wallenberg's Foundation</t>
  </si>
  <si>
    <t xml:space="preserve">This work was supported by the Marianne and Marcus Wallenberg's Foundation.</t>
  </si>
  <si>
    <t xml:space="preserve">0014-2921</t>
  </si>
  <si>
    <t xml:space="preserve">1873-572X</t>
  </si>
  <si>
    <t xml:space="preserve">EUR ECON REV</t>
  </si>
  <si>
    <t xml:space="preserve">Eur. Econ. Rev.</t>
  </si>
  <si>
    <t xml:space="preserve">10.1016/j.euroecorev.2020.103386</t>
  </si>
  <si>
    <t xml:space="preserve">LC5XD</t>
  </si>
  <si>
    <t xml:space="preserve">WOS:000525404000010</t>
  </si>
  <si>
    <t xml:space="preserve">Cury, O; Avelino, G; Neto, PS; Britto, R; Valente, MT</t>
  </si>
  <si>
    <t xml:space="preserve">Cury, Otavio; Avelino, Guilherme; Neto, Pedro Santos; Britto, Ricardo; Valente, Marco Tulio</t>
  </si>
  <si>
    <t xml:space="preserve">Identifying Source Code File Experts</t>
  </si>
  <si>
    <t xml:space="preserve">software maintenance; software evolution; mining software repository; source-code expertise; machine learning</t>
  </si>
  <si>
    <t xml:space="preserve">INFORMATION</t>
  </si>
  <si>
    <t xml:space="preserve">Background: In software development, the identification of source code file experts is an important task. Identifying these experts helps to improve software maintenance and evolution activities, such as developing new features, code reviews, and bug fixes. Although some studies have proposed repository-mining techniques to automatically identify source code experts, there are still gaps in this area that can be explored. For example, investigating new variables related to source code knowledge and applying machine learning aiming to improve the performance of techniques to identify source code experts. Aim: The goal of this study is to investigate opportunities to improve the performance of existing techniques to recommend source code files experts. Method: We built an oracle by collecting data from the development history and surveying developers of 113 software projects. Then, we use this oracle to: (i) analyze the correlation between measures extracted from the development history and the developers' source code knowledge and (ii) investigate the use of machine learning classifiers by evaluating their performance in identifying source code files experts. Results: First Authorship and Recency of Modification are the variables with the highest positive and negative correlations with source code knowledge, respectively. Machine learning classifiers outperformed the linear techniques (F-Measure = 71% to 73%) in the public dataset, but this advantage is not clear in the private dataset, with F-Measure ranging from 55% to 68% for the linear techniques and 58% to 67% for ML techniques. Conclusion: Overall, the linear techniques and the machine learning classifiers achieved similar performance, particularly if we analyze F-Measure. However, machine learning classifiers usually get higher precision while linear techniques obtained the highest recall values. Therefore, the choice of the best technique depends on the user's tolerance to false positives and false negatives.</t>
  </si>
  <si>
    <t xml:space="preserve">[Cury, Otavio; Avelino, Guilherme; Neto, Pedro Santos] Univ Fed Piaui, Teresina, Brazil; [Britto, Ricardo] Blekinge Inst Technol, Karlskrona, Sweden; [Valente, Marco Tulio] Univ Fed Minas Gerais, Belo Horizonte, MG, Brazil</t>
  </si>
  <si>
    <t xml:space="preserve">Universidade Federal do Piaui; Blekinge Institute Technology; Universidade Federal de Minas Gerais</t>
  </si>
  <si>
    <t xml:space="preserve">Cury, O (corresponding author), Univ Fed Piaui, Teresina, Brazil.</t>
  </si>
  <si>
    <t xml:space="preserve">otaviocury@ufpi.edu.br; gaa@ufpi.edu.br; pasn@ufpi.edu.br; rbr@bth.se; mtov@dcc.ufmg.br</t>
  </si>
  <si>
    <t xml:space="preserve">Avelino, Guilherme/AFD-1402-2022; Cury, Otavio/LFU-9913-2024; UFPI, pasn pasn/JXY-0805-2024</t>
  </si>
  <si>
    <t xml:space="preserve">Cury, Otavio/0000-0001-6972-2982; Valente, Marco Tulio/0000-0002-8180-7548</t>
  </si>
  <si>
    <t xml:space="preserve">CAPES; CNPq; FAPEMIG; UFPI</t>
  </si>
  <si>
    <t xml:space="preserve">CAPES(Coordenacao de Aperfeicoamento de Pessoal de Nivel Superior (CAPES)); CNPq(Conselho Nacional de Desenvolvimento Cientifico e Tecnologico (CNPQ)); FAPEMIG(Fundacao de Amparo a Pesquisa do Estado de Minas Gerais (FAPEMIG)); UFPI</t>
  </si>
  <si>
    <t xml:space="preserve">We would like to thank the 501 developers (Ericsson and Open Source projects) who took their time to answer the survey and provided essential information to our investigation. Additionally, we also thank CAPES, CNPq, FAPEMIG, and UFPI for supporting this work.</t>
  </si>
  <si>
    <t xml:space="preserve">10.1145/3544902.3546243</t>
  </si>
  <si>
    <t xml:space="preserve">WOS:001139214400012</t>
  </si>
  <si>
    <t xml:space="preserve">Fagerlin, WP; Lövstål, E</t>
  </si>
  <si>
    <t xml:space="preserve">Pan Fagerlin, Wen; Lovstal, Eva</t>
  </si>
  <si>
    <t xml:space="preserve">Top managers' formal and informal control practices in product innovation processes</t>
  </si>
  <si>
    <t xml:space="preserve">QUALITATIVE RESEARCH IN ACCOUNTING AND MANAGEMENT</t>
  </si>
  <si>
    <t xml:space="preserve">Management control; Use of control; Formal control; Informal control; Top manager involvement; Innovation process</t>
  </si>
  <si>
    <t xml:space="preserve">CONTROL-SYSTEMS DESIGN; ORGANIZATIONAL PERFORMANCE; DEVELOPMENT-PROJECTS; CONTROL COMBINATIONS; SIMONS LEVERS; STRATEGY; EVOLUTION; CONTEXT; FLEXIBILITY; DIVERSITY</t>
  </si>
  <si>
    <t xml:space="preserve">Purpose This study aims to understand the formal and informal practices of top managers as they seek to control product innovation processes and how the style of control used differs during development stages and gates. Design/methodology/approach A qualitative in-depth case study was conducted at a multinational corporation (pseudonym: MEC). The authors examined 12 product innovation projects and carried out semi-structured interviews to understand the experiences, perceptions and challenges of the people involved in product development projects with a focus on the interactions between top managers and the project teams. Findings The authors found that MEC uses formal control mechanisms such as a stage-gate model and a project management and reporting system to keep track of the progress of innovation projects. In addition, top managers use informal controls through involvement in innovation activities and interaction with the team members during the stages and gates of the development process. To carry out their control practices top managers use four distinct styles of control as follows: participative, facilitative, empowering and authoritative. Practical implications Suggestions are provided for managers on how formal and informal management control tools can be used in innovation processes. The authors show how top managers can broaden their range of interventions by involving themselves in product innovation projects in different ways. Originality/value This paper shows how the combination of formal and informal controls can generate a more holistic view of management control in innovation. It also adds to previous conceptualizations of control use by suggesting four distinct styles, which top managers can use to involve themselves in product innovation processes.</t>
  </si>
  <si>
    <t xml:space="preserve">[Pan Fagerlin, Wen; Lovstal, Eva] Blekinge Inst Technol, Dept Ind Econ, Karlskrona, Sweden; [Pan Fagerlin, Wen] Hitotsubashi Univ, Management Innovat Ctr, Tokyo, Japan; [Lovstal, Eva] Kristianstad Univ, Fac Business, Kristianstad, Sweden</t>
  </si>
  <si>
    <t xml:space="preserve">Blekinge Institute Technology; Hitotsubashi University; Kristianstad University</t>
  </si>
  <si>
    <t xml:space="preserve">Lövstål, E (corresponding author), Blekinge Inst Technol, Dept Ind Econ, Karlskrona, Sweden.;Lövstål, E (corresponding author), Kristianstad Univ, Fac Business, Kristianstad, Sweden.</t>
  </si>
  <si>
    <t xml:space="preserve">wen.pan.fagerlin@bth.se; eva.lovstal@bth.se</t>
  </si>
  <si>
    <t xml:space="preserve">Pan Fagerlin, Wen/0000-0002-4325-2684</t>
  </si>
  <si>
    <t xml:space="preserve">research environment GRIP (Governance, Regulation, Internationalization and Performance) at Kristianstad University</t>
  </si>
  <si>
    <t xml:space="preserve">The authors would like to acknowledge the support received from the research environment GRIP (Governance, Regulation, Internationalization and Performance) at Kristianstad University and the valuable comments provided by the members of GRIP.</t>
  </si>
  <si>
    <t xml:space="preserve">1176-6093</t>
  </si>
  <si>
    <t xml:space="preserve">1758-7654</t>
  </si>
  <si>
    <t xml:space="preserve">QUAL RES ACCOUNT MAN</t>
  </si>
  <si>
    <t xml:space="preserve">Qual. Res. Account. Manag.</t>
  </si>
  <si>
    <t xml:space="preserve">OCT 17</t>
  </si>
  <si>
    <t xml:space="preserve">10.1108/QRAM-02-2019-0042</t>
  </si>
  <si>
    <t xml:space="preserve">Business, Finance; Management</t>
  </si>
  <si>
    <t xml:space="preserve">OG9RC</t>
  </si>
  <si>
    <t xml:space="preserve">WOS:000558247400001</t>
  </si>
  <si>
    <t xml:space="preserve">Usman, M; Felderer, M; Unterkalmsteiner, M; Klotins, E; Mendez, D; Alégroth, E</t>
  </si>
  <si>
    <t xml:space="preserve">Morisio, M; Torchiano, M; Jedlitschka, A</t>
  </si>
  <si>
    <t xml:space="preserve">Usman, Muhammad; Felderer, Michael; Unterkalmsteiner, Michael; Klotins, Eriks; Mendez, Daniel; Alegroth, Emil</t>
  </si>
  <si>
    <t xml:space="preserve">Compliance Requirements in Large-Scale Software Development: An Industrial Case Study</t>
  </si>
  <si>
    <t xml:space="preserve">PRODUCT-FOCUSED SOFTWARE PROCESS IMPROVEMENT (PROFES 2020)</t>
  </si>
  <si>
    <t xml:space="preserve">21st International Conference on Product-Focused Software Process Improvement (PROFES)</t>
  </si>
  <si>
    <t xml:space="preserve">NOV 25-27, 2020</t>
  </si>
  <si>
    <t xml:space="preserve">Regulatory compliance; Empirical study</t>
  </si>
  <si>
    <t xml:space="preserve">REGULATORY COMPLIANCE; EXPERIENCE; MODEL</t>
  </si>
  <si>
    <t xml:space="preserve">Regulatory compliance is a well-studied area, including research on how to model, check, analyse, enact, and verify compliance of software. However, while the theoretical body of knowledge is vast, empirical evidence on challenges with regulatory compliance, as faced by industrial practitioners particularly in the Software Engineering domain, is still lacking. In this paper, we report on an industrial case study which aims at providing insights into common practices and challenges with checking and analysing regulatory compliance, and we discuss our insights in direct relation to the state of reported evidence. Our study is performed at Ericsson AB, a large telecommunications company, which must comply to both locally and internationally governing regulatory entities and standards such as GDPR. The main contributions of this work are empirical evidence on challenges experienced by Ericsson that complement the existing body of knowledge on regulatory compliance.</t>
  </si>
  <si>
    <t xml:space="preserve">[Usman, Muhammad; Felderer, Michael; Unterkalmsteiner, Michael; Klotins, Eriks; Mendez, Daniel; Alegroth, Emil] Blekinge Inst Technol, Karlskrona, Sweden; [Felderer, Michael] Univ Innsbruck, Innsbruck, Austria; [Mendez, Daniel] fortiss GmbH, Munich, Germany</t>
  </si>
  <si>
    <t xml:space="preserve">Blekinge Institute Technology; University of Innsbruck; fortiss</t>
  </si>
  <si>
    <t xml:space="preserve">Muhammad.Usman@bth.se; Michael.Felderer@bth.se; Michael.Unterkalmsteiner@bth.se; Eriks.Klotins@bth.se; Daniel.Mendez@bth.se; Emil.Alegroth@bth.se</t>
  </si>
  <si>
    <t xml:space="preserve">Felderer, Michael/AAF-4909-2020; Mendez, Daniel/ABA-4579-2021</t>
  </si>
  <si>
    <t xml:space="preserve">Knowledge Foundation through the project SERT Software Engineering ReThought at Blekinge Institute of Technology, Sweden; Knowledge Foundation through the project OSIR at Blekinge Institute of Technology, Sweden [20190081]</t>
  </si>
  <si>
    <t xml:space="preserve">Knowledge Foundation through the project SERT Software Engineering ReThought at Blekinge Institute of Technology, Sweden; Knowledge Foundation through the project OSIR at Blekinge Institute of Technology, Sweden</t>
  </si>
  <si>
    <t xml:space="preserve">We would like to acknowledge that this work was supported by the Knowledge Foundation through the projects SERT Software Engineering ReThought and OSIR (reference number 20190081) at Blekinge Institute of Technology, Sweden.</t>
  </si>
  <si>
    <t xml:space="preserve">978-3-030-64148-1; 978-3-030-64147-4</t>
  </si>
  <si>
    <t xml:space="preserve">10.1007/978-3-030-64148-1_24</t>
  </si>
  <si>
    <t xml:space="preserve">BS7RZ</t>
  </si>
  <si>
    <t xml:space="preserve">WOS:000766320200024</t>
  </si>
  <si>
    <t xml:space="preserve">Foorginejad, A; Khatibi, S; Torshizi, H; Emam, SM; Afshari, H</t>
  </si>
  <si>
    <t xml:space="preserve">Foorginejad, Abolfazl; Khatibi, Siamak; Torshizi, Hojjat; Emam, Sayyed Mohammad; Afshari, Hossein</t>
  </si>
  <si>
    <t xml:space="preserve">Enhancement of Additive Manufacturing Processes for Thin-Walled Part Production Using Gas Metal Arc Welding (GMAW) with Wavelet Transform</t>
  </si>
  <si>
    <t xml:space="preserve">Wire Arc Additive Manufacturing (WAAM); thin-walled parts; image processing; gas metal arc welding (GMAW)</t>
  </si>
  <si>
    <t xml:space="preserve">DEPOSITION; ADVANTAGES; WIRE</t>
  </si>
  <si>
    <t xml:space="preserve">Additive manufacturing encompasses technologies that produce three-dimensional computer-aided design (CAD) models through a layer-by-layer production process. Compared to traditional manufacturing methods, additive manufacturing technologies offer significant advantages in producing intricate components with minimal energy consumption, reduced raw material waste, and shortened production timelines. AM methods based on shielded gas welding have recently piqued the interest of researchers due to their high efficiency and cost-effectiveness in manufacturing critical components. However, one of the most formidable challenges in additive manufacturing methods based on shielded gas welding lies in the irregularity of weld bead height at different points, compromising the precision of components produced using these techniques. In this current research, we aimed to achieve uniform weld heights along the welding path by considering the most influential parameters on weld bead geometry and conducting experimental tests. Input parameters of the process, including nozzle angle, welding speed, wire speed, and voltage, were considered. Simultaneously, image processing and wavelet transform were employed to assess the uniformity of weld bead height. These parameters were applied to produce intricate parts after identifying optimal parameters that yielded the smoothest weld lines. According to the results, the appropriate bead for manufacturing the part was extracted. The results show that the smoothest bead line is achieved in 27 V as the highest level of voltage, at a 90 degrees nozzle position and the maximum wire feed rate. Parts manufactured using this method across different layers exhibited no distortions, and the repeatability of production substantiated the high reliability of this approach for component manufacturing.</t>
  </si>
  <si>
    <t xml:space="preserve">[Foorginejad, Abolfazl; Torshizi, Hojjat] Birjand Univ Technol, Dept Mech Engn, Birjand 9719866981, Iran; [Khatibi, Siamak] Blekinge Inst Technol, Dept Technol &amp; Aesthet, S-37179 Karlskrona, Sweden; [Emam, Sayyed Mohammad] Ardakan Univ, Dept Mech Engn, Ardakan 9549185518, Iran; [Afshari, Hossein] Univ Birjand, Dept Mech Engn, Birjand 9717434765, Iran</t>
  </si>
  <si>
    <t xml:space="preserve">Blekinge Institute Technology; University of Birjand</t>
  </si>
  <si>
    <t xml:space="preserve">Foorginejad, A (corresponding author), Birjand Univ Technol, Dept Mech Engn, Birjand 9719866981, Iran.</t>
  </si>
  <si>
    <t xml:space="preserve">foorginejad@birjandut.ac.ir</t>
  </si>
  <si>
    <t xml:space="preserve">Emam, Sayyed Mohammad/ABF-3414-2021; Khatibi, Siamak/AAC-8824-2021; Foorginejad, Abolfazl/IAM-2793-2023; afshari, hossein/X-7542-2019</t>
  </si>
  <si>
    <t xml:space="preserve">Afshari, Hossein/0000-0003-4981-2504; Emam, Sayyed Mohammad/0000-0002-8801-5017; Khatibi, Siamak/0000-0003-4327-117X; Foorginejad, Abolfazl/0000-0002-4257-9175</t>
  </si>
  <si>
    <t xml:space="preserve">10.3390/app14219909</t>
  </si>
  <si>
    <t xml:space="preserve">L5K2Z</t>
  </si>
  <si>
    <t xml:space="preserve">WOS:001351100500001</t>
  </si>
  <si>
    <t xml:space="preserve">Frattini, J; Montgomery, L; Fischbach, J; Mendez, D; Fucci, D; Unterkalmsteiner, M</t>
  </si>
  <si>
    <t xml:space="preserve">Frattini, Julian; Montgomery, Lloyd; Fischbach, Jannik; Mendez, Daniel; Fucci, Davide; Unterkalmsteiner, Michael</t>
  </si>
  <si>
    <t xml:space="preserve">Requirements quality research: a harmonized theory, evaluation, and roadmap</t>
  </si>
  <si>
    <t xml:space="preserve">Requirements quality; Theory; Survey</t>
  </si>
  <si>
    <t xml:space="preserve">MODEL; CONTEXT</t>
  </si>
  <si>
    <t xml:space="preserve">High-quality requirements minimize the risk of propagating defects to later stages of the software development life cycle. Achieving a sufficient level of quality is a major goal of requirements engineering. This requires a clear definition and understanding of requirements quality. Though recent publications make an effort at disentangling the complex concept of quality, the requirements quality research community lacks identity and clear structure which guides advances and puts new findings into an holistic perspective. In this research commentary, we contribute (1) a harmonized requirements quality theory organizing its core concepts, (2) an evaluation of the current state of requirements quality research, and (3) a research roadmap to guide advancements in the field. We show that requirements quality research focuses on normative rules and mostly fails to connect requirements quality to its impact on subsequent software development activities, impeding the relevance of the research. Adherence to the proposed requirements quality theory and following the outlined roadmap will be a step toward amending this gap.</t>
  </si>
  <si>
    <t xml:space="preserve">[Frattini, Julian; Mendez, Daniel; Fucci, Davide; Unterkalmsteiner, Michael] Blekinge Inst Technol, Valhallavagen 1, S-37140 Karlskrona, Sweden; [Montgomery, Lloyd] Univ Hamburg, Mittelweg 177, D-20148 Hamburg, Germany; [Fischbach, Jannik] Netlight Consulting GmbH, Sternstr 5, D-80538 Munich, Germany; [Fischbach, Jannik; Mendez, Daniel] Fortiss, Guerickestr 25, D-80805 Munich, Germany</t>
  </si>
  <si>
    <t xml:space="preserve">Blekinge Institute Technology; University of Hamburg; fortiss</t>
  </si>
  <si>
    <t xml:space="preserve">Frattini, J (corresponding author), Blekinge Inst Technol, Valhallavagen 1, S-37140 Karlskrona, Sweden.</t>
  </si>
  <si>
    <t xml:space="preserve">Julian.Frattini@bth.se; lloyd.montgomery@uni-hamburg.de; jannik.fischbach@netlight.com; Daniel.Mendez@bth.se; Davide.Fucci@bth.se; Michael.Unterkalmsteiner@bth.se</t>
  </si>
  <si>
    <t xml:space="preserve">Mendez, Daniel/ABA-4579-2021; Fucci, Davide/C-1463-2015</t>
  </si>
  <si>
    <t xml:space="preserve">Frattini, Julian/0000-0003-3995-6125; Mendez Fernandez, Daniel/0000-0003-0619-6027; Unterkalmsteiner, Michael/0000-0003-4118-0952; Fucci, Davide/0000-0002-0679-4361; Montgomery, Lloyd/0000-0002-8249-1418</t>
  </si>
  <si>
    <t xml:space="preserve">KKS foundation through the S.E.R.T. Research Profile project at Blekinge Institute of Technology; Blekinge Institute of Technology</t>
  </si>
  <si>
    <t xml:space="preserve">This work was supported by the KKS foundation through the S.E.R.T. Research Profile project at Blekinge Institute of Technology. We further thank our colleagues and the reviewers for their constructive feedback which strengthened this article. Open access funding provided by Blekinge Institute of Technology.</t>
  </si>
  <si>
    <t xml:space="preserve">10.1007/s00766-023-00405-y</t>
  </si>
  <si>
    <t xml:space="preserve">Z8RB5</t>
  </si>
  <si>
    <t xml:space="preserve">WOS:001046952900001</t>
  </si>
  <si>
    <t xml:space="preserve">Smite, D; Christensen, EL; Tell, P; Russo, D</t>
  </si>
  <si>
    <t xml:space="preserve">Smite, Darja; Christensen, Emily Laue; Tell, Paolo; Russo, Daniel</t>
  </si>
  <si>
    <t xml:space="preserve">The Future Workplace: Characterizing the Spectrum of Hybrid Work Arrangements for Software Teams</t>
  </si>
  <si>
    <t xml:space="preserve">Schedules; Companies; Employment; Personnel; Remote working</t>
  </si>
  <si>
    <t xml:space="preserve">This article systemizes a spectrum of emerging work arrangements for teams, including hybrid teams, partially aligned teams and, more importantly, variegated teams with fully aligned alternation of office presence. Our team typology is based on the practical insights from Alpha, InterSoft, Valtech, IBM, Brandwatch, and Ericsson.</t>
  </si>
  <si>
    <t xml:space="preserve">[Smite, Darja] Blekinge Inst Technol, Software Engn, SE-37179 Karlskrona, Sweden; [Christensen, Emily Laue] IT Univ Copenhagen, DK-2300 Copenhagen, Denmark; [Tell, Paolo] IT Univ Copenhagen, Comp Sci Dept, Software Engn, DK-2300 Copenhagen, Denmark; [Russo, Daniel] Aalborg Univ, Comp Sci, DK-2450 Copenhagen, Denmark</t>
  </si>
  <si>
    <t xml:space="preserve">Blekinge Institute Technology; IT University Copenhagen; IT University Copenhagen; Aalborg University</t>
  </si>
  <si>
    <t xml:space="preserve">Smite, D (corresponding author), Blekinge Inst Technol, Software Engn, SE-37179 Karlskrona, Sweden.</t>
  </si>
  <si>
    <t xml:space="preserve">darja.smite@bth.se; emic@itu.dk; pate@itu.dk; daniel.russo@cs.aau.dk</t>
  </si>
  <si>
    <t xml:space="preserve">; Russo, Daniel/O-3002-2019</t>
  </si>
  <si>
    <t xml:space="preserve">Christensen, Emily Laue/0000-0002-5678-0179; Russo, Daniel/0000-0001-7253-101X; Tell, Paolo/0000-0001-7391-0046</t>
  </si>
  <si>
    <t xml:space="preserve">MAR-APR</t>
  </si>
  <si>
    <t xml:space="preserve">10.1109/MS.2022.3230289</t>
  </si>
  <si>
    <t xml:space="preserve">H9ZZ4</t>
  </si>
  <si>
    <t xml:space="preserve">WOS:000999473600001</t>
  </si>
  <si>
    <t xml:space="preserve">Sousa, A; Rocha, L; Britto, R; Gong, ZX; Lyu, F</t>
  </si>
  <si>
    <t xml:space="preserve">Sousa, Armando; Rocha, Lincoln; Britto, Ricardo; Gong, Zhixiong; Lyu, Feng</t>
  </si>
  <si>
    <t xml:space="preserve">Technical Debt in Large-Scale Distributed Projects: An Industrial Case Study</t>
  </si>
  <si>
    <t xml:space="preserve">2021 IEEE INTERNATIONAL CONFERENCE ON SOFTWARE ANALYSIS, EVOLUTION AND REENGINEERING (SANER 2021)</t>
  </si>
  <si>
    <t xml:space="preserve">28th IEEE International Conference on Software Analysis, Evolution and Reengineering (SANER)</t>
  </si>
  <si>
    <t xml:space="preserve">MAR 09-12, 2021</t>
  </si>
  <si>
    <t xml:space="preserve">IEEE,IEEE Comp Soc,IEEE Tech Council Software Engn</t>
  </si>
  <si>
    <t xml:space="preserve">technical debt management; large-scale; global software engineering</t>
  </si>
  <si>
    <t xml:space="preserve">SOFTWARE; AGILE</t>
  </si>
  <si>
    <t xml:space="preserve">Technical debt (TD) is a metaphor that reflects the technical compromises that sacrifice the long-term health of a software product to achieve short term benefit. It is important to manage TD to avoid software degradation. In large-scale distributed projects, technical debt management (TDM) becomes more complex and challenging. There is a lack of empirical studies on the TD accumulation in large-scale distributed projects. Then, to address this gap, we conducted a case study in Ericsson (a European Telecom Company) to identify the relationship between TD accumulation and factors such as task complexity, lead time, total of developers, and task scaling. We used data from 33 projects extracted from managerial documents to conduct a regression analysis. We also conducted interviews with seniors developers of the team to interpret the results. We found out that Task Complexity has a strong relationship (p-value = 5.69 x 10(-5)) with Technical Debt, while Global Distance was mentioned by the interviewees as a relevant factor for TD accumulation (although not statistically significant in our regression analysis). Practitioners should consider avoiding complex/big tasks, breaking down big tasks into small ones (if possible). We also plan to analyze other projects in this company to confirm our findings further.</t>
  </si>
  <si>
    <t xml:space="preserve">[Sousa, Armando; Rocha, Lincoln] Univ Fed Ceara, Fortaleza, Ceara, Brazil; [Britto, Ricardo] Ericsson AB, Blekinge Inst Technol, Karlskrona, Sweden; [Gong, Zhixiong; Lyu, Feng] Blekinge Inst Technol, Karlskrona, Sweden</t>
  </si>
  <si>
    <t xml:space="preserve">Universidade Federal do Ceara; Blekinge Institute Technology; Ericsson; Blekinge Institute Technology</t>
  </si>
  <si>
    <t xml:space="preserve">Sousa, A (corresponding author), Univ Fed Ceara, Fortaleza, Ceara, Brazil.</t>
  </si>
  <si>
    <t xml:space="preserve">armando.sousa@alu.ufc.br; lincoln@dc.ufc.br; ricardo.britto@ericsson.com; zhgo15@student.bth.se; felv15@student.bth.se</t>
  </si>
  <si>
    <t xml:space="preserve">Sousa, Armando/IUN-2465-2023</t>
  </si>
  <si>
    <t xml:space="preserve">Sousa, Armando/0000-0003-1671-983X</t>
  </si>
  <si>
    <t xml:space="preserve">978-1-7281-9630-5</t>
  </si>
  <si>
    <t xml:space="preserve">10.1109/SANER50967.2021.00071</t>
  </si>
  <si>
    <t xml:space="preserve">BR9HX</t>
  </si>
  <si>
    <t xml:space="preserve">WOS:000675825200062</t>
  </si>
  <si>
    <t xml:space="preserve">Rodriguez, P; Mendes, E; Turhan, B</t>
  </si>
  <si>
    <t xml:space="preserve">Rodriguez, Pilar; Mendes, Emilia; Turhan, Burak</t>
  </si>
  <si>
    <t xml:space="preserve">Key Stakeholders' Value Propositions for Feature Selection in Software-Intensive Products: An Industrial Case Study</t>
  </si>
  <si>
    <t xml:space="preserve">Stakeholders; Software; Companies; Feature extraction; Planning; Decision making; Economics; Value-based software engineering (VBSE); feature selection; release planning; decision-making; value proposition; stakeholder analysis; key stakeholders; software-intensive systems; case study; grounded theory</t>
  </si>
  <si>
    <t xml:space="preserve">Numerous software companies are adopting value-based decision making. However, what does value mean for key stakeholders making decisions? How do different stakeholder groups understand value? Without an explicit understanding of what value means, decisions are subject to ambiguity and vagueness, which are likely to bias them. This case study provides an in-depth analysis of key stakeholders' value propositions when selecting features for a large telecommunications company's software-intensive product. Stakeholders' value propositions were elicited via interviews, which were analyzed using Grounded Theory coding techniques (open and selective coding). Thirty-six value propositions were identified and classified into six dimensions: customer value, market competitiveness, economic value/profitability, cost efficiency, technology &amp; architecture, and company strategy. Our results show that although propositions in the customer value dimension were those mentioned the most, the concept of value for feature selection encompasses a wide range of value propositions. Moreover, stakeholder groups focused on different and complementary value dimensions, calling to the importance of involving all key stakeholders in the decision making process. Although our results are particularly relevant to companies similar to the one described herein, they aim to generate a learning process on value-based feature selection for practitioners and researchers in general.</t>
  </si>
  <si>
    <t xml:space="preserve">[Rodriguez, Pilar] Univ Oulu, Oulu 90014, Finland; [Mendes, Emilia] Blekinge Inst Technol, Karlskrona, Sweden; [Turhan, Burak] Monash Univ, Melbourne, Vic 3800, Australia</t>
  </si>
  <si>
    <t xml:space="preserve">University of Oulu; Blekinge Institute Technology; Monash University</t>
  </si>
  <si>
    <t xml:space="preserve">Rodriguez, P (corresponding author), Univ Oulu, Oulu 90014, Finland.</t>
  </si>
  <si>
    <t xml:space="preserve">pilar.rodriguez@oulu.fi; emilia.mendes@oulu.fi; burak.turhan@monash.edu</t>
  </si>
  <si>
    <t xml:space="preserve">Rodriguez, Pilar/HSE-9989-2023; Mendes, Maria/B-4207-2015; Turhan, Burak/G-7400-2011; Rodriguez, Pilar/C-1449-2015</t>
  </si>
  <si>
    <t xml:space="preserve">Turhan, Burak/0000-0003-1511-2163; Rodriguez, Pilar/0000-0002-0618-6104</t>
  </si>
  <si>
    <t xml:space="preserve">Tekes (Finnish Funding Agency for Technology and Innovation) [40150/14]</t>
  </si>
  <si>
    <t xml:space="preserve">Tekes (Finnish Funding Agency for Technology and Innovation)(Finnish Funding Agency for Technology &amp; Innovation (TEKES))</t>
  </si>
  <si>
    <t xml:space="preserve">We would like to thank the company for its commitment as part of our collaboration. This research has been carried out within the FiDiPro VALUE project number 40150/14, which is funded by Tekes (the Finnish Funding Agency for Technology and Innovation).</t>
  </si>
  <si>
    <t xml:space="preserve">DEC 1</t>
  </si>
  <si>
    <t xml:space="preserve">10.1109/TSE.2018.2878031</t>
  </si>
  <si>
    <t xml:space="preserve">PD6GQ</t>
  </si>
  <si>
    <t xml:space="preserve">Green Accepted, Green Submitted</t>
  </si>
  <si>
    <t xml:space="preserve">WOS:000597780900004</t>
  </si>
  <si>
    <t xml:space="preserve">Harrison, P; Madeley, E; Nolan, M; Renvert, S; Polyzois, I</t>
  </si>
  <si>
    <t xml:space="preserve">Harrison, Peter; Madeley, Edward; Nolan, Michael; Renvert, Stefan; Polyzois, Ioannis</t>
  </si>
  <si>
    <t xml:space="preserve">A longitudinal analysis of the impact of nonsurgical and surgical treatment of peri-implantitis upon clinical parameters and implant stability quotient values. A 2-3-year follow-up</t>
  </si>
  <si>
    <t xml:space="preserve">CLINICAL AND EXPERIMENTAL DENTAL RESEARCH</t>
  </si>
  <si>
    <t xml:space="preserve">dental implants; L-PRF; peri-implantitis; surgical treatment</t>
  </si>
  <si>
    <t xml:space="preserve">RE-OSSEOINTEGRATION; SURFACES; LESIONS; RESOLUTION; DISEASES; DEFECTS; THERAPY</t>
  </si>
  <si>
    <t xml:space="preserve">Objectives: In this study, the aim was to investigate the medium- to long-term impact of peri-implantitis treatment upon clinical parameters and implant stability quotient values and to ascertain if magnetic resonance frequency analysis can be used as a diagnostic tool to demonstrate postoperative healing following treatment of peri-implantitis. Materials and Methods: A total of n = 26 patients (n = 86 implants) diagnosed with peri-implantitis were recruited for this prospective cohort study and four different treatment modalities were used. Baseline measurements of a number of clinical parameters as well as implant stability measurements in the form of ISQ were recorded. These measurements were repeated at 6, 12, and 24-36 months following treatment. Analysis of variance was performed for all implants treated as well as separately for each treatment modality. A regression model was also used to determine factors affecting ISQ measurements over time. Results: Treatment of peri-implantitis resulted in significant improvements of both average PPDs and BOP (p &lt; .0001 and p &lt; .01). ISQ values marginally improved initially for all treatment modalities, but improvement was only maintained for 2-3 years in treatment modalities I (+1.28), III (+1.49), and IV (+2.92). There was a statistically significant negative linear correlation between average PPD and the ISQ values recorded both at baseline (r = -.618, p &lt; 0.0001) and at 2/3 years (r = -.604, p &lt; 0.0001). Conclusion: Over the 2-3-year follow-up period, all four treatment modalities led to improved clinical and radiographic peri-implant parameters but implant stability posttreatment, as indicated by the fact that the recorded ISQ scores remained stable. As a result, use of MRFA as an adjunct to the traditionally used periodontal and radiographic tools for the evaluation of postoperative implant stability following the treatment of peri-implant disease cannot be recommended.</t>
  </si>
  <si>
    <t xml:space="preserve">[Harrison, Peter; Madeley, Edward; Nolan, Michael; Renvert, Stefan; Polyzois, Ioannis] Trinity Coll Dublin, Dublin Dent Univ Hosp, Div Restorat Dent &amp; Periodontol, Dublin, Ireland; [Renvert, Stefan] Kristianstad Univ, Dept Hlth Sci, Kristianstad, Sweden; [Renvert, Stefan] Blekinge Inst Technol, Karlskrona, Sweden</t>
  </si>
  <si>
    <t xml:space="preserve">Trinity College Dublin; Kristianstad University; Blekinge Institute Technology</t>
  </si>
  <si>
    <t xml:space="preserve">Polyzois, I (corresponding author), Trinity Coll Dublin, Dublin Dent Univ Hosp, Div Restorat Dent &amp; Periodontol, Dublin, Ireland.</t>
  </si>
  <si>
    <t xml:space="preserve">Ioannis.Polyzois@dental.tcd.ie</t>
  </si>
  <si>
    <t xml:space="preserve">Renvert, Stefan/AAM-2415-2020; Polyzois, Ioannis/H-8129-2019</t>
  </si>
  <si>
    <t xml:space="preserve">Renvert, Stefan/0000-0003-0992-2362; Harrison, Peter/0000-0001-7526-4834; Polyzois, Ioannis/0000-0002-0921-0843</t>
  </si>
  <si>
    <t xml:space="preserve">IReL</t>
  </si>
  <si>
    <t xml:space="preserve">Open access funding provided by IReL.</t>
  </si>
  <si>
    <t xml:space="preserve">2057-4347</t>
  </si>
  <si>
    <t xml:space="preserve">CLIN EXP DENT RES</t>
  </si>
  <si>
    <t xml:space="preserve">CLIN. EXP. DENT. RES.</t>
  </si>
  <si>
    <t xml:space="preserve">e833</t>
  </si>
  <si>
    <t xml:space="preserve">10.1002/cre2.833</t>
  </si>
  <si>
    <t xml:space="preserve">GZ9J2</t>
  </si>
  <si>
    <t xml:space="preserve">WOS:001156618200001</t>
  </si>
  <si>
    <t xml:space="preserve">Högström, E; Philo, C</t>
  </si>
  <si>
    <t xml:space="preserve">Hogstrom, Ebba; Philo, Chris</t>
  </si>
  <si>
    <t xml:space="preserve">Let there be light' or life in the dark? Vital geographies of mental healthcare</t>
  </si>
  <si>
    <t xml:space="preserve">SOCIAL SCIENCE &amp; MEDICINE</t>
  </si>
  <si>
    <t xml:space="preserve">Black and white; Light and dark; Liveliness and deathliness; Mental health geographies; Vital health geographies</t>
  </si>
  <si>
    <t xml:space="preserve">THERAPEUTIC LANDSCAPES; DESIGN; ASYLUMS</t>
  </si>
  <si>
    <t xml:space="preserve">This paper explores the relations between light and dark/white and black disclosed in a study of Gartnavel Royal Hospital in Glasgow, Scotland, where an old Victorian lunatic asylum remains, if becoming ruined, on the same site as a modern mental healthcare campus. In-depth interview work recovering the 'spatial stories' of patients and staff, past and present, reveals a complex mixture of positive and negative memories and interpretations prompted by both the 'darkened spaces' of Old Gartnavel and the liveliness associated with both sets of spaces. These findings are framed by (a) a reading of Badiou's short monograph on Black (Badiou, 2017) and (b) an engagement with light and dark studies, both of which suggest a rebalancing of the normal valuations whereby dark/black is cast as the realm of death, everything that deadens and threatens life, whereas light/white is cast as that of life, liveliness and vitality. The scholarship here speaks to work on vitalist health geographies, agreeing that vital health-worlds can surface almost anywhere, but reminding that the fragility of such worlds can always be threatened by too much over-ordering.</t>
  </si>
  <si>
    <t xml:space="preserve">[Hogstrom, Ebba] Blekinge Inst Technol, Spatial Planning, SE-37179 Karlskrona, Sweden; [Philo, Chris] Univ Glasgow, Sch Geog &amp; Earth Sci, Glasgow G12 8QQ, Scotland</t>
  </si>
  <si>
    <t xml:space="preserve">Blekinge Institute Technology; University of Glasgow</t>
  </si>
  <si>
    <t xml:space="preserve">Philo, C (corresponding author), Univ Glasgow, Sch Geog &amp; Earth Sci, Glasgow G12 8QQ, Scotland.</t>
  </si>
  <si>
    <t xml:space="preserve">ebba.hogstrom@bth.se; Christopher.Philo@glasgow.ac.uk</t>
  </si>
  <si>
    <t xml:space="preserve">Philo, Christopher/0000-0002-2514-4604; Hogstrom, Ebba/0000-0002-7725-1233</t>
  </si>
  <si>
    <t xml:space="preserve">EC Research Call [706026]; Marie Curie Actions (MSCA) [706026] Funding Source: Marie Curie Actions (MSCA)</t>
  </si>
  <si>
    <t xml:space="preserve">EC Research Call; Marie Curie Actions (MSCA)(Marie Curie Actions)</t>
  </si>
  <si>
    <t xml:space="preserve">We wish to offer our deepest thanks to all our participants who so graciously and informatively engaged with us during the research for the project underpinning this paper. We are extremely grateful to the management and staff at Gartnavel Royal Hospital for granting us access, support and facilities, and we especially thank our colleague on the project, Iain Smith, then consultant psychiatrist at Gartnavel. We are also delighted to acknowledge the supportive and helpful input from two anonymous reviewers. The project, entitled 'Psychiatric spaces in transition: discourse, dwelling and doing', was funded under EC Research Call H2020-MSCA-IF-2015 (Project No. 706026), January 01, 2017 to June 31, 2018. Main ethical approval was secured from the West of Scotland Research Ethics Service, Research Ethics Committee (REC) #3 for research on the estate of National Health Service (NHS) Greater Glasgow and Clyde (REC reference: 17/WS/0001; Protocol No. GN16MH490), dated March 17, 2017.</t>
  </si>
  <si>
    <t xml:space="preserve">0277-9536</t>
  </si>
  <si>
    <t xml:space="preserve">1873-5347</t>
  </si>
  <si>
    <t xml:space="preserve">SOC SCI MED</t>
  </si>
  <si>
    <t xml:space="preserve">Soc. Sci. Med.</t>
  </si>
  <si>
    <t xml:space="preserve">10.1016/j.socscimed.2023.116137</t>
  </si>
  <si>
    <t xml:space="preserve">Public, Environmental &amp; Occupational Health; Social Sciences, Biomedical</t>
  </si>
  <si>
    <t xml:space="preserve">Public, Environmental &amp; Occupational Health; Biomedical Social Sciences</t>
  </si>
  <si>
    <t xml:space="preserve">S0UP2</t>
  </si>
  <si>
    <t xml:space="preserve">WOS:001068408500001</t>
  </si>
  <si>
    <t xml:space="preserve">Abbas, Z; Teng, F; Zhao, L; Islam, MS</t>
  </si>
  <si>
    <t xml:space="preserve">Abbas, Zeshan; Teng, Fan; Zhao, Lun; Islam, Md Shafiqul</t>
  </si>
  <si>
    <t xml:space="preserve">Influence of Patterns on Mechanical Properties of Ultrasonically Welded Joints in Copper Substrate and Wire</t>
  </si>
  <si>
    <t xml:space="preserve">METALS AND MATERIALS INTERNATIONAL</t>
  </si>
  <si>
    <t xml:space="preserve">Ultrasonic welding wire harness; Machined patterns; Copper substrates; Failure and strength analysis; SEM and EDS analysis</t>
  </si>
  <si>
    <t xml:space="preserve">SPECIMENS; MAGNESIUM</t>
  </si>
  <si>
    <t xml:space="preserve">Ultrasonic wire welding is considered a method of choice for creating reliable interconnects in electronics industry including aerospace, batteries and electric vehicles. In this paper, ultrasonic welding tests between EVR252 copper wire and substrate are carried out. Novel pattern morphologies are machined on substrates to explore its influence on mechanical properties of welded joint. Patterns are divided into three different categories e.g., original surface, vertical and horizontal shapes. Cracks, microstructure strength and tensile properties of welded joint are studied and its joining mechanism is analysed. Compared with the reference substrate (S1), the welded joint performance of the longitudinal patterns (S2, S3, S4) has been improved, among which the longitudinal pattern (S4) has the most significant improvement (+ 15%). Likewise, the performance of transverse pattern (S5) welded joints is relatively poor (- 16%). The microstructural analysis using SEM has revealed predominant joint strength on Cu wire surface while maintaining rock-like and compact properties of S4 substrate. Upper side of wire-harness compactness is frequently observed due to vertical direction of patterns on substrate and also increases the strength of welded joint. Values of failure load, failure displacement and failure energy absorption were increased by 7.9%, 72% and 35% for S2, 6.1%, 75% and 42% for S3 and 15%, 87% and 113% for S4 compared to S1. Failure modes of welded joints are mainly characterized into: 1-poor ductility or rupture (no deformation) failure in vertical 3-line pattern joints 2-cylindrical deep holes failure in vertical 3-line zigzag pattern joints and 3-bulging effect failure in horizontal 3-line zigzag pattern joints. Point and line scans EDS measurement were performed to investigate weaker and stable trends of different locations in welded joints. In S4 substrate, 17.9% carbon content at the position of welded joint was investigated, leading to content of less oxides and fraction impurities. However, S1 weld zone contains 38.7% carbon content which can weaken welded joint and reduce durability.</t>
  </si>
  <si>
    <t xml:space="preserve">[Abbas, Zeshan; Teng, Fan; Zhao, Lun] Shenzhen Polytech Univ, Inst Ultrason Technol, Shenzhen 518055, Peoples R China; [Teng, Fan] Guilin Univ Technol, Sch Mech &amp; Control Engn, Guilin 541004, Guangxi, Peoples R China; [Islam, Md Shafiqul] Blekinge Inst Technol, Dept Mech Engn, S-37179 Karlskrona, Sweden</t>
  </si>
  <si>
    <t xml:space="preserve">Shenzhen Polytechnic University; Guilin University of Technology; Blekinge Institute Technology</t>
  </si>
  <si>
    <t xml:space="preserve">zhaolun@szpu.edu.cn</t>
  </si>
  <si>
    <t xml:space="preserve">Lun, Zhao/0000-0001-8293-9094</t>
  </si>
  <si>
    <t xml:space="preserve">National Natural Science Foundation of China [12104324]; Postdoctoral Science Foundation of China [2021M703392]; Scientific Research Startup Fund for Shenzhen High-Caliber Personnel of SZPT [6022310046K]; Postdoctoral Startup Fund of Shenzhen Polytechnic University [6021330001K, 6022331008K]</t>
  </si>
  <si>
    <t xml:space="preserve">National Natural Science Foundation of China(National Natural Science Foundation of China (NSFC)); Postdoctoral Science Foundation of China(China Postdoctoral Science Foundation); Scientific Research Startup Fund for Shenzhen High-Caliber Personnel of SZPT; Postdoctoral Startup Fund of Shenzhen Polytechnic University</t>
  </si>
  <si>
    <t xml:space="preserve">This research is supported by National Natural Science Foundation of China (Grant No. 12104324); Postdoctoral Science Foundation of China (No. 2021M703392); Scientific Research Startup Fund for Shenzhen High-Caliber Personnel of SZPT (No.6022310046K); Postdoctoral Startup Fund of Shenzhen Polytechnic University (No. 6021330001K and No. 6022331008K).</t>
  </si>
  <si>
    <t xml:space="preserve">KOREAN INST METALS MATERIALS</t>
  </si>
  <si>
    <t xml:space="preserve">SEOUL</t>
  </si>
  <si>
    <t xml:space="preserve">KIM BLDG 6TH FLOOR, SEOCHO-DAERO 56 GIL 38, SEOCHO-GU, SEOUL 137-881, SOUTH KOREA</t>
  </si>
  <si>
    <t xml:space="preserve">1598-9623</t>
  </si>
  <si>
    <t xml:space="preserve">2005-4149</t>
  </si>
  <si>
    <t xml:space="preserve">MET MATER INT</t>
  </si>
  <si>
    <t xml:space="preserve">Met. Mater.-Int.</t>
  </si>
  <si>
    <t xml:space="preserve">10.1007/s12540-024-01646-4</t>
  </si>
  <si>
    <t xml:space="preserve">A7D5J</t>
  </si>
  <si>
    <t xml:space="preserve">WOS:001178616600005</t>
  </si>
  <si>
    <t xml:space="preserve">Keipour, H; Hazra, S; Finne, N; Voigt, T</t>
  </si>
  <si>
    <t xml:space="preserve">Wang, G; Choo, KKR; Ko, RKL; Xu, Y; Crispo, B</t>
  </si>
  <si>
    <t xml:space="preserve">Keipour, Hossein; Hazra, Saptarshi; Finne, Niclas; Voigt, Thiemo</t>
  </si>
  <si>
    <t xml:space="preserve">Generalizing Supervised Learning for Intrusion Detection in IoT Mesh Networks</t>
  </si>
  <si>
    <t xml:space="preserve">UBIQUITOUS SECURITY</t>
  </si>
  <si>
    <t xml:space="preserve">1st International Conference on Ubiquitous Security (UbiSec)</t>
  </si>
  <si>
    <t xml:space="preserve">DEC 28-31, 2021</t>
  </si>
  <si>
    <t xml:space="preserve">Guangzhou Univ, Guangzhou, PEOPLES R CHINA</t>
  </si>
  <si>
    <t xml:space="preserve">Guangzhou Univ</t>
  </si>
  <si>
    <t xml:space="preserve">Internet of Things; 6LoWPAN; RPL; Intrusion detection system; Blackhole; Machine learning; Deep learning; Dataset</t>
  </si>
  <si>
    <t xml:space="preserve">DETECTION SYSTEMS; SIMULATION; INTERNET; ATTACK</t>
  </si>
  <si>
    <t xml:space="preserve">IoT mesh networks typically consist of resource-constrained devices that communicate wirelessly. Since such networks are exposed to numerous attacks, designing intrusion detection systems is an important task and has attracted a lot of attention from the research community. Most existing work, however, has only considered a few network topologies, often also assuming a fixed number of nodes. In this paper, we generate a new large attack dataset, using Multi-Trace, a tool that we recently devised to generate traces to train machine learning algorithms. We show that using more and more diverse training data, the resulting intrusion detection models generalize better compared to those trained with less and less diverse training data. They even generalize well for larger topologies with more IoT devices. We also show that when we train different machine learning methods on our dataset, the resulting intrusion detection systems achieve very high performance.</t>
  </si>
  <si>
    <t xml:space="preserve">[Keipour, Hossein] Blekinge Inst Technol, S-37179 Karlskrona, Sweden; [Voigt, Thiemo] Uppsala Univ, S-75105 Uppsala, Sweden; [Hazra, Saptarshi; Finne, Niclas; Voigt, Thiemo] Res Inst Sweden RISE, S-16440 Stockholm, Sweden</t>
  </si>
  <si>
    <t xml:space="preserve">Blekinge Institute Technology; Uppsala University; RISE Research Institutes of Sweden</t>
  </si>
  <si>
    <t xml:space="preserve">Keipour, H (corresponding author), Blekinge Inst Technol, S-37179 Karlskrona, Sweden.</t>
  </si>
  <si>
    <t xml:space="preserve">hoke19@student.bth.se; saptarshi.hazra@ri.se; niclas.finne@ri.se; thiemo.voigt@ri.se</t>
  </si>
  <si>
    <t xml:space="preserve">Hazra, Saptarshi/JCE-1142-2023</t>
  </si>
  <si>
    <t xml:space="preserve">ITEA 3 project STACK - Swedish Innovation Agency VINNOVA</t>
  </si>
  <si>
    <t xml:space="preserve">ITEA 3 project STACK - Swedish Innovation Agency VINNOVA(Vinnova)</t>
  </si>
  <si>
    <t xml:space="preserve">This work was supported by the ITEA 3 project STACK funded by the Swedish Innovation Agency VINNOVA.</t>
  </si>
  <si>
    <t xml:space="preserve">978-981-19-0468-4; 978-981-19-0467-7</t>
  </si>
  <si>
    <t xml:space="preserve">10.1007/978-981-19-0468-4_16</t>
  </si>
  <si>
    <t xml:space="preserve">BS8GQ</t>
  </si>
  <si>
    <t xml:space="preserve">WOS:000772155500016</t>
  </si>
  <si>
    <t xml:space="preserve">Berglund-Snodgrass, L; Högström, E; Fjellfeldt, M; Markström, U</t>
  </si>
  <si>
    <t xml:space="preserve">Berglund-Snodgrass, Lina; Hogstrom, Ebba; Fjellfeldt, Maria; Markstrom, Urban</t>
  </si>
  <si>
    <t xml:space="preserve">Organizing cross-sectoral housing provision planning: settings, problems and knowledge</t>
  </si>
  <si>
    <t xml:space="preserve">Cross-sector planning; collaborative planning; housing provision planning; the political</t>
  </si>
  <si>
    <t xml:space="preserve">SOFT SPACES; STOCKHOLM</t>
  </si>
  <si>
    <t xml:space="preserve">In the governance of housing provision, the public sector is considered unable efficiently to manage such problems through the traditional bureaucratic organizations and associated governing tools. Instead, municipalities are expected to engage in collaborative processes across sectors and with external stakeholders, with the overarching objective to deliver more efficient planning outcomes. As the processes are carried out across sectors, it opens up the opportunity to privilege certain sectors' perspectives and marginalize others. By drawing from Mouffe's agonistic political theories, this article makes an empirical account of the political in organizing cross-sectoral collaborative planning in Swedish municipalities, with the empirical example of developing municipal programmes for housing provision. The article concludes that social service is severely marginalized in what is generally a depoliticized housing provision planning process. Underpinning the collaboration is the conceptualizing of housing provision as primarily a general deficit in constructing housing. Primarily organizing objectivist knowledge, housing provision is constructed as a technical and procedural matter rather than ideological and political. Through such organizing principles, the overarching housing provision problem remains undealt with, e.g. how do we provide housing to 'all' our citizens?</t>
  </si>
  <si>
    <t xml:space="preserve">[Berglund-Snodgrass, Lina; Hogstrom, Ebba] Blekinge Inst Technol, Dept Spatial Planning, S-37179 Karlskrona, Sweden; [Fjellfeldt, Maria] Dalarna Univ, Dept Hlth &amp; Welf, Falun, Sweden; [Markstrom, Urban] Umea Univ, Dept Social Work, Umea, Sweden</t>
  </si>
  <si>
    <t xml:space="preserve">Blekinge Institute Technology; Dalarna University; Umea University</t>
  </si>
  <si>
    <t xml:space="preserve">Berglund-Snodgrass, L (corresponding author), Blekinge Inst Technol, Dept Spatial Planning, S-37179 Karlskrona, Sweden.</t>
  </si>
  <si>
    <t xml:space="preserve">Hogstrom, Ebba/0000-0002-7725-1233; Berglund-Snodgrass, Lina/0000-0003-3003-0457; Markstrom, Urban/0000-0002-6330-5640; Fjellfeldt, Maria/0000-0001-9836-6446</t>
  </si>
  <si>
    <t xml:space="preserve">Forskningsradet om Halsa, Arbetsliv och Valfard [201801325]; Svenska Forskningsradet Formas [2018-00058]; Formas [2018-00058] Funding Source: Formas; Vinnova [2018-00058] Funding Source: Vinnova</t>
  </si>
  <si>
    <t xml:space="preserve">Forskningsradet om Halsa, Arbetsliv och Valfard; Svenska Forskningsradet Formas(Swedish Research Council Formas); Formas(Swedish Research Council Formas); Vinnova(Vinnova)</t>
  </si>
  <si>
    <t xml:space="preserve">This work was supported by Forskningsradet om Halsa, Arbetsliv och Valfard [grant number 201801325]; Svenska Forskningsradet Formas [grant number 2018-00058].</t>
  </si>
  <si>
    <t xml:space="preserve">10.1080/09654313.2020.1792416</t>
  </si>
  <si>
    <t xml:space="preserve">JUL 2020</t>
  </si>
  <si>
    <t xml:space="preserve">RP5GA</t>
  </si>
  <si>
    <t xml:space="preserve">WOS:000549031700001</t>
  </si>
  <si>
    <t xml:space="preserve">Romano, S; Scanniello, G; Baldassarre, MT; Fucci, D</t>
  </si>
  <si>
    <t xml:space="preserve">Romano, Simone; Scanniello, Giuseppe; Baldassarre, Maria Teresa; Fucci, Davide</t>
  </si>
  <si>
    <t xml:space="preserve">On the Effect of Noise on Software Engineers' Performance: Results from Two Replicated Experiments</t>
  </si>
  <si>
    <t xml:space="preserve">Noise; Comprehension of Functional Requirements Specifications; Fault Fixing; Experiment; Replication</t>
  </si>
  <si>
    <t xml:space="preserve">DIAGRAMS; SERIES; FAMILY; MODEL</t>
  </si>
  <si>
    <t xml:space="preserve">Noise, defined as an unwanted sound, is one of the most common factors people have to deal with when performing their daily working tasks. Researchers have marginally investigated the effect of noise on software engineers' performance. In this paper, we present the results of two replicated experiments whose main goal was to increase the body of knowledge, by confirming or not the results of the baseline experiments, on the effect of noise while comprehending functional requirements specifications and fixing faults in source code. The results of the replicated experiments suggest that: (i) noise does not significantly affect the comprehension of functional requirements specifications and (ii) noise significantly and negatively affects fixing faults if this task lasts 30 minutes, while it does not have a significant impact if the task lasts 60 minutes. The results of the replications confirm to a large extent those of the baseline experiments and allow us to postulate, as done for the baseline experiments, that fixing faults is more vulnerable to noise than comprehending the specifications of functional requirements.</t>
  </si>
  <si>
    <t xml:space="preserve">[Romano, Simone; Baldassarre, Maria Teresa] Univ Bari, Bari, Italy; [Scanniello, Giuseppe] Univ Basilicata, Potenza, Italy; [Fucci, Davide] Blekinge Inst Technol, Karlskrona, Sweden</t>
  </si>
  <si>
    <t xml:space="preserve">Universita degli Studi di Bari Aldo Moro; University of Basilicata; Blekinge Institute Technology</t>
  </si>
  <si>
    <t xml:space="preserve">Romano, S (corresponding author), Univ Bari, Bari, Italy.</t>
  </si>
  <si>
    <t xml:space="preserve">simone.romano@uniba.it; giuseppe.scanniello@unibas.it; mariateresa.baldassarre@uniba.it; davide.fucci@bth.se</t>
  </si>
  <si>
    <t xml:space="preserve">Fucci, Davide/C-1463-2015; Romano, Simone/JVZ-6529-2024</t>
  </si>
  <si>
    <t xml:space="preserve">Romano, Simone/0000-0003-4880-3622</t>
  </si>
  <si>
    <t xml:space="preserve">KKS foundation through the S.E.R.T. Research Profile project at Blekinge Institute of Technology; Italian MIUR [PON03PE-00136-1]; Apulia Region [T5LXK18]</t>
  </si>
  <si>
    <t xml:space="preserve">KKS foundation through the S.E.R.T. Research Profile project at Blekinge Institute of Technology; Italian MIUR(Ministry of Education, Universities and Research (MIUR)); Apulia Region</t>
  </si>
  <si>
    <t xml:space="preserve">This work was partially supported by: the KKS foundation through the S.E.R.T. Research Profile project at Blekinge Institute of Technology; the Digital Service Ecosystem project (Cod. PON03PE-00136-1) funded by Italian MIUR; and Auriga2020 project (Cod. T5LXK18) funded by Apulia Region.</t>
  </si>
  <si>
    <t xml:space="preserve">10.1109/SEAA51224.2020.00062</t>
  </si>
  <si>
    <t xml:space="preserve">WOS:000702094100051</t>
  </si>
  <si>
    <t xml:space="preserve">Klotins, E; Talbert-Goldstein, E</t>
  </si>
  <si>
    <t xml:space="preserve">Klotins, Eriks; Talbert-Goldstein, Elliot</t>
  </si>
  <si>
    <t xml:space="preserve">Organizational Conflicts in the Adoption of Continuous Software Engineering</t>
  </si>
  <si>
    <t xml:space="preserve">Continuous Software Engineering; Organizational conflicts; Change management</t>
  </si>
  <si>
    <t xml:space="preserve">Software is a critical component of nearly every product or service. Improvements in software can lead to substantial competitive advantages. At the same time, software and surrounding engineering teams have become increasingly complex. The adoption of continuous integration and delivery is a recent trend to radically improve software release speed. However, its adoption is far from straightforward. Specifically, rethinking processes, organizational culture, ways of working, and business models require buy-in from diverse stakeholders that may have conflicting objectives. Such situations are explored by organizational conflict research. This paper reports on early lessons from an ongoing research project in continuous software engineering, specifically investigating adoption challenges from an organizational conflict perspective. We identify catalysts, symptoms, and outcomes of organizational conflicts hindering the adoption process. We conclude that predictable conflicts emerge when adopting continuous engineering. Engineers, managers, and other teams can proactively prepare for and allocate resources to resolve them. Proper analysis and management can help avoid wasted time, impeding processes, and frustration.</t>
  </si>
  <si>
    <t xml:space="preserve">[Klotins, Eriks] Blekinge Inst Technol, Software Engn Res Lab SERL, Karlskrona, Sweden; [Talbert-Goldstein, Elliot] Univ Maryland Baltimore Cty, Empir &amp; Appl Software Engn Lab EASEL, Baltimore, MD USA; [Talbert-Goldstein, Elliot] Bosserman Ctr Conflict Resolut, Salisbury, MD USA</t>
  </si>
  <si>
    <t xml:space="preserve">Blekinge Institute Technology; University System of Maryland; University of Maryland Baltimore County</t>
  </si>
  <si>
    <t xml:space="preserve">eriks.klotins@bth.se; el3@umbc.edu</t>
  </si>
  <si>
    <t xml:space="preserve">10.1007/978-3-031-33976-9_10</t>
  </si>
  <si>
    <t xml:space="preserve">WOS:001267753700010</t>
  </si>
  <si>
    <t xml:space="preserve">Peixoto, M; Silva, C; Araújo, J; Gorschek, T; Vasconcelos, A; Vilela, J</t>
  </si>
  <si>
    <t xml:space="preserve">Peixoto, Mariana; Silva, Carla; Araujo, Joao; Gorschek, Tony; Vasconcelos, Alexandre; Vilela, Jessyka</t>
  </si>
  <si>
    <t xml:space="preserve">Evaluating a privacy requirements specification method by using a mixed-method approach: results and lessons learned</t>
  </si>
  <si>
    <t xml:space="preserve">Privacy requirements specification; Empirical study; Privacy criteria method; Agile software development</t>
  </si>
  <si>
    <t xml:space="preserve">TECHNOLOGY ACCEPTANCE MODEL; EMPIRICAL-RESEARCH; SECURITY</t>
  </si>
  <si>
    <t xml:space="preserve">Although agile software development (ASD) has been adopted in the industry, requirements approaches for ASD still neglect non-functional requirements. Privacy has become a concern due to new user demands and data protection laws. Hence, privacy needs to be properly specified, but agile requirements engineering techniques do not explicitly represent privacy requirements and, therefore, are not able to proper analyze such requirements. In this context, Privacy Criteria Method (PCM), an approach to specify privacy in requirements activities, was proposed to produce more complete and detailed privacy requirements. By considering PCM a promising approach to be used in ASD and the importance of empirical evaluation of new methods, we have as objectives: 1 evaluate the ability of PCM to support systems analysts in specifying privacy requirements when used in conjunction with some agile specification methods; and 2 show our lessons learned in conducting empirical research based on an mix-method approach defined to empirically evaluate the suitability of a requirements specification in specifying privacy requirements. Mixed-method approach is a controlled experiment as a quantitative evaluation and a feasibility study (questionnaire and task analysis based) study as a qualitative and quantitative evaluation. The requirements specifications following PCM allow to represent privacy aspects, such as user's personal data and the privacy mechanism that can be used to mitigate a privacy risk scenario. We also observed that some extra time is necessary to specify privacy requirements with PCM, but it does not imply a greater perceived effort. Specifications produced with PCM are of good quality and more privacy detailed. Additionally, we attest to the importance of conducting empirical research to evaluate new methods. PCM assists in specifying more complete and detailed in relation to traditional techniques used in ASD, which facilitates communication between the requirements analysts and developers.</t>
  </si>
  <si>
    <t xml:space="preserve">[Peixoto, Mariana; Silva, Carla; Vasconcelos, Alexandre; Vilela, Jessyka] Univ Fed Pernambuco UFPE, Recife, PE, Brazil; [Araujo, Joao] Univ Nova Lisboa UNL, Lisbon, Portugal; [Gorschek, Tony] Blekinge Inst Technol BTH, Karlskrona, Sweden</t>
  </si>
  <si>
    <t xml:space="preserve">Universidade Federal de Pernambuco; Universidade Nova de Lisboa; Blekinge Institute Technology</t>
  </si>
  <si>
    <t xml:space="preserve">mmp2@cin.ufpe.br; ctlls@cin.ufpe.br; p191@fct.unl.pt; tony.gorschek@bth.se; amlv@cin.ufpe.br; jffv@cin.ufpe.br</t>
  </si>
  <si>
    <t xml:space="preserve">Gorschek, Tony/E-3445-2013; Vilela, Jessyka/KYQ-1664-2024; Vasconcelos, Alexandre/JXY-6242-2024; Araujo, Joao/G-2108-2011; Araujo, Joao/M-3560-2013</t>
  </si>
  <si>
    <t xml:space="preserve">Silva, Carla/0000-0002-0597-3851; Vilela, Jessyka/0000-0002-5541-5188; Araujo, Joao/0000-0001-5914-1631</t>
  </si>
  <si>
    <t xml:space="preserve">Coordenacao de Aperfeicoamento de Pessoal de Nivel Superior - Brasil (CAPES) [001]; KKS foundation Profile Project ReThought.se; NOVA LINCS Research Laboratory [UID/CEC/04516/2019]</t>
  </si>
  <si>
    <t xml:space="preserve">Coordenacao de Aperfeicoamento de Pessoal de Nivel Superior - Brasil (CAPES)(Coordenacao de Aperfeicoamento de Pessoal de Nivel Superior (CAPES)); KKS foundation Profile Project ReThought.se; NOVA LINCS Research Laboratory</t>
  </si>
  <si>
    <t xml:space="preserve">Part of this study was funded by the Coordenacao de Aperfeicoamento de Pessoal de Nivel Superior -Brasil (CAPES) (Finance Code 001) and the KKS foundation Profile Project ReThought.se. It was also supported by NOVA LINCS Research Laboratory (Ref. UID/CEC/04516/2019).</t>
  </si>
  <si>
    <t xml:space="preserve">10.1007/s00766-022-00388-2</t>
  </si>
  <si>
    <t xml:space="preserve">F8OK2</t>
  </si>
  <si>
    <t xml:space="preserve">WOS:000857797700001</t>
  </si>
  <si>
    <t xml:space="preserve">Auer, F; Ros, R; Kaltenbrunner, L; Runeson, P; Felderer, M</t>
  </si>
  <si>
    <t xml:space="preserve">Auer, Florian; Ros, Rasmus; Kaltenbrunner, Lukas; Runeson, Per; Felderer, Michael</t>
  </si>
  <si>
    <t xml:space="preserve">Controlled experimentation in continuous experimentation: Knowledge and challenges</t>
  </si>
  <si>
    <t xml:space="preserve">Continuous experimentation; Online controlled experiments; A; B testing; Systematic literature review</t>
  </si>
  <si>
    <t xml:space="preserve">CURRENT STATE; DEPLOYMENT; OPTIMIZATION; PRODUCT; MODEL</t>
  </si>
  <si>
    <t xml:space="preserve">Context: Continuous experimentation and A/B testing is an established industry practice that has been researched for more than 10 years. Our aim is to synthesize the conducted research. Objective: We wanted to find the core constituents of a framework for continuous experimentation and the solutions that are applied within the field. Finally, we were interested in the challenges and benefits reported of continuous experimentation. Methods: We applied forward snowballing on a known set of papers and identified a total of 128 relevant papers. Based on this set of papers we performed two qualitative narrative syntheses and a thematic synthesis to answer the research questions. Results: The framework constituents for continuous experimentation include experimentation processes as well as supportive technical and organizational infrastructure. The solutions found in the literature were synthesized to nine themes, e.g. experiment design, automated experiments, or metric specification. Concerning the challenges of continuous experimentation, the analysis identified cultural, organizational, business, technical, statistical, ethical, and domain-specific challenges. Further, the study concludes that the benefits of experimentation are mostly implicit in the studies. Conclusion: The research on continuous experimentation has yielded a large body of knowledge on experimentation. The synthesis of published research presented within include recommended infrastructure and experimentation process models, guidelines to mitigate the identified challenges, and what problems the various published solutions solve.</t>
  </si>
  <si>
    <t xml:space="preserve">[Auer, Florian; Kaltenbrunner, Lukas; Felderer, Michael] Univ Innsbruck, Innsbruck, Austria; [Ros, Rasmus; Runeson, Per] Lund Univ, Lund, Sweden; [Felderer, Michael] Blekinge Inst Technol, Blekinge, Sweden</t>
  </si>
  <si>
    <t xml:space="preserve">University of Innsbruck; Lund University; Blekinge Institute Technology</t>
  </si>
  <si>
    <t xml:space="preserve">Auer, F (corresponding author), Univ Innsbruck, Innsbruck, Austria.;Ros, R (corresponding author), Lund Univ, Lund, Sweden.</t>
  </si>
  <si>
    <t xml:space="preserve">florian.auer@uibk.ac.at; rasmus.ros@cs.lth.se; lukas.kaltenbrunner@uibk.ac.at; per.runeson@cs.lth.se; michael.felderer@uibk.ac.at</t>
  </si>
  <si>
    <t xml:space="preserve">Felderer, Michael/AAF-4909-2020; Runeson, Per/H-5113-2019</t>
  </si>
  <si>
    <t xml:space="preserve">Runeson, Per/0000-0003-2795-4851</t>
  </si>
  <si>
    <t xml:space="preserve">Wallenberg Artificial Intelligence, Autonomous Systems and Software Program (WASP) - Knut and Alice Wallenberg Foundation; Austrian Science Fund (FWF) [I 4701-N]</t>
  </si>
  <si>
    <t xml:space="preserve">Wallenberg Artificial Intelligence, Autonomous Systems and Software Program (WASP) - Knut and Alice Wallenberg Foundation; Austrian Science Fund (FWF)(Austrian Science Fund (FWF))</t>
  </si>
  <si>
    <t xml:space="preserve">This work was partially supported by the Wallenberg Artificial Intelligence, Autonomous Systems and Software Program (WASP) funded by Knut and Alice Wallenberg Foundation and the Austrian Science Fund (FWF): I 4701-N.</t>
  </si>
  <si>
    <t xml:space="preserve">10.1016/j.infsof.2021.106551</t>
  </si>
  <si>
    <t xml:space="preserve">WOS:000634797600004</t>
  </si>
  <si>
    <t xml:space="preserve">Gradolewski, D; Dziak, D; Martynow, M; Kaniecki, D; Szurlej-Kielanska, A; Jaworski, A; Kulesza, WJ</t>
  </si>
  <si>
    <t xml:space="preserve">Gradolewski, Dawid; Dziak, Damian; Martynow, Milosz; Kaniecki, Damian; Szurlej-Kielanska, Aleksandra; Jaworski, Adam; Kulesza, Wlodek J.</t>
  </si>
  <si>
    <t xml:space="preserve">Comprehensive Bird Preservation at Wind Farms</t>
  </si>
  <si>
    <t xml:space="preserve">artificial intelligence; bird monitoring system; distributed computing; environmental sustainability; monitoring of avifauna; safety system; stereo-vision; vision system</t>
  </si>
  <si>
    <t xml:space="preserve">AEROECOLOGY; AIRCRAFT; SYSTEMS; VISION</t>
  </si>
  <si>
    <t xml:space="preserve">Wind as a clean and renewable energy source has been used by humans for centuries. However, in recent years with the increase in the number and size of wind turbines, their impact on avifauna has become worrisome. Researchers estimated that in the U.S. up to 500,000 birds die annually due to collisions with wind turbines. This article proposes a system for mitigating bird mortality around wind farms. The solution is based on a stereo-vision system embedded in distributed computing and IoT paradigms. After a bird's detection in a defined zone, the decision-making system activates a collision avoidance routine composed of light and sound deterrents and the turbine stopping procedure. The development process applies a User-Driven Design approach along with the process of component selection and heuristic adjustment. This proposal includes a bird detection method and localization procedure. The bird identification is carried out using artificial intelligence algorithms. Validation tests with a fixed-wing drone and verifying observations by ornithologists proved the system's desired reliability of detecting a bird with wingspan over 1.5 m from at least 300 m. Moreover, the suitability of the system to classify the size of the detected bird into one of three wingspan categories, small, medium and large, was confirmed.</t>
  </si>
  <si>
    <t xml:space="preserve">[Gradolewski, Dawid; Dziak, Damian; Martynow, Milosz; Kaniecki, Damian; Jaworski, Adam] Bioseco Sp Zoo, Budowlanych 68, PL-80298 Gdansk, Poland; [Gradolewski, Dawid; Dziak, Damian; Kulesza, Wlodek J.] Blekinge Inst Technol, Dept Math &amp; Nat Sci, S-37179 Karlskrona, Sweden; [Szurlej-Kielanska, Aleksandra] Univ Gdansk, Dept Vertebrate Ecol &amp; Zool, Wita Stwosza 59, PL-80308 Gdansk, Poland</t>
  </si>
  <si>
    <t xml:space="preserve">Blekinge Institute Technology; Fahrenheit Universities; University of Gdansk</t>
  </si>
  <si>
    <t xml:space="preserve">dawid.gradolewski@bioseco.com; damian.dziak@bioseco.com; milosz.martynow@bioseco.com; damian.kaniecki@bioseco.com; tactus@tactus.pl; adam.jaworski@bioseco.com; wlodek.kulesza@bth.se</t>
  </si>
  <si>
    <t xml:space="preserve">National Centre for Research and Development of Poland [POIR.01.02.00-00-0247/17]</t>
  </si>
  <si>
    <t xml:space="preserve">This research was funded by The National Centre for Research and Development of Poland grant number POIR.01.02.00-00-0247/17. Project title: 'Realization of R&amp;D works leading to the implementation of a new solution-MULTIREJESTRATOR PLUS for monitoring and control of the power system in terms of operational efficiency, the life span extending and optimizing the impact on the surrounding wind farms'.</t>
  </si>
  <si>
    <t xml:space="preserve">10.3390/s21010267</t>
  </si>
  <si>
    <t xml:space="preserve">PP7TD</t>
  </si>
  <si>
    <t xml:space="preserve">WOS:000606059700001</t>
  </si>
  <si>
    <t xml:space="preserve">Chezan, AR; Dhawale, T; Atzema, EH; Barlo, A; Aeddula, O; Pilthammar, J; Sigvant, M; Langerak, NAJ</t>
  </si>
  <si>
    <t xml:space="preserve">Chezan, A. R.; Dhawale, T.; Atzema, E. H.; Barlo, A.; Aeddula, O.; Pilthammar, J.; Sigvant, M.; Langerak, N. A. J.</t>
  </si>
  <si>
    <t xml:space="preserve">Optimizing Reverse-Engineered Finite Element Models for Accurate Predictions of Experimental Measurements</t>
  </si>
  <si>
    <t xml:space="preserve">This study investigates the challenges of reverse engineering in finite element modelling of sheet metal forming, specifically for the Volvo XC90 front door inner component. Advanced models incorporating anisotropic behaviour of steel and non-linear friction are compared against actual real-world measurements. The methodology involves simplifying complex continuous parameters into more manageable representative data sets and assessing model accuracy under both uniform and varied blank holder force settings, guided by measured contact pressure distributions. Although the results indicate an improvement in accuracy, they underscore the need for additional methodological improvements and more accurate replication of tooling effects to enhance the fidelity and effectiveness of these models.</t>
  </si>
  <si>
    <t xml:space="preserve">[Chezan, A. R.; Dhawale, T.; Atzema, E. H.; Langerak, N. A. J.] Tata Steel R&amp;D, POB 10-000, NL-1970 CA Ijmuiden, Netherlands; [Atzema, E. H.] Univ Twente, Fac Engn, POB 217, NL-7500 AE Enschede, Netherlands; [Barlo, A.; Aeddula, O.; Pilthammar, J.; Sigvant, M.] Blekinge Inst Technol, Dept Mech Engn, Karlskrona, Sweden; [Pilthammar, J.; Sigvant, M.] 81013 Mfg Technol Dev, Volvo Cars Dept, Olofstrom, Sweden</t>
  </si>
  <si>
    <t xml:space="preserve">University of Twente; Blekinge Institute Technology</t>
  </si>
  <si>
    <t xml:space="preserve">Chezan, AR (corresponding author), Tata Steel R&amp;D, POB 10-000, NL-1970 CA Ijmuiden, Netherlands.</t>
  </si>
  <si>
    <t xml:space="preserve">toni.chezan@tatasteeleurope.com</t>
  </si>
  <si>
    <t xml:space="preserve">10.1088/1757-899X/1307/1/012040</t>
  </si>
  <si>
    <t xml:space="preserve">WOS:001245186500040</t>
  </si>
  <si>
    <t xml:space="preserve">Henricsson, S; Bengtsson, VW; Renvert, S; Berglund, JS; Lundegren, N; Andersson, P</t>
  </si>
  <si>
    <t xml:space="preserve">Henricsson, Sara; Bengtsson, Viveca Wallin; Renvert, Stefan; Berglund, Johan Sanmartin; Lundegren, Nina; Andersson, Pia</t>
  </si>
  <si>
    <t xml:space="preserve">Self-perceived oral health and orofacial appearance in an adult population, 60 years of age</t>
  </si>
  <si>
    <t xml:space="preserve">INTERNATIONAL JOURNAL OF DENTAL HYGIENE</t>
  </si>
  <si>
    <t xml:space="preserve">appearance; older adults; oral health; orofacial; self-perceived</t>
  </si>
  <si>
    <t xml:space="preserve">MASS-MEDIA CAMPAIGNS; GENDER-DIFFERENCES; DENTAL APPEARANCE; SATISFACTION; CARE; AESTHETICS; DISEASES; IDEAL; NEED; LIFE</t>
  </si>
  <si>
    <t xml:space="preserve">Objective: The study aimed to compare self-perceived oral health and orofacial appearance in three different cohorts of 60-year-old individuals. Method: A cross-sectional design, based on data obtained from a questionnaire used in the Swedish National Study of Aging and Care. The sample comprised 478 individuals, from baseline, 2001-2003 (n = 191), 2007-2009 (n = 218) and 2014-2015 (n = 69). Comparisons were made within and between the cohorts, with bivariate analysis and Fisher's exact test. Statistical significance was considered at p &lt; 0.05. Results: The result showed that a low number of the participants reported self-perceived problems with oral health. Of the problems reported, a higher proportion in cohort 2014-2015 (39.3%) experienced problems with bleeding gums. The experience of bleeding gums increased between the cohorts 2001-2003 and 2014-2015 (p = 0.040) and between 2007-2009 and 2014-2015 (p = 0.017). The prevalence of discomfort with sensitive teeth was experienced in 7%-32%. Twice as many women compared to men experienced discomfort in all cohorts (no significant differences between the cohorts). Satisfaction with dental appearance was experienced in 75%-84%. Twice as many women compared to men were dissatisfied with their dental appearance in 2001-2003 (p = 0.011) and with discoloured teeth (p = 0.020). No significant differences could be seen between the cohorts regarding discomfort with dental appearance or discoloured teeth. Conclusion: The 60-year-olds irrespective of birth cohort, perceived their oral health and orofacial appearance as satisfactory.</t>
  </si>
  <si>
    <t xml:space="preserve">[Henricsson, Sara; Bengtsson, Viveca Wallin; Renvert, Stefan; Andersson, Pia] Kristianstad Univ, Fac Hlth Sci, Kristianstad, Sweden; [Henricsson, Sara; Lundegren, Nina] Malmo Univ, Fac Odontol, Malmo, Sweden; [Renvert, Stefan; Berglund, Johan Sanmartin] Blekinge Inst Technol, Dept Hlth, Karlskrona, Sweden; [Henricsson, Sara] Kristianstad Univ, Fac Hlth Sci, SE-29188 Kristianstad, Sweden</t>
  </si>
  <si>
    <t xml:space="preserve">Kristianstad University; Malmo University; Blekinge Institute Technology; Kristianstad University</t>
  </si>
  <si>
    <t xml:space="preserve">Henricsson, S (corresponding author), Kristianstad Univ, Fac Hlth Sci, SE-29188 Kristianstad, Sweden.</t>
  </si>
  <si>
    <t xml:space="preserve">sara.henricsson@hkr.se</t>
  </si>
  <si>
    <t xml:space="preserve">Renvert, Stefan/AAM-2415-2020; Sanmartin Berglund, Johan/HGB-0471-2022</t>
  </si>
  <si>
    <t xml:space="preserve">Lundegren, Nina/0000-0002-5798-2418; Wallin Bengtsson, Viveca/0000-0002-8092-665X; Henricsson, Sara/0000-0003-3151-105X; Renvert, Stefan/0000-0003-0992-2362; Berglund, Johan/0000-0003-4312-2246; Andersson, Pia/0000-0003-0269-730X</t>
  </si>
  <si>
    <t xml:space="preserve">Ministry of Health and Social Affairs, Sweden; Municipalities; University Departments; Swedish National Study on Aging and Care; Kristianstad University, Sweden</t>
  </si>
  <si>
    <t xml:space="preserve">Ministry of Health and Social Affairs, Sweden, Municipalities, University Departments and the Swedish National Study on Aging and Care; Kristianstad University, Sweden</t>
  </si>
  <si>
    <t xml:space="preserve">1601-5029</t>
  </si>
  <si>
    <t xml:space="preserve">1601-5037</t>
  </si>
  <si>
    <t xml:space="preserve">INT J DENT HYG</t>
  </si>
  <si>
    <t xml:space="preserve">Int. J. Dent. Hyg.</t>
  </si>
  <si>
    <t xml:space="preserve">10.1111/idh.12711</t>
  </si>
  <si>
    <t xml:space="preserve">JUN 2023</t>
  </si>
  <si>
    <t xml:space="preserve">ZF9H0</t>
  </si>
  <si>
    <t xml:space="preserve">WOS:001020957000001</t>
  </si>
  <si>
    <t xml:space="preserve">Flyckt, J; Andersson, F; Westphal, F; Månsson, A; Lavesson, N</t>
  </si>
  <si>
    <t xml:space="preserve">Flyckt, Jonatan; Andersson, Filip; Westphal, Florian; Mansson, Andreas; Lavesson, Niklas</t>
  </si>
  <si>
    <t xml:space="preserve">Explaining rifle shooting factors through multi-sensor body tracking (vol 27, pg 535, 2023)</t>
  </si>
  <si>
    <t xml:space="preserve">INTELLIGENT DATA ANALYSIS</t>
  </si>
  <si>
    <t xml:space="preserve">[Flyckt, Jonatan; Andersson, Filip; Westphal, Florian] Jonkoping Univ, Dept Comp, Jonkoping, Sweden; [Mansson, Andreas] Saab AB, Training &amp; Simulat, Huskvarna, Sweden; [Lavesson, Niklas] Blekinge Inst Technol, Dept Software Engn, Karlskrona, Sweden</t>
  </si>
  <si>
    <t xml:space="preserve">Jonkoping University; Saab Group; Blekinge Institute Technology</t>
  </si>
  <si>
    <t xml:space="preserve">Lavesson, Niklas/B-3313-2013</t>
  </si>
  <si>
    <t xml:space="preserve">1088-467X</t>
  </si>
  <si>
    <t xml:space="preserve">1571-4128</t>
  </si>
  <si>
    <t xml:space="preserve">INTELL DATA ANAL</t>
  </si>
  <si>
    <t xml:space="preserve">Intell. Data Anal.</t>
  </si>
  <si>
    <t xml:space="preserve">10.3233/IDA-230950</t>
  </si>
  <si>
    <t xml:space="preserve">G2BL7</t>
  </si>
  <si>
    <t xml:space="preserve">WOS:000987274200017</t>
  </si>
  <si>
    <t xml:space="preserve">Piculell, E; Skar, L; Berglund, JS; Anderberg, P; Bohman, D</t>
  </si>
  <si>
    <t xml:space="preserve">Using a Mobile Application for Health Communication to Facilitate a Sense of Coherence: Experiences of Older Persons with Cognitive Impairment</t>
  </si>
  <si>
    <t xml:space="preserve">cognitive impairment; health communication; mobile application; older persons; sense of coherence</t>
  </si>
  <si>
    <t xml:space="preserve">ADULTS; TECHNOLOGY; INFORMATION; COMMUNITY; SATISFACTION; ACCEPTANCE</t>
  </si>
  <si>
    <t xml:space="preserve">The increasing use of technology by older persons and their preferences for living at home and being independent have created an avenue for self-care and care delivery using mobile technologies and health communication. This study aimed to explain how older persons with cognitive impairment experienced technology-based health communication through the use of a mobile application to facilitate a sense of coherence. Individual, semi-structured interviews with 16 participants in the SMART4MD project were conducted. The interviews were transcribed then coded deductively and thematically, creating themes that corresponded to the central components of the sense of coherence model: comprehensibility, manageability, and meaningfulness. The findings produced an overall theme: a challenging technology that can provide support, based on the three identified themes: making sense of mobile technologies, mastering mobile technologies, and the potential added value to use mobile technologies. The participants' experiences were influenced by their previous use and expectations for the application. Personal support, cognitive and physical ability, and different sources for information impacted use. The participants experienced that using the application created an ambiguity to be challenging and have possible benefits. The study suggests that the sense of coherence model may be used as a method to understand the use of technology by older populations.</t>
  </si>
  <si>
    <t xml:space="preserve">[Piculell, Erik; Skar, Lisa; Sanmartin Berglund, Johan; Anderberg, Peter; Bohman, Doris] Fac Engn, Blekinge Inst Technol, Dept Hlth, S-37179 Karlskrona, Sweden; [Anderberg, Peter] Skovde Univ, Dept Hlth Sci, S-54128 Skovde, Sweden; [Bohman, Doris] North west Univ, Optentia Res Unit, ZA-2531 Potchefstroom, South Africa</t>
  </si>
  <si>
    <t xml:space="preserve">Blekinge Institute Technology; University of Skovde; North West University - South Africa</t>
  </si>
  <si>
    <t xml:space="preserve">Piculell, E (corresponding author), Fac Engn, Blekinge Inst Technol, Dept Hlth, S-37179 Karlskrona, Sweden.</t>
  </si>
  <si>
    <t xml:space="preserve">erik.piculell@bth.se; lisa.skar@bth.se; johan.sanmartin.berglund@bth.se; peter.anderberg@bth.se; doris.bohman@bth.se</t>
  </si>
  <si>
    <t xml:space="preserve">Berglund, Johan/0000-0003-4312-2246; Skar, Lisa/0000-0002-5731-2799; Anderberg, Peter/0000-0001-9870-8477</t>
  </si>
  <si>
    <t xml:space="preserve">SMART4MD project (The European Union, Horizon) [643399]; Blekinge Institute of Technology; H2020 Societal Challenges Programme [643399] Funding Source: H2020 Societal Challenges Programme</t>
  </si>
  <si>
    <t xml:space="preserve">SMART4MD project (The European Union, Horizon); Blekinge Institute of Technology; H2020 Societal Challenges Programme(Horizon 2020European Union (EU)H2020 Societal Challenges Programme)</t>
  </si>
  <si>
    <t xml:space="preserve">This research was funded by the SMART4MD project (The European Union, Horizon 2020, grant number 643399). The first author (EP) was funded by Blekinge Institute of Technology and the SMART4MD project.</t>
  </si>
  <si>
    <t xml:space="preserve">10.3390/ijerph182111332</t>
  </si>
  <si>
    <t xml:space="preserve">XD0AZ</t>
  </si>
  <si>
    <t xml:space="preserve">WOS:000722372700001</t>
  </si>
  <si>
    <t xml:space="preserve">Gren, L; Svensson, RB</t>
  </si>
  <si>
    <t xml:space="preserve">Gren, Lucas; Svensson, Richard Berntsson</t>
  </si>
  <si>
    <t xml:space="preserve">Is it possible to disregard obsolete requirements? a family of experiments in software effort estimation</t>
  </si>
  <si>
    <t xml:space="preserve">Systematic error; Software effort estimation; Expert judgement; Family of experiments</t>
  </si>
  <si>
    <t xml:space="preserve">Expert judgement is a common method for software effort estimations in practice today. Estimators are often shown extra obsolete requirements together with the real ones to be implemented. Only one previous study has been conducted on if such practices bias the estimations. We conducted six experiments with both students and practitioners to study, and quantify, the effects of obsolete requirements on software estimation. By conducting a family of six experiments using both students and practitioners as research subjects (N=461), and by using a Bayesian Data Analysis approach, we investigated different aspects of this effect. We also argue for, and show an example of, how we by using a Bayesian approach can be more confident in our results and enable further studies with small sample sizes. We found that the presence of obsolete requirements triggered an overestimation in effort across all experiments. The effect, however, was smaller in a field setting compared to using students as subjects. Still, the over-estimations triggered by the obsolete requirements were systematically around twice the percentage of the included obsolete ones, but with a large 95% credible interval. The results have implications for both research and practice in that the found systematic error should be accounted for in both studies on software estimation and, maybe more importantly, in estimation practices to avoid over-estimations due to this systematic error. We partly explain this error to be stemming from the cognitive bias of anchoring-and-adjustment, i.e. the obsolete requirements anchored a much larger software. However, further studies are needed in order to accurately predict this effect.</t>
  </si>
  <si>
    <t xml:space="preserve">[Gren, Lucas] Blekinge Inst Technol, Karlskrona, Sweden; [Gren, Lucas] Univ Gothenburg, Volvo Cars &amp; Chalmers, Gothenburg, Sweden; [Gren, Lucas; Svensson, Richard Berntsson] Chalmers Univ Technol, Gothenburg, Sweden; [Gren, Lucas; Svensson, Richard Berntsson] Univ Gothenburg, Gothenburg, Sweden</t>
  </si>
  <si>
    <t xml:space="preserve">Blekinge Institute Technology; University of Gothenburg; Chalmers University of Technology; University of Gothenburg</t>
  </si>
  <si>
    <t xml:space="preserve">Gren, L (corresponding author), Blekinge Inst Technol, Karlskrona, Sweden.;Gren, L (corresponding author), Univ Gothenburg, Volvo Cars &amp; Chalmers, Gothenburg, Sweden.;Gren, L (corresponding author), Chalmers Univ Technol, Gothenburg, Sweden.;Gren, L (corresponding author), Univ Gothenburg, Gothenburg, Sweden.</t>
  </si>
  <si>
    <t xml:space="preserve">lucas.gren@bth.se; richard@cse.gu.se</t>
  </si>
  <si>
    <t xml:space="preserve">Gren, Lucas/0000-0001-5488-9894</t>
  </si>
  <si>
    <t xml:space="preserve">10.1007/s00766-021-00351-7</t>
  </si>
  <si>
    <t xml:space="preserve">TS5YJ</t>
  </si>
  <si>
    <t xml:space="preserve">WOS:000639369700001</t>
  </si>
  <si>
    <t xml:space="preserve">Coppola, R; Feldt, R; Nass, M; Alégroth, E</t>
  </si>
  <si>
    <t xml:space="preserve">Coppola, Riccardo; Feldt, Robert; Nass, Michel; Alegroth, Emil</t>
  </si>
  <si>
    <t xml:space="preserve">Ranking approaches for similarity-based web element location☆</t>
  </si>
  <si>
    <t xml:space="preserve">GUI testing; Test automation; Test case robustness; Web element locators; XPath locators</t>
  </si>
  <si>
    <t xml:space="preserve">Context: GUI-based tests for web applications are frequently broken by fragility, i.e. regression tests fail due to changing properties of the web elements. The most influential factor for fragility are the locators used in the scripts, i.e. the means of identifying the elements of the GUI. Objective: We extend a state-of-the-art Multi-Locator solution that considers 14 locators from the DOM model of a web application, and identifies overlapping nodes in the DOM tree (VON-Similo). We augment the approach with standard Machine Learning and Learning to Rank (LTR) approaches to aid the location of web elements. Method: We document an experiment with a ground truth of 1163 web element pairs, taken from different releases of 40 web applications, to compare the robustness of the algorithms to locator weight change, and the performance of LTR approaches in terms of MeanRank and PctAtN. Results: Using LTR algorithms, we obtain a maximum probability of finding the correct target at the first position of 88.4% (lowest 82.57%), and among the first three positions of 94.79% (lowest 91.86%). The best mean rank of the correct candidate is 1.57. Conclusion: The similarity-based approach proved to be highly dependable in the context of web application testing, where a low percentage of matching errors can still be accepted.</t>
  </si>
  <si>
    <t xml:space="preserve">[Coppola, Riccardo] Politecn Torino, Turin, Italy; [Feldt, Robert] Chalmers Univ Technol, Gothenburg, Sweden; [Nass, Michel; Alegroth, Emil] Blekinge Inst Technol, Karlskrona, Sweden</t>
  </si>
  <si>
    <t xml:space="preserve">Polytechnic University of Turin; Chalmers University of Technology; Blekinge Institute Technology</t>
  </si>
  <si>
    <t xml:space="preserve">riccardo.coppola@polito.it; robert.feldt@chalmers.se; michel.nass@bth.se; emil.alegroth@bth.se</t>
  </si>
  <si>
    <t xml:space="preserve">Feldt, Robert/0000-0002-5179-4205</t>
  </si>
  <si>
    <t xml:space="preserve">KKS foundation, Sweden; Swedish Scientific Council [2015-04913]</t>
  </si>
  <si>
    <t xml:space="preserve">KKS foundation, Sweden; Swedish Scientific Council</t>
  </si>
  <si>
    <t xml:space="preserve">This work was supported by the KKS foundation, Sweden through the S.E.R.T. Research Profile project at Blekinge Institute of Technology. Robert Feldt has also been supported by the Swedish Scientific Council (No. 2015-04913, 'Basing Software Testing on Information Theory') .</t>
  </si>
  <si>
    <t xml:space="preserve">10.1016/j.jss.2024.112286</t>
  </si>
  <si>
    <t xml:space="preserve">P1K0K</t>
  </si>
  <si>
    <t xml:space="preserve">WOS:001375573600001</t>
  </si>
  <si>
    <t xml:space="preserve">Steidl, M; Felderer, M; Ramler, R</t>
  </si>
  <si>
    <t xml:space="preserve">Steidl, Monika; Felderer, Michael; Ramler, Rudolf</t>
  </si>
  <si>
    <t xml:space="preserve">The pipeline for the continuous development of artificial intelligence models-Current state of research and practice</t>
  </si>
  <si>
    <t xml:space="preserve">Continuous development of AI; Continuous (end-to-end) lifecycle pipeline for AI; MLOps; CI; CD for AI; DevOps for AI; Multivocal literature review</t>
  </si>
  <si>
    <t xml:space="preserve">LIFE-CYCLE; MACHINE; CHALLENGES</t>
  </si>
  <si>
    <t xml:space="preserve">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stages.(c) 2023 The Authors. Published by Elsevier Inc. This is an open access article under the CC BY license (http://creativecommons.org/licenses/by/4.0/).</t>
  </si>
  <si>
    <t xml:space="preserve">[Steidl, Monika; Felderer, Michael] Univ Innsbruck, A-6020 Innsbruck, Austria; [Felderer, Michael] Blekinge Inst Technol, S-37179 Karlkskrona, Sweden; [Ramler, Rudolf] Software Competence Ctr Hagenberg GmbH SCCH, A-4232 Hagenberg, Austria</t>
  </si>
  <si>
    <t xml:space="preserve">University of Innsbruck; Blekinge Institute Technology; Softwarepark Hagenberg</t>
  </si>
  <si>
    <t xml:space="preserve">Steidl, M (corresponding author), Univ Innsbruck, A-6020 Innsbruck, Austria.</t>
  </si>
  <si>
    <t xml:space="preserve">monika.steidl@uibk.ac.at; michael.felderer@uibk.ac.at; Rudolf.Ramler@scch.at</t>
  </si>
  <si>
    <t xml:space="preserve">Felderer, Michael/0000-0003-3818-4442; Steidl, Monika/0000-0002-3410-7637</t>
  </si>
  <si>
    <t xml:space="preserve">Austrian Research Promotion Agency (FFG) [888127]; COMET competence center SCCH/INTEGRATE, Austria [865891, 892418]</t>
  </si>
  <si>
    <t xml:space="preserve">Austrian Research Promotion Agency (FFG); COMET competence center SCCH/INTEGRATE, Austria</t>
  </si>
  <si>
    <t xml:space="preserve">This work was supported by the Austrian Research Promotion Agency (FFG) in the frame of the project ConTest [888127] and the COMET competence center SCCH/INTEGRATE, Austria [865891, 892418] . We also thank all interview participants for their valuable input and feedback.</t>
  </si>
  <si>
    <t xml:space="preserve">10.1016/j.jss.2023.111615</t>
  </si>
  <si>
    <t xml:space="preserve">D3TJ6</t>
  </si>
  <si>
    <t xml:space="preserve">WOS:000967982100001</t>
  </si>
  <si>
    <t xml:space="preserve">Barlo, A; Sigvant, M; Kesti, V; Islam, MS; Pham, QT; Pilthammar, J</t>
  </si>
  <si>
    <t xml:space="preserve">Barlo, A.; Sigvant, M.; Kesti, V.; Islam, M. S.; Pham, Q. T.; Pilthammar, J.</t>
  </si>
  <si>
    <t xml:space="preserve">Determination of Edge Fracture Limit Strain for AHSS in the ISO-16630 Hole Expansion Test</t>
  </si>
  <si>
    <t xml:space="preserve">With the increased demand for application of sustainable materials and lightweight structures, the sheet metal forming industry is forced to push existing materials to the limits. One area where this is particular difficult is when it comes to assessing the formability limit for sheet edges. For decades, the ISO-16630 Hole Expansion Test (HET) has been the industry standard for expressing the edge formability of sheet metals through the Hole Expansion Ratio (HER). However, in recent years, this test has been criticized for its high scatter in results for repeated experiments. This scatter has been suspected to be caused by the operator-reliant post-processing of the test, or variations in the cutting conditions for the different test specimens. This study investigates the impact of shifting the evaluation point of the test from the through-thickness crack to the onset of surface failure on the reported scatter, as well as performs inverse modeling of the Hole Expansion Test to obtain an edge limit strain value.</t>
  </si>
  <si>
    <t xml:space="preserve">[Barlo, A.; Sigvant, M.; Islam, M. S.; Pham, Q. T.; Pilthammar, J.] Blekinge Inst Technol, Dept Mech Engn, Karlskrona, Sweden; [Sigvant, M.; Pilthammar, J.] Volvo Cars, Dept 81110 Strategy Dev, Olofstrom, Sweden; [Kesti, V.] SSAB Europe Oy, Raahe, Finland</t>
  </si>
  <si>
    <t xml:space="preserve">Blekinge Institute Technology; Volvo; SSAB</t>
  </si>
  <si>
    <t xml:space="preserve">Islam, Shafiqul/AAA-7809-2021; Kesti, Vili/JNE-7725-2023; Sigvant, Mats/JJG-2577-2023; Pham, Tuan/AAH-8010-2019</t>
  </si>
  <si>
    <t xml:space="preserve">Pham, Tuan/0000-0002-8204-4802; Islam, Md Shafiqul/0000-0002-1162-7023; Kesti, Vili/0009-0009-9525-4196</t>
  </si>
  <si>
    <t xml:space="preserve">Blekinge Institute of Technology - VINNOVA in the Sustainable Production sub-program within Vehicle Strategic Research and Innovation (FFI) program(Vinnova); Vinnova(Vinnova)</t>
  </si>
  <si>
    <t xml:space="preserve">10.1088/1757-899X/1284/1/012027</t>
  </si>
  <si>
    <t xml:space="preserve">WOS:001017824300027</t>
  </si>
  <si>
    <t xml:space="preserve">Al-Saedi, AA; Boeva, V; Casalicchio, E</t>
  </si>
  <si>
    <t xml:space="preserve">Al-Saedi, Ahmed A.; Boeva, Veselka; Casalicchio, Emiliano</t>
  </si>
  <si>
    <t xml:space="preserve">Reducing Communication Overhead of Federated Learning through Clustering Analysis</t>
  </si>
  <si>
    <t xml:space="preserve">26TH IEEE SYMPOSIUM ON COMPUTERS AND COMMUNICATIONS (IEEE ISCC 2021)</t>
  </si>
  <si>
    <t xml:space="preserve">26th IEEE Symposium on Computers and Communications (IEEE ISCC)</t>
  </si>
  <si>
    <t xml:space="preserve">SEP 05-08, 2021</t>
  </si>
  <si>
    <t xml:space="preserve">Athens, GREECE</t>
  </si>
  <si>
    <t xml:space="preserve">IEEE,IEEE Comp Soc Tech Comm Comp Commun,IEEE Commun Soc,Greek Comp Soc,Univ Pireaus, Dept Informat,Univ Piraeus Res Ctr</t>
  </si>
  <si>
    <t xml:space="preserve">Federated Learning; Communication Costs; Clustering Analysis; Human Activity Recognition</t>
  </si>
  <si>
    <t xml:space="preserve">Training of machine learning models in a Datacenter, with data originated from edge nodes, incurs high communication overheads and violates a user's privacy. These challenges may be tackled by employing Federated Learning (FL) machine learning technique to train a model across multiple decentralized edge devices (workers) using local data. In this paper, we explore an approach that identifies the most representative updates made by workers and those are only uploaded to the central server for reducing network communication costs. Based on this idea, we propose a FL model that can mitigate communication overheads via clustering analysis of the worker local updates. The Cluster Analysis-based Federated Learning (CA-FL) model is studied and evaluated in human activity recognition (HAR) datasets. Our evaluation results show the robustness of CA-FL in comparison with traditional FL in terms of accuracy and communication costs on both IID and non-IID cases.</t>
  </si>
  <si>
    <t xml:space="preserve">[Al-Saedi, Ahmed A.; Boeva, Veselka] Blekinge Inst Technol, Dept Comp Sci, Karlskrona, Sweden; [Casalicchio, Emiliano] Sapienza Univ Rome, Dept Comp Sci, Rome, Italy; [Casalicchio, Emiliano] Blekinge Inst Technol, Karlskrona, Sweden</t>
  </si>
  <si>
    <t xml:space="preserve">Blekinge Institute Technology; Sapienza University Rome; Blekinge Institute Technology</t>
  </si>
  <si>
    <t xml:space="preserve">Al-Saedi, AA (corresponding author), Blekinge Inst Technol, Dept Comp Sci, Karlskrona, Sweden.</t>
  </si>
  <si>
    <t xml:space="preserve">ahmed.a.al-saedi@bth.se; veselka.boeva@bth.se; emiliano.casalicchio@uniroma1.it</t>
  </si>
  <si>
    <t xml:space="preserve">Al-Saedi, Ahmed/IAQ-4965-2023; Boeva, Veselka/IAP-9371-2023; Casalicchio, Emiliano/JWQ-0758-2024</t>
  </si>
  <si>
    <t xml:space="preserve">Casalicchio, Emiliano/0000-0002-3118-5058; Al-Saedi, Ahmed Abbas Mohsin/0000-0001-6061-0861</t>
  </si>
  <si>
    <t xml:space="preserve">Iraq Ministry of Higher Education and Scientific Research PhD Scholarship</t>
  </si>
  <si>
    <t xml:space="preserve">The first author is supported by an Iraq Ministry of Higher Education and Scientific Research PhD Scholarship.</t>
  </si>
  <si>
    <t xml:space="preserve">978-1-6654-2744-9</t>
  </si>
  <si>
    <t xml:space="preserve">10.1109/ISCC53001.2021.9631391</t>
  </si>
  <si>
    <t xml:space="preserve">Computer Science, Information Systems; Computer Science, Theory &amp; Methods; Engineering, Electrical &amp; Electronic; Telecommunications</t>
  </si>
  <si>
    <t xml:space="preserve">BU7EJ</t>
  </si>
  <si>
    <t xml:space="preserve">WOS:000936276000023</t>
  </si>
  <si>
    <t xml:space="preserve">Badampudi, D; Fotrousi, F; Cartaxo, B; Usman, M</t>
  </si>
  <si>
    <t xml:space="preserve">Badampudi, Deepika; Fotrousi, Farnaz; Cartaxo, Bruno; Usman, Muhammad</t>
  </si>
  <si>
    <t xml:space="preserve">Reporting Consent, Anonymity and Confidentiality Procedures Adopted in Empirical Studies Using Human Participants</t>
  </si>
  <si>
    <t xml:space="preserve">research ethics; informed consent; confidentiality; anonymity</t>
  </si>
  <si>
    <t xml:space="preserve">SOFTWARE ENGINEERING EXPERIMENTS; ETHICAL ISSUES</t>
  </si>
  <si>
    <t xml:space="preserve">Background: Empirical studies involving human participants need to follow procedures to avoid causing harm to the subjects. However, it is not always clear how researchers should report these procedures. Aim: This study investigates how researchers report ethical issues in the software engineering journal publications, particularly informed consent, confidentiality, and anonymity. Method: We conducted a literature review to understand the reporting of ethical issues in software engineering journals. In addition, in a workshop, we discussed the importance of reporting the different ethical issues. Results: The results indicate that 49 out of 95 studies reported some ethical issues. Only six studies discussed all three ethical issues. The subjects were mainly informed about the study purpose and procedure. There are limited discussions on how the subjects were informed about the risks involved in the study. Studies reported on how authors ensured confidentiality have also discussed anonymity in most cases. The results of the workshop discussion indicate that reporting ethical issues is important to improve the reliability of the research results. We propose a checklist based on the literature review, which we validated through a workshop. Conclusion: The checklist proposed in this paper is a step towards enhancing ethical reporting in software engineering research.</t>
  </si>
  <si>
    <t xml:space="preserve">[Badampudi, Deepika; Usman, Muhammad] Blekinge Inst Technol, Karlskrona, Sweden; [Fotrousi, Farnaz] Univ Hamburg, Hamburg, Germany; [Cartaxo, Bruno] Fed Inst Pernambuco, Recife, PE, Brazil</t>
  </si>
  <si>
    <t xml:space="preserve">Blekinge Institute Technology; University of Hamburg; Instituto Federal de Pernambuco (IFPE)</t>
  </si>
  <si>
    <t xml:space="preserve">Badampudi, D (corresponding author), Blekinge Inst Technol, Karlskrona, Sweden.</t>
  </si>
  <si>
    <t xml:space="preserve">deepika.badampudi@bth.se; farnaz.fotrousi@uni-hamburg.de; email@brunocartaxo.com; muhammad.usman@bth.se</t>
  </si>
  <si>
    <t xml:space="preserve">Fotrousi, Farnaz/AAA-9611-2020</t>
  </si>
  <si>
    <t xml:space="preserve">Cartaxo, Bruno/0000-0002-9035-654X</t>
  </si>
  <si>
    <t xml:space="preserve">Knowledge Foundation through the OSIR project [20190081]</t>
  </si>
  <si>
    <t xml:space="preserve">Knowledge Foundation through the OSIR project</t>
  </si>
  <si>
    <t xml:space="preserve">We would like to acknowledge that this work was supported by the Knowledge Foundation through the OSIR project (reference number 20190081) at Blekinge Institute of Technology, Sweden.</t>
  </si>
  <si>
    <t xml:space="preserve">10.37190/e-Inf220109</t>
  </si>
  <si>
    <t xml:space="preserve">2K8JB</t>
  </si>
  <si>
    <t xml:space="preserve">WOS:000816574300001</t>
  </si>
  <si>
    <t xml:space="preserve">Xiao, FR; Kang, YC; Wang, YL; Kao-Walter, S</t>
  </si>
  <si>
    <t xml:space="preserve">Xiao, Furen; Kang, Yuchi; Wang, Yuanlun; Kao-Walter, Sharon</t>
  </si>
  <si>
    <t xml:space="preserve">Numerical analysis of brush seal hysteresis based on orthogonal test method</t>
  </si>
  <si>
    <t xml:space="preserve">INTERNATIONAL JOURNAL OF TURBO &amp; JET-ENGINES</t>
  </si>
  <si>
    <t xml:space="preserve">brush seal; hysteresis; orthogonal test method; structure parameters; operating parameters</t>
  </si>
  <si>
    <t xml:space="preserve">FLUID-DYNAMICS</t>
  </si>
  <si>
    <t xml:space="preserve">By the finite element analysis software ABAQUS, utilizing General Contact and Contact damping algorithm, the brush seal hysteresis numerical model with pressure differential considered was established. The hysteresis was quantified by the hysteresis energy, and the hysteresis energy and maximum stress are obtained by numerical calculations. An orthogonal test was conducted to study the effects of bristle diameter, bristle cant angle, fence height, bristle length, upstream and downstream differential pressure, and rotor radial displacement on the hysteresis and maximum stress of the brush seal. Results show that the primary and secondary orders of parameters affecting hysteresis are: rotor radial displacement, bristle diameter, upstream and down-stream differential pressure, bristle cant angle, bristle length, and fence height. The primary and secondary orders of parameters affecting maximum stress are: upstream and downstream differential pressure, fence height, bristle cant angle, bristle diameter, bristle length, and rotor radial displacement. Finally, based on the numerical results, a fitted correlation was developed. Comprehensive effects of the six parameters on both performances were analyzed, and structural design optimization methods focusing on single performance and comprehensive performance were proposed, providing references for the design of brush seals in practical engineering applications.</t>
  </si>
  <si>
    <t xml:space="preserve">[Xiao, Furen; Kang, Yuchi] Kunming Univ Sci &amp; Technol, Fac Mech &amp; Elect Engn, Kunming 650500, Peoples R China; [Kang, Yuchi; Wang, Yuanlun] Natl &amp; Local Joint Engn Res Ctr Large scale Precis, Kunming 650051, Peoples R China; [Wang, Yuanlun] Genertec Kunming Machine Tool, Kunming 650051, Peoples R China; [Kao-Walter, Sharon] Blekinge Inst Technol, Dept Math &amp; Nat Sci, S-37179 Karlskrona, Sweden</t>
  </si>
  <si>
    <t xml:space="preserve">Kang, YC (corresponding author), Kunming Univ Sci &amp; Technol, Fac Mech &amp; Elect Engn, Kunming 650500, Peoples R China.;Kang, YC (corresponding author), Natl &amp; Local Joint Engn Res Ctr Large scale Precis, Kunming 650051, Peoples R China.</t>
  </si>
  <si>
    <t xml:space="preserve">yuchi.kang@kust.edu.cn</t>
  </si>
  <si>
    <t xml:space="preserve">Xiao, Furen/AAO-5522-2020</t>
  </si>
  <si>
    <t xml:space="preserve">Kunming University of Science and Technology [KKZ3202301042]</t>
  </si>
  <si>
    <t xml:space="preserve">Kunming University of Science and Technology</t>
  </si>
  <si>
    <t xml:space="preserve">Kunming University of Science and Technology (the granted No. KKZ3202301042)</t>
  </si>
  <si>
    <t xml:space="preserve">0334-0082</t>
  </si>
  <si>
    <t xml:space="preserve">2191-0332</t>
  </si>
  <si>
    <t xml:space="preserve">INT J TURBO JET ENG</t>
  </si>
  <si>
    <t xml:space="preserve">Int. J. Turbo. Jet-Engines</t>
  </si>
  <si>
    <t xml:space="preserve">2024 NOV 22</t>
  </si>
  <si>
    <t xml:space="preserve">10.1515/tjj-2024-0078</t>
  </si>
  <si>
    <t xml:space="preserve">Engineering, Aerospace</t>
  </si>
  <si>
    <t xml:space="preserve">M8P7I</t>
  </si>
  <si>
    <t xml:space="preserve">WOS:001360102600001</t>
  </si>
  <si>
    <t xml:space="preserve">Edison, H; Melegati, J; Bjarnason, E</t>
  </si>
  <si>
    <t xml:space="preserve">Hyrynsalmi, S; Munch, J; Smolander, K; Melegati, J</t>
  </si>
  <si>
    <t xml:space="preserve">Edison, Henry; Melegati, Jorge; Bjarnason, Elizabeth</t>
  </si>
  <si>
    <t xml:space="preserve">Experimentation in Early-Stage Video Game Startups: Practices and Challenges</t>
  </si>
  <si>
    <t xml:space="preserve">SOFTWARE BUSINESS, ICSOB 2023</t>
  </si>
  <si>
    <t xml:space="preserve">14th International Conference on Software Business (ICSOB)</t>
  </si>
  <si>
    <t xml:space="preserve">NOV 27-29, 2023</t>
  </si>
  <si>
    <t xml:space="preserve">Lappeenranta Lahti Univ Technol, Lahti, FINLAND</t>
  </si>
  <si>
    <t xml:space="preserve">Lappeenranta Lahti Univ Technol</t>
  </si>
  <si>
    <t xml:space="preserve">experimentation; video game startups; challenges; gaming startups</t>
  </si>
  <si>
    <t xml:space="preserve">Experimentation has been considered critical for successful software product and business development, including in video game startups. Video game startups need wow qualities that distinguish them from the competition. Thus, they need to continuously experiment to find these qualities before running out of time and resources. In this study, we aimed to explore how these companies perform experimentation. We interviewed four co-founders of video game startups. Our findings identify six practices, or scenarios, through which video game startups conduct experiments and challenges associated with these. The initial results could inform these startups about the possibilities and challenges and guide future research.</t>
  </si>
  <si>
    <t xml:space="preserve">[Edison, Henry] Blekinge Inst Technol, Karlskrona, Sweden; [Melegati, Jorge] Free Univ Bozen Bolzano, Bolzano, Italy; [Bjarnason, Elizabeth] Lund Univ, Lund, Sweden</t>
  </si>
  <si>
    <t xml:space="preserve">Blekinge Institute Technology; Free University of Bozen-Bolzano; Lund University</t>
  </si>
  <si>
    <t xml:space="preserve">Edison, H (corresponding author), Blekinge Inst Technol, Karlskrona, Sweden.</t>
  </si>
  <si>
    <t xml:space="preserve">henry.edison@bth.se</t>
  </si>
  <si>
    <t xml:space="preserve">Edison, Henry/AAA-9989-2020; Melegati, Jorge/AAG-3925-2021</t>
  </si>
  <si>
    <t xml:space="preserve">Edison, Henry/0000-0002-9494-8059; Bjarnason, Elizabeth/0000-0001-9070-0008; Melegati, Jorge/0000-0003-1303-4173</t>
  </si>
  <si>
    <t xml:space="preserve">978-3-031-53226-9; 978-3-031-53227-6</t>
  </si>
  <si>
    <t xml:space="preserve">10.1007/978-3-031-53227-6_25</t>
  </si>
  <si>
    <t xml:space="preserve">Business; Computer Science, Artificial Intelligence; Computer Science, Software Engineering</t>
  </si>
  <si>
    <t xml:space="preserve">BX2LY</t>
  </si>
  <si>
    <t xml:space="preserve">WOS:001264471100025</t>
  </si>
  <si>
    <t xml:space="preserve">Wohlin, C; Mendes, E; Felizardo, KR; Kalinowski, M</t>
  </si>
  <si>
    <t xml:space="preserve">Wohlin, Claes; Mendes, Emilia; Felizardo, Katia Romero; Kalinowski, Marcos</t>
  </si>
  <si>
    <t xml:space="preserve">Guidelines for the search strategy to update systematic literature reviews in software engineering</t>
  </si>
  <si>
    <t xml:space="preserve">Systematic literature review update; Systematic literature reviews; Software engineering; Snowballing; Searching for evidence</t>
  </si>
  <si>
    <t xml:space="preserve">EMPIRICAL-EVIDENCE; COMPUTER GAMES; CROSS-COMPANY; MODELS; ECOSYSTEMS</t>
  </si>
  <si>
    <t xml:space="preserve">Context: Systematic Literature Reviews (SLRs) have been adopted within Software Engineering (SE) for more than a decade to provide meaningful summaries of evidence on several topics. Many of these SLRs are now potentially not fully up-to-date, and there are no standard proposals on how to update SLRs in SE. Objective: The objective of this paper is to propose guidelines on how to best search for evidence when updating SLRs in SE, and to evaluate these guidelines using an SLR that was not employed during the formulation of the guidelines. Method: To propose our guidelines, we compare and discuss outcomes from applying different search strategies to identify primary studies in a published SLR, an SLR update, and two replications in the area of effort estimation. These guidelines are then evaluated using an SLR in the area of software ecosystems, its update and a replication. Results: The use of a single iteration forward snowballing with Google Scholar, and employing as a seed set the original SLR and its primary studies is the most cost-effective way to search for new evidence when updating SLRs. Furthermore, the importance of having more than one researcher involved in the selection of papers when applying the inclusion and exclusion criteria is highlighted through the results. Conclusions: Our proposed guidelines formulated based upon an effort estimation SLR, its update and two replications, were supported when using an SLR in the area of software ecosystems, its update and a replication. Therefore, we put forward that our guidelines ought to be adopted for updating SLRs in SE.</t>
  </si>
  <si>
    <t xml:space="preserve">[Wohlin, Claes] Blekinge Inst Technol, Dept Software Engn, Karlskrona, Sweden; [Felizardo, Katia Romero] Fed Technol Univ Parana, Dept Comp, Cornelio Procopio, Brazil; [Mendes, Emilia] Blekinge Inst Technol, Dept Comp Sci, Karlskrona, Sweden; [Kalinowski, Marcos] Pontifical Catholic Univ Rio de Janeiro, Dept Informat, Rio De Janeiro, Brazil</t>
  </si>
  <si>
    <t xml:space="preserve">Blekinge Institute Technology; Universidade Tecnologica Federal do Parana; Blekinge Institute Technology; Pontificia Universidade Catolica do Rio de Janeiro</t>
  </si>
  <si>
    <t xml:space="preserve">Wohlin, C (corresponding author), Blekinge Inst Technol, Dept Software Engn, Karlskrona, Sweden.</t>
  </si>
  <si>
    <t xml:space="preserve">claes.wohlin@bth.se; emilia.mendes@bth.se; katiascannavino@utfpr.edu.br; kalinowski@inf.puc-rio.br</t>
  </si>
  <si>
    <t xml:space="preserve">Mendes, Maria/B-4207-2015</t>
  </si>
  <si>
    <t xml:space="preserve">Brazilian funding agency CNPq [401033/2016-3]</t>
  </si>
  <si>
    <t xml:space="preserve">Brazilian funding agency CNPq(Conselho Nacional de Desenvolvimento Cientifico e Tecnologico (CNPQ))</t>
  </si>
  <si>
    <t xml:space="preserve">Dr. Katia Romero Felizardo is supported by a research grant from the Brazilian funding agency CNPq with reference number: 401033/2016-3. Furthermore, we would like to thank the anonymous reviewers and the guest editors for providing valuable feedback that helped improve the paper.</t>
  </si>
  <si>
    <t xml:space="preserve">10.1016/j.infsof.2020.106366</t>
  </si>
  <si>
    <t xml:space="preserve">NR0EE</t>
  </si>
  <si>
    <t xml:space="preserve">WOS:000571236700010</t>
  </si>
  <si>
    <t xml:space="preserve">Quoreshi, AMMS; Uddin, R; Khan, NAM</t>
  </si>
  <si>
    <t xml:space="preserve">Quoreshi, A. M. M. Shahiduzzaman; Uddin, Reaz; Khan, Naushad Ali Mamode</t>
  </si>
  <si>
    <t xml:space="preserve">A Review of INMA Integer-valued Model Class, Application and Further Development</t>
  </si>
  <si>
    <t xml:space="preserve">FILOMAT</t>
  </si>
  <si>
    <t xml:space="preserve">Article; Proceedings Paper</t>
  </si>
  <si>
    <t xml:space="preserve">2nd International Conference on Mathematics, Statistics and Information Technology (ICMSIT)</t>
  </si>
  <si>
    <t xml:space="preserve">DEC 18-20, 2018</t>
  </si>
  <si>
    <t xml:space="preserve">Tanta Univ, Tanta, EGYPT</t>
  </si>
  <si>
    <t xml:space="preserve">Tanta Univ, Fac Sci, Math Dept</t>
  </si>
  <si>
    <t xml:space="preserve">Tanta Univ</t>
  </si>
  <si>
    <t xml:space="preserve">INMA; Integer-valued; count data; Estimation</t>
  </si>
  <si>
    <t xml:space="preserve">TIME-SERIES MODELS; MIXTURES</t>
  </si>
  <si>
    <t xml:space="preserve">In this paper, we review INMA time series of integer-valued model class, and discuss its further development. These models have been developed for analyzing high frequency financial count data. A vivid description of high frequency data in the context of market micro structure is given. The most distinguishing feature that makes the INMA model class different from its continuous variable MA counterpart is that multiplication of variables with real valued parameters no longer remains a viable operation when the result is to be integer-valued. In the estimation of these models, no underlying distributions are assumed. Hence, the discussion of estimations is limited to CLS, FGLS and GMM. A further development of estimation procedures for these models have also been reviewed. We suggest that the models could be estimated with Quasi Maximum Likelihood and propose in addition a Generalized Method of Moment of Quasi Maximum Likelihood. We have also discussed how INMA model class can be extended with different underlying distributions for innovations.</t>
  </si>
  <si>
    <t xml:space="preserve">[Quoreshi, A. M. M. Shahiduzzaman; Uddin, Reaz] Blekinge Inst Technol, Dept Ind Econ, S-37179 Karlskrona, Sweden; [Khan, Naushad Ali Mamode] Univ Mauritius, Dept Econ &amp; Stat, Moka, Mauritius</t>
  </si>
  <si>
    <t xml:space="preserve">Blekinge Institute Technology; University of Mauritius</t>
  </si>
  <si>
    <t xml:space="preserve">Quoreshi, AMMS (corresponding author), Blekinge Inst Technol, Dept Ind Econ, S-37179 Karlskrona, Sweden.</t>
  </si>
  <si>
    <t xml:space="preserve">shahiduzzaman.quoreshi@bth.se; mreaz.uddin@bth.se; n.mamodekhan@uom.ac.mu</t>
  </si>
  <si>
    <t xml:space="preserve">UNIV NIS, FAC SCI MATH</t>
  </si>
  <si>
    <t xml:space="preserve">NIS</t>
  </si>
  <si>
    <t xml:space="preserve">PO BOX 224, VISEGRADSKA 33, NIS, 18000, SERBIA MONTENEG</t>
  </si>
  <si>
    <t xml:space="preserve">0354-5180</t>
  </si>
  <si>
    <t xml:space="preserve">Filomat</t>
  </si>
  <si>
    <t xml:space="preserve">10.2298/FIL2001143Q</t>
  </si>
  <si>
    <t xml:space="preserve">Science Citation Index Expanded (SCI-EXPANDED); Conference Proceedings Citation Index - Science (CPCI-S)</t>
  </si>
  <si>
    <t xml:space="preserve">OP0GD</t>
  </si>
  <si>
    <t xml:space="preserve">WOS:000587752800012</t>
  </si>
  <si>
    <t xml:space="preserve">Arora, C; Aydemir, FB; Frattini, J</t>
  </si>
  <si>
    <t xml:space="preserve">Arora, Chetan; Aydemir, Fatma Basak; Frattini, Julian</t>
  </si>
  <si>
    <t xml:space="preserve">AIRE 2024: 11th International Workshop on Artificial Intelligence and Requirements Engineering</t>
  </si>
  <si>
    <t xml:space="preserve">Artificial intelligence (AI) and Requirements Engineering (RE) intersect in innovative and transformative ways, reshaping how we approach technology development today [1]. On the one hand, AI techniques, e.g., NLP, enhance RE processes by automating the extraction and analysis of requirements, increasing quality, accuracy and efficiency in translating human needs into technical specifications [2]. On the other hand, RE plays a crucial role in developing AI systems themselves; it ensures that AI technologies are designed with clear, well-defined requirements that align with ethical standards and practical user needs [1]. This symbiotic relationship not only advances the capabilities of AI but also ensures that the developed systems are human-centric, reliable and trustworthy [3]. AIRE workshop aims to explore this symbiotic relation to identify complex RE problems that could benefit from applying AI techniques and addressing RE for AI challenges. The 2024 workshop edition received 21 submissions, with each submission independently reviewed by at least three program committee members. The final program consisted of nine papers (seven regular research papers and two short papers) and one lightning talk. The workshop took place on June 25th, 2024. The workshop featured a keynote by Jan-Philipp Steghofer with the title The proof is in the pudding-Real-world use cases for GenAI for Requirements Engineers., and a hands-on session on generative AI in RE. We are very grateful to the Program Committee members and authors of the submissions for their hard work and dedication in putting together this program. We thank you all for your participation in AIRE'24.</t>
  </si>
  <si>
    <t xml:space="preserve">[Arora, Chetan] Monash Univ, Melbourne, Vic, Australia; [Aydemir, Fatma Basak] Univ Utrecht, Utrecht, Netherlands; [Frattini, Julian] Blekinge Inst Technol, Karlskrona, Sweden</t>
  </si>
  <si>
    <t xml:space="preserve">Monash University; Utrecht University; Blekinge Institute Technology</t>
  </si>
  <si>
    <t xml:space="preserve">Arora, C (corresponding author), Monash Univ, Melbourne, Vic, Australia.</t>
  </si>
  <si>
    <t xml:space="preserve">chetan.arora@monash.edu; f.b.aydemir@uu.nl; julian.frattini@bth.se</t>
  </si>
  <si>
    <t xml:space="preserve">Aydemir, Fatma Basak/AAF-3242-2020</t>
  </si>
  <si>
    <t xml:space="preserve">Aydemir, Fatma Basak/0000-0003-3833-3997</t>
  </si>
  <si>
    <t xml:space="preserve">10.1109/REW61692.2024.00005</t>
  </si>
  <si>
    <t xml:space="preserve">WOS:001304537500001</t>
  </si>
  <si>
    <t xml:space="preserve">Elahidoost, P; Unterkalmsteiner, M; Fucci, D; Liljenberg, P; Fischbach, J</t>
  </si>
  <si>
    <t xml:space="preserve">Elahidoost, Parisa; Unterkalmsteiner, Michael; Fucci, Davide; Liljenberg, Peter; Fischbach, Jannik</t>
  </si>
  <si>
    <t xml:space="preserve">Designing NLP-Based Solutions for Requirements Variability Management: Experiences from a Design Science Study at Visma</t>
  </si>
  <si>
    <t xml:space="preserve">Industry-academia collaboration; Requirements variability management; Lessons learned</t>
  </si>
  <si>
    <t xml:space="preserve">Context andmotivation: In this industry-academia collaborative project, a team of researchers, supported by a software architect, business analyst, and test engineer explored the challenges of requirement variability in a large business software development company. Question/ problem: Following the design science paradigm, we studied the problem of requirements analysis and tracing in the context of contractual documents, with a specific focus on managing requirements variability. This paper reports on the lessons learned from that experience, highlighting the strategies and insights gained in the realm of requirements variability management. Principal ideas/results: This experience report outlines the insights gained from applying design science in requirements engineering research in industry. We show and evaluate various strategies to tackle the issue of requirement variability. Contribution: We report on the iterations and how the solution development evolved in parallel with problem understanding. From this process, we derive five key lessons learned to highlight the effectiveness of design science in exploring solutions for requirement variability in contract-based environments.</t>
  </si>
  <si>
    <t xml:space="preserve">[Elahidoost, Parisa; Unterkalmsteiner, Michael; Fucci, Davide] Blekinge Inst Technol, SERL, Valhallavagen 1, S-37179 Karlskrona, Sweden; [Elahidoost, Parisa; Fischbach, Jannik] Fortiss GmbH, Guerickestr 25, D-80805 Munich, Germany; [Liljenberg, Peter] Visma, Sambandsvagen 5, S-35236 Vaxjo, Sweden; [Fischbach, Jannik] Netlight Consulting GmbH, Prannerstr 4, D-80333 Munich, Germany</t>
  </si>
  <si>
    <t xml:space="preserve">Elahidoost, P (corresponding author), Blekinge Inst Technol, SERL, Valhallavagen 1, S-37179 Karlskrona, Sweden.;Elahidoost, P (corresponding author), Fortiss GmbH, Guerickestr 25, D-80805 Munich, Germany.</t>
  </si>
  <si>
    <t xml:space="preserve">Fucci, Davide/0000-0002-0679-4361; Unterkalmsteiner, Michael/0000-0003-4118-0952; Elahidoost, Parisa/0000-0003-4239-7838</t>
  </si>
  <si>
    <t xml:space="preserve">We would like to thank all employees at Visma who supported our study. This work was further supported by the KKS foundation through the S.E.R.T. Research Profile project at Blekinge Institute of Technology.</t>
  </si>
  <si>
    <t xml:space="preserve">10.1007/978-3-031-57327-9_12</t>
  </si>
  <si>
    <t xml:space="preserve">WOS:001209314200012</t>
  </si>
  <si>
    <t xml:space="preserve">Nord, C; Byerley, A</t>
  </si>
  <si>
    <t xml:space="preserve">Nord, Catharina; Byerley, Andrew</t>
  </si>
  <si>
    <t xml:space="preserve">Translocal Optimisation: Assembling Rural and Urban Spaces for Later Life in Urban Namibia and Uganda</t>
  </si>
  <si>
    <t xml:space="preserve">JOURNAL OF SOUTHERN AFRICAN STUDIES</t>
  </si>
  <si>
    <t xml:space="preserve">potentiality; assemblage; housing; later life; urbanisation; migration; rural-urban connection</t>
  </si>
  <si>
    <t xml:space="preserve">MIGRATION; HOME; AFRICA; CITY; APARTHEID; MIGRANTS</t>
  </si>
  <si>
    <t xml:space="preserve">It is often assumed that sub-Saharan African urban migrants return in later life to the villages from which they originated. This article challenges this model of circular migration by exploring the strategies of older adults who live permanently in urban areas. The empirical material comes from ethnographic case studies in two industrial towns formed by the apartheid and colonial housing policies of the 1950s and 1960s: Kuisebmond in Walvis Bay, Namibia, a former apartheid 'location'; and Walukuba in Jinja, Uganda, a former 'African' rental estate. Older adults' housing situation and its significance for their strategies and choices in later life provide the focus. The results show that even if many strategies appeared that are often associated with a return to the rural place of origin, for many the move back to the village was not a viable option. Participants in the study nurtured contacts with their places of origin, for example by making regular visits, sending remittances, contributing to housing in the village and receiving relatives in town. It is argued that these strategies, together with urban advantages - in particular a good housing situation - must be understood as translocal optimisation, in which potentialities emerge from an assemblage of various actors in different, connected locales. The optimal situation in which to age - in rural or urban areas - is a product of co-emergent actors and not necessarily an individual choice on the part of the older adult. The study concludes that urban living in later life seems to be an alternative choice for a group of older adults and must be acknowledged.</t>
  </si>
  <si>
    <t xml:space="preserve">[Nord, Catharina] Blekinge Inst Technol, Dept Spatial Planning, SE-37179 Karlskrona, Sweden; [Byerley, Andrew] Stockholm Univ, Dept Human Geog, SE-10691 Stockholm, Sweden</t>
  </si>
  <si>
    <t xml:space="preserve">Blekinge Institute Technology; Stockholm University</t>
  </si>
  <si>
    <t xml:space="preserve">Nord, C (corresponding author), Blekinge Inst Technol, Dept Spatial Planning, SE-37179 Karlskrona, Sweden.</t>
  </si>
  <si>
    <t xml:space="preserve">catharina.nord@bth.se; andrew.byerley@humangeo.su.se</t>
  </si>
  <si>
    <t xml:space="preserve">0305-7070</t>
  </si>
  <si>
    <t xml:space="preserve">1465-3893</t>
  </si>
  <si>
    <t xml:space="preserve">J S AFR STUD</t>
  </si>
  <si>
    <t xml:space="preserve">J. South. Afr. Stud.</t>
  </si>
  <si>
    <t xml:space="preserve">10.1080/03057070.2020.1718382</t>
  </si>
  <si>
    <t xml:space="preserve">LP5SO</t>
  </si>
  <si>
    <t xml:space="preserve">WOS:000534377700008</t>
  </si>
  <si>
    <t xml:space="preserve">Batra, A; Vu, VT; Zantah, Y; Wiemeler, M; Pettersson, MI; Goehringer, D; Kaiser, T</t>
  </si>
  <si>
    <t xml:space="preserve">Batra, Aman; Vu, Viet T.; Zantah, Yamen; Wiemeler, Michael; Pettersson, Mats, I; Goehringer, Diana; Kaiser, Thomas</t>
  </si>
  <si>
    <t xml:space="preserve">Sub-mm Resolution Indoor THz Range and SAR Imaging of Concealed Object</t>
  </si>
  <si>
    <t xml:space="preserve">2020 IEEE MTT-S INTERNATIONAL CONFERENCE ON MICROWAVES FOR INTELLIGENT MOBILITY (ICMIM)</t>
  </si>
  <si>
    <t xml:space="preserve">IEEE MTT-S International Conference on Microwaves for Intelligent Mobility</t>
  </si>
  <si>
    <t xml:space="preserve">IEEE MTT-S International Conference on Microwaves for Intelligent Mobility (ICMIM)</t>
  </si>
  <si>
    <t xml:space="preserve">NOV 23, 2020</t>
  </si>
  <si>
    <t xml:space="preserve">IEEE MTT S</t>
  </si>
  <si>
    <t xml:space="preserve">radar; synthetic aperture radar; terahertz; high resolution imaging; indoor radar; hidden objects; localization and imaging</t>
  </si>
  <si>
    <t xml:space="preserve">In radar systems, the frequency range is being extended to high frequencies such as THz for sub-mm resolution. The spectrum offers high resolution but on the contrary, propagation distance and penetration depth are limited because of smaller wavelength. It suffers from higher atmospheric absorption in comparison to sub-GHz systems. In comparison to optical technology, the radar technique majorly benefits with respect to the penetration property such as cloud/smoke cover penetration and detection of concealed objects. However, the THz range and synthetic aperture radar (SAR) imaging of concealed objects are not very well established. Therefore, this paper examines this property at THz. A testbed has been set up with a bandwidth of 110 GHz at a carrier frequency of 275 GHz. The imaging is performed of a very small metal object. Firstly, the sub-mm resolution is validated with the experiment after that the range and SAR imaging are performed in which this object is covered with different types of materials. The backscattered data is processed with the image reconstruction algorithms and the results are presented in this paper with respect to sub-mm resolution and detection.</t>
  </si>
  <si>
    <t xml:space="preserve">[Batra, Aman; Zantah, Yamen; Wiemeler, Michael; Kaiser, Thomas] Univ Duisburg Essen, Inst Digital Signal Proc, Duisburg, Germany; [Vu, Viet T.; Pettersson, Mats, I] Blekinge Inst Technol, Dept Math &amp; Nat Sci, Karlskrona, Sweden; [Goehringer, Diana] Tech Univ Dresden, Chair Adapt Dynam Syst, Dresden, Germany</t>
  </si>
  <si>
    <t xml:space="preserve">University of Duisburg Essen; Blekinge Institute Technology; Technische Universitat Dresden</t>
  </si>
  <si>
    <t xml:space="preserve">Batra, A (corresponding author), Univ Duisburg Essen, Inst Digital Signal Proc, Duisburg, Germany.</t>
  </si>
  <si>
    <t xml:space="preserve">aman.batra@uni-due.de</t>
  </si>
  <si>
    <t xml:space="preserve">Kaiser, Thomas/IAR-1845-2023; Vu, Viet/JDW-0738-2023; Pettersson, Mats/N-1063-2016</t>
  </si>
  <si>
    <t xml:space="preserve">Zantah, Yamen/0000-0002-3145-9485; Gohringer, Diana/0000-0003-2571-8441; Pettersson, Mats/0000-0002-6643-312X</t>
  </si>
  <si>
    <t xml:space="preserve">Deutsche Forschungsgemeinschaft (DFG, German Research Foundation) [287022738 - TRR 196]</t>
  </si>
  <si>
    <t xml:space="preserve">Deutsche Forschungsgemeinschaft (DFG, German Research Foundation)(German Research Foundation (DFG))</t>
  </si>
  <si>
    <t xml:space="preserve">This research work is funded by the Deutsche Forschungsgemeinschaft (DFG, German Research Foundation) -Project-ID 287022738 -TRR 196 for associated project M01 -THz Channel Measurements for Material Characterization and Localization [6].</t>
  </si>
  <si>
    <t xml:space="preserve">2693-9940</t>
  </si>
  <si>
    <t xml:space="preserve">2693-9924</t>
  </si>
  <si>
    <t xml:space="preserve">978-1-7281-6755-8</t>
  </si>
  <si>
    <t xml:space="preserve">I M I C MICROW I M</t>
  </si>
  <si>
    <t xml:space="preserve">10.1109/icmim48759.2020.9299034</t>
  </si>
  <si>
    <t xml:space="preserve">BS4WX</t>
  </si>
  <si>
    <t xml:space="preserve">WOS:000723661600023</t>
  </si>
  <si>
    <t xml:space="preserve">Lilliehorn, S; Fjellfeldt, M; Högström, E; Markström, U</t>
  </si>
  <si>
    <t xml:space="preserve">Lilliehorn, Sara; Fjellfeldt, Maria; Hogstrom, Ebba; Markstrom, Urban</t>
  </si>
  <si>
    <t xml:space="preserve">Contemporary Accommodation Services for People with Psychiatric Disabilities-the Simple Taxonomy for Supported Accommodation (STAX-SA) Applied and Discussed in a Swedish Context</t>
  </si>
  <si>
    <t xml:space="preserve">SCANDINAVIAN JOURNAL OF DISABILITY RESEARCH</t>
  </si>
  <si>
    <t xml:space="preserve">psychiatric disabilities; supported accommodation; STAX-SA; deinstitutionalisation</t>
  </si>
  <si>
    <t xml:space="preserve">This article focuses on the stock of accommodation service units for people with psychiatric disabilities in Sweden and the classification of supported accommodation. We examined 122 units in 12 municipalities in Sweden and classified them according to the Simple Taxonomy for Supported Accommodation (STAX-SA). We found an obvious variation in the field and a movement into a recovery-oriented direction and towards individuality. There is an emphasis on Move-On that seems to expand into and beyond floating outreach support, and there is a relaxation of service units' boundaries concerning commitment and target groups. The correspondence to STAX-SA was quite low (48%), and the applicability to 'real world' services was not satisfactory. When capturing variation and change in a rich dataset, STAX-SA is too reductive. However, STAX-SA was a successful point of departure in the analysis that opened up for identifying diversities and movement. We suggest some adjustments to increase its applicability.</t>
  </si>
  <si>
    <t xml:space="preserve">[Lilliehorn, Sara; Markstrom, Urban] Umea Univ, Umea, Sweden; [Fjellfeldt, Maria] Dalarna Univ, Falun, Sweden; Blekinge Inst technol, Karlskrona, Sweden</t>
  </si>
  <si>
    <t xml:space="preserve">Umea University; Dalarna University; Blekinge Institute Technology</t>
  </si>
  <si>
    <t xml:space="preserve">Lilliehorn, S (corresponding author), Umea Univ, Umea, Sweden.</t>
  </si>
  <si>
    <t xml:space="preserve">sara.lilliehorn@umu.se</t>
  </si>
  <si>
    <t xml:space="preserve">Lilliehorn, Sara/N-1899-2019</t>
  </si>
  <si>
    <t xml:space="preserve">Lilliehorn, Sara/0000-0001-5696-996X; Hogstrom, Ebba/0000-0002-7725-1233; Markstrom, Urban/0000-0002-6330-5640; Fjellfeldt, Maria/0000-0001-9836-6446</t>
  </si>
  <si>
    <t xml:space="preserve">FORTE [2018-01325]; Formas [2018-00058]; Formas [2018-00058] Funding Source: Formas; Forte [2018-01325] Funding Source: Forte; Vinnova [2018-00058] Funding Source: Vinnova</t>
  </si>
  <si>
    <t xml:space="preserve">FORTE(Swedish Research Council for Health Working Life &amp; Welfare (Forte)); Formas(Swedish Research Council Formas); Formas(Swedish Research Council Formas); Forte(Swedish Research Council for Health Working Life &amp; Welfare (Forte)); Vinnova(Vinnova)</t>
  </si>
  <si>
    <t xml:space="preserve">The research project LEX - sustainable living environments for people with psychiatric disabilities was supported by grants from FORTE (2018-01325) and Formas (2018-00058) .</t>
  </si>
  <si>
    <t xml:space="preserve">STOCKHOLM UNIV PRESS</t>
  </si>
  <si>
    <t xml:space="preserve">STOCKHOLM</t>
  </si>
  <si>
    <t xml:space="preserve">STOCKHOLM UNIV LIBRARY, UNIVERSITETSVAGEN 14 D, STOCKHOLM, SE-106 91, SWEDEN</t>
  </si>
  <si>
    <t xml:space="preserve">1501-7419</t>
  </si>
  <si>
    <t xml:space="preserve">1745-3011</t>
  </si>
  <si>
    <t xml:space="preserve">SCAND J DISABIL RES</t>
  </si>
  <si>
    <t xml:space="preserve">Scand. J. Disabil. Res.</t>
  </si>
  <si>
    <t xml:space="preserve">10.16993/sjdr.879</t>
  </si>
  <si>
    <t xml:space="preserve">Rehabilitation</t>
  </si>
  <si>
    <t xml:space="preserve">I1UM7</t>
  </si>
  <si>
    <t xml:space="preserve">WOS:001000705200002</t>
  </si>
  <si>
    <t xml:space="preserve">Markström, U; Högström, E; Fjellfeldt, M</t>
  </si>
  <si>
    <t xml:space="preserve">Markstrom, Urban; Hogstrom, Ebba; Fjellfeldt, Maria</t>
  </si>
  <si>
    <t xml:space="preserve">Mental health supported accommodation services in a post-deinstitutionalised era Experiences from Swedish service providers</t>
  </si>
  <si>
    <t xml:space="preserve">ALTER-EUROPEAN JOURNAL OF DISABILITY RESEARCH</t>
  </si>
  <si>
    <t xml:space="preserve">Psychiatric Disability; Supported; Accommodation; tion; Desinstitutionalisa-tion; Institutional Logics</t>
  </si>
  <si>
    <t xml:space="preserve">PEOPLE; DISABILITIES</t>
  </si>
  <si>
    <t xml:space="preserve">The movement towards deinstitutionalisation of mental health services has created a space for new and community-based solutions in western countries, but the field still seems to lack coherent ideological and practical features. This is also evident for issues related to housing. The aim of this article is to examine the characteristics of supportive accommodation services for people with psychiatric disabilities in Sweden, according to the experiences of local service providers. The focus is placed on the services' organizational setting, main orientation, and conceptual content. This article is based on a multiple case study of ten Swedish municipalities, purposely selected regarding size, location, and demographic features. Data mainly consist of interviews with key informants in the social service organisation. The results indicate the emergence of a new generation of service users with complex needs, who challenge both the organisation and the content of the service offered. Group homes and mobile housing support appeared as pillars in the service supply, but several local and pragmatically oriented solutions were also identified, as well as ambitions to scale down the extent of institutional settings. The guiding idea present at most sites is a strive towards increased autonomy among service users.</t>
  </si>
  <si>
    <t xml:space="preserve">[Markstrom, Urban] Umea Univ, Dept Social Work, Umea, Sweden; [Hogstrom, Ebba] Blekinge Inst Technol, Dept Spatial Planning, Karlskrona, Sweden; [Fjellfeldt, Maria] Dalarna Univ, Dept Hlth &amp; Welf, Falun, Sweden</t>
  </si>
  <si>
    <t xml:space="preserve">Umea University; Blekinge Institute Technology; Dalarna University</t>
  </si>
  <si>
    <t xml:space="preserve">Markström, U (corresponding author), Umea Univ, Dept Social Work, Umea, Sweden.</t>
  </si>
  <si>
    <t xml:space="preserve">urban.markstrom@umu.se; ebba.hogstrom@bth.se; mfj@du.se</t>
  </si>
  <si>
    <t xml:space="preserve">Formas - Swedish Research Council for Sustainable Development [2018-00058, 2018-00192]; Forte - Swedish Research Council for Health, Working Life and Welfare [2018-01325]; Formas [2018-00192, 2018-00058] Funding Source: Formas; Forte [2018-01325] Funding Source: Forte; Vinnova [2018-00058] Funding Source: Vinnova</t>
  </si>
  <si>
    <t xml:space="preserve">Formas - Swedish Research Council for Sustainable Development(Swedish Research Council Formas); Forte - Swedish Research Council for Health, Working Life and Welfare(Swedish Research Council for Health Working Life &amp; Welfare (Forte)); Formas(Swedish Research Council Formas); Forte(Swedish Research Council for Health Working Life &amp; Welfare (Forte)); Vinnova(Vinnova)</t>
  </si>
  <si>
    <t xml:space="preserve">The research project was funded by Formas - Swedish Research Council for Sustainable Development (2018-00058 and 2018-00192) and Forte - Swedish Research Council for Health, Working Life and Welfare (2018-01325).</t>
  </si>
  <si>
    <t xml:space="preserve">ECOLE HAUTES ETUDES &amp; SCIENCES SOC-EHESS, COLL FRANCE</t>
  </si>
  <si>
    <t xml:space="preserve">PARIS</t>
  </si>
  <si>
    <t xml:space="preserve">105 BD RASPAIL, PARIS, 75006, FRANCE</t>
  </si>
  <si>
    <t xml:space="preserve">1875-0672</t>
  </si>
  <si>
    <t xml:space="preserve">1875-0680</t>
  </si>
  <si>
    <t xml:space="preserve">ALTER</t>
  </si>
  <si>
    <t xml:space="preserve">Alter</t>
  </si>
  <si>
    <t xml:space="preserve">Y1DX0</t>
  </si>
  <si>
    <t xml:space="preserve">WOS:001102753200004</t>
  </si>
  <si>
    <t xml:space="preserve">Mehri, VA; Arlos, P; Casalicchio, E</t>
  </si>
  <si>
    <t xml:space="preserve">Mehri, Vida Ahmadi; Arlos, Patrik; Casalicchio, Emiliano</t>
  </si>
  <si>
    <t xml:space="preserve">Automated Context-Aware Vulnerability Risk Management for Patch Prioritization</t>
  </si>
  <si>
    <t xml:space="preserve">vulnerability management; risk management; security management; patch prioritization</t>
  </si>
  <si>
    <t xml:space="preserve">The information-security landscape continuously evolves by discovering new vulnerabilities daily and sophisticated exploit tools. Vulnerability risk management (VRM) is the most crucial cyber defense to eliminate attack surfaces in IT environments. VRM is a cyclical practice of identifying, classifying, evaluating, and remediating vulnerabilities. The evaluation stage of VRM is neither automated nor cost-effective, as it demands great manual administrative efforts to prioritize the patch. Therefore, there is an urgent need to improve the VRM procedure by automating the entire VRM cycle in the context of a given organization. The authors propose automated context-aware VRM (ACVRM), to address the above challenges. This study defines the criteria to consider in the evaluation stage of ACVRM to prioritize the patching. Moreover, patch prioritization is customized in an organization's context by allowing the organization to select the vulnerability management mode and weigh the selected criteria. Specifically, this study considers four vulnerability evaluation cases: (i) evaluation criteria are weighted homogeneously; (ii) attack complexity and availability are not considered important criteria; (iii) the security score is the only important criteria considered; and (iv) criteria are weighted based on the organization's risk appetite. The result verifies the proposed solution's efficiency compared with the Rudder vulnerability management tool (CVE-plugin). While Rudder produces a ranking independent from the scenario, ACVRM can sort vulnerabilities according to the organization's criteria and context. Moreover, while Rudder randomly sorts vulnerabilities with the same patch score, ACVRM sorts them according to their age, giving a higher security score to older publicly known vulnerabilities.</t>
  </si>
  <si>
    <t xml:space="preserve">[Mehri, Vida Ahmadi; Arlos, Patrik; Casalicchio, Emiliano] Blekinge Inst Technol, Dept Comp Sci, S-37179 Karlskrona, Sweden; [Casalicchio, Emiliano] Sapienza Univ Rome, Dept Comp Sci, I-00168 Rome, Italy</t>
  </si>
  <si>
    <t xml:space="preserve">Mehri, VA (corresponding author), Blekinge Inst Technol, Dept Comp Sci, S-37179 Karlskrona, Sweden.</t>
  </si>
  <si>
    <t xml:space="preserve">vida.ahmadi.mehri@bth.se</t>
  </si>
  <si>
    <t xml:space="preserve">Casalicchio, Emiliano/JWQ-0758-2024; Ahmadi Mehri, Vida/E-7554-2017</t>
  </si>
  <si>
    <t xml:space="preserve">Casalicchio, Emiliano/0000-0002-3118-5058; Arlos, Patrik/0000-0003-4494-9851; Ahmadi Mehri, Vida/0000-0002-0128-4127</t>
  </si>
  <si>
    <t xml:space="preserve">10.3390/electronics11213580</t>
  </si>
  <si>
    <t xml:space="preserve">6E5ON</t>
  </si>
  <si>
    <t xml:space="preserve">WOS:000883429300001</t>
  </si>
  <si>
    <t xml:space="preserve">Wohlin, C; Kalinowski, M; Felizardo, KR; Mendes, E</t>
  </si>
  <si>
    <t xml:space="preserve">Wohlin, Claes; Kalinowski, Marcos; Felizardo, Katia Romero; Mendes, Emilia</t>
  </si>
  <si>
    <t xml:space="preserve">Successful combination of database search and snowballing for identification of primary studies in systematic literature studies</t>
  </si>
  <si>
    <t xml:space="preserve">Systematic literature reviews; Hybrid search; Snowballing; Scopus</t>
  </si>
  <si>
    <t xml:space="preserve">SOFTWARE; IMPACT</t>
  </si>
  <si>
    <t xml:space="preserve">Background: A good search strategy is essential for a successful systematic literature study. Historically, database searches have been the norm, which was later complemented with snowball searches. Our conjecture is that we can perform even better searches if combining these two search approaches, referred to as a hybrid search strategy. Objective: Our main objective was to compare and evaluate a hybrid search strategy. Furthermore, we compared four alternative hybrid search strategies to assess whether we could identify more cost-efficient ways of searching for relevant primary studies. Methods: To compare and evaluate the hybrid search strategy, we replicated the search procedure in a systematic literature review (SLR) on industry-academia collaboration in software engineering. The SLR used a more traditional'' approach to searching for relevant articles for an SLR, while our replication was executed using a hybrid search strategy. Results: In our evaluation, the hybrid search strategy was superior in identifying relevant primary studies. It identified 30% more primary studies and even more studies when focusing only on peer-reviewed articles. To embrace individual viewpoints when assessing research articles and minimise the risk of missing primary studies, we introduced two new concepts, wild cards and borderline articles, when performing systematic literature studies. Conclusions: The hybrid search strategy is a strong contender for being used when performing systematic literature studies. Furthermore, alternative hybrid search strategies may be viable if selected wisely in relation to the start set for snowballing. Finally, the two new concepts were judged as essential to cater for different individual judgements and to minimise the risk of excluding primary studies that ought to be included.</t>
  </si>
  <si>
    <t xml:space="preserve">[Wohlin, Claes; Mendes, Emilia] Blekinge Inst Technol, Karlskrona, Sweden; [Kalinowski, Marcos] Pontifical Catholic Univ Rio de Janeiro, Rio De Janeiro, Brazil; [Felizardo, Katia Romero] Fed Technol Univ Parana, Cornelio Procopio, Brazil</t>
  </si>
  <si>
    <t xml:space="preserve">Blekinge Institute Technology; Pontificia Universidade Catolica do Rio de Janeiro; Universidade Tecnologica Federal do Parana</t>
  </si>
  <si>
    <t xml:space="preserve">claes.wohlin@bth.se; kalinowski@inf.puc-rio.br; katiascannavino@utfpr.edu.br; emilia.mendes@bth.se</t>
  </si>
  <si>
    <t xml:space="preserve">Mendes, Emilia/0000-0003-0449-5322; Wohlin, Claes/0000-0003-0460-5253; Kalinowski, Marcos/0000-0003-1445-3425</t>
  </si>
  <si>
    <t xml:space="preserve">Brazilian National Council for Scientific and Technological Development (CNPq) [312827/2020-2]</t>
  </si>
  <si>
    <t xml:space="preserve">Brazilian National Council for Scientific and Technological Development (CNPq)(Conselho Nacional de Desenvolvimento Cientifico e Tecnologico (CNPQ))</t>
  </si>
  <si>
    <t xml:space="preserve">Professor Marcos Kalinowski is funded by a research grant from the Brazilian National Council for Scientific and Technological Development (CNPq), Grant #312827/2020-2. All authors have contributed to all activities related to the submission.</t>
  </si>
  <si>
    <t xml:space="preserve">10.1016/j.infsof.2022.106908</t>
  </si>
  <si>
    <t xml:space="preserve">7V6AH</t>
  </si>
  <si>
    <t xml:space="preserve">Y</t>
  </si>
  <si>
    <t xml:space="preserve">N</t>
  </si>
  <si>
    <t xml:space="preserve">WOS:000912894400002</t>
  </si>
  <si>
    <t xml:space="preserve">Automated Patch Management: An Empirical Evaluation Study</t>
  </si>
  <si>
    <t xml:space="preserve">2023 IEEE INTERNATIONAL CONFERENCE ON CYBER SECURITY AND RESILIENCE, CSR</t>
  </si>
  <si>
    <t xml:space="preserve">IEEE International Conference on Cyber Security and Resilience (CSR)</t>
  </si>
  <si>
    <t xml:space="preserve">JUL 31-AUG 02, 2023</t>
  </si>
  <si>
    <t xml:space="preserve">Venice, ITALY</t>
  </si>
  <si>
    <t xml:space="preserve">IEEE,IEEE Syst, Man, &amp; Cybernet Soc,LOGOS Res &amp; Innovat,Thales,DARIAH IT,Binare,Citta Metropolitana Venezia,Consorzio Interuniversitario Nazl Informatica,European Cyber Secur Org, Women 4Cyber,MITRE,IEEE SMC Italian Chapter,Ctr Cyber Secur &amp; Int Relat Studies,IEEE TEMS,Cyber 4.0 Cybersecur Competence Ctr,Integrated Miss Grp Secur,DHLAB Univ Roma Tre</t>
  </si>
  <si>
    <t xml:space="preserve">Vulnerability; Risk Management; Cybersecurity; Patch Management</t>
  </si>
  <si>
    <t xml:space="preserve">Vulnerability patch management is one of IT organizations' most complex issues due to the increasing number of publicly known vulnerabilities and explicit patch deadlines for compliance. Patch management requires human involvement in testing, deploying, and verifying the patch and its potential side effects. Hence, there is a need to automate the patch management procedure to keep the patch deadline with a limited number of available experts. This study proposed and implemented an automated patch management procedure to address mentioned challenges. The method also includes logic to automatically handle errors that might occur in patch deployment and verification. Moreover, the authors added an automated review step before patch management to adjust the patch prioritization list if multiple cumulative patches or dependencies are detected. The result indicated that our method reduced the need for human intervention, increased the ratio of successfully patched vulnerabilities, and decreased the execution time of vulnerability risk management.</t>
  </si>
  <si>
    <t xml:space="preserve">[Mehri, Vida Ahmadi; Arlos, Patrik] Blekinge Inst Technol, Dept Comp Sci, Karlskrona, Sweden; [Casalicchio, Emiliano] Sapienza Univ Rome, Dept Comp Sci, Rome, Italy</t>
  </si>
  <si>
    <t xml:space="preserve">Mehri, VA (corresponding author), Blekinge Inst Technol, Dept Comp Sci, Karlskrona, Sweden.</t>
  </si>
  <si>
    <t xml:space="preserve">vida.ahmadi.mehri@bth.se; patrik.arlos@bth.se; casalicchio@di.uniroma1.it</t>
  </si>
  <si>
    <t xml:space="preserve">979-8-3503-1170-9</t>
  </si>
  <si>
    <t xml:space="preserve">10.1109/CSR57506.2023.10224970</t>
  </si>
  <si>
    <t xml:space="preserve">Computer Science, Information Systems; Computer Science, Interdisciplinary Applications; Computer Science, Theory &amp; Methods; Engineering, Electrical &amp; Electronic</t>
  </si>
  <si>
    <t xml:space="preserve">BV6RP</t>
  </si>
  <si>
    <t xml:space="preserve">WOS:001062143200050</t>
  </si>
  <si>
    <t xml:space="preserve">Folke, M; Åkerberg, A; Arkkukangas, M; Kärnsund, A; Johnsson, M</t>
  </si>
  <si>
    <t xml:space="preserve">Folke, Mia; Akerberg, Anna; Arkkukangas, Marina; Karnsund, Annika; Johnsson, Mikael</t>
  </si>
  <si>
    <t xml:space="preserve">Evaluation of the content of a web tool aimed to identify early markers related to fall risk among middle-aged people</t>
  </si>
  <si>
    <t xml:space="preserve">HEALTH AND TECHNOLOGY</t>
  </si>
  <si>
    <t xml:space="preserve">Fallprevention; Physical tests; Early markers; Physical exercise; Middle-age; Physical ability</t>
  </si>
  <si>
    <t xml:space="preserve">BALANCE</t>
  </si>
  <si>
    <t xml:space="preserve">Today, the health care sector has no test for early age-related deterioration in physical ability. The aim of this study was to evaluate questionnaires, videos and physical tests whose task will be to identify early markers related to an increased fall risk in middle-aged people. If the person is aware of deficits in physical ability related to fall risk, the person can then use that knowledge to perform relevant training that can strengthen the physical ability related to fall risk. Self-efficacy for balance and strength, physical ability related to fall risk and body composition were measured for 36 middle-aged test participants. This study shows that the tested physical exercises were useful for self-assessment of physical ability. Impairment in physical ability could not be identified solely with measurement of body composition, walking speed, questions, videos that show adjustments that are common in people with impaired balance, or an extended version of the Short version of Activities-specific Balance Confidence scale. This study indicates that a combination of questionnaires, videos and physical exercises can evaluate physical ability and act as a method to identify early markers related to increased fall risk. The questionnaire, videos and physical exercises can be implemented in a web tool that could make persons aware that they have decreased physical ability regarding fall risk or that they needlessly make physical compensations when performing daily activities and thus are missing opportunities to strengthen their physical ability every day.</t>
  </si>
  <si>
    <t xml:space="preserve">[Folke, Mia; Akerberg, Anna] Malardalen Univ, Sch Innovat Design &amp; Engn, Vasteras, Sweden; [Akerberg, Anna; Arkkukangas, Marina] Res &amp; Dev Sormland, Eskilstuna, Sweden; [Karnsund, Annika] Clin Res Ctr, Vasteras, Sweden; [Johnsson, Mikael] Blekinge Inst Technol, Dept Mech Engn, Karlskrona, Sweden</t>
  </si>
  <si>
    <t xml:space="preserve">Folke, M (corresponding author), Malardalen Univ, Sch Innovat Design &amp; Engn, Vasteras, Sweden.</t>
  </si>
  <si>
    <t xml:space="preserve">mia.folke@mdh.se</t>
  </si>
  <si>
    <t xml:space="preserve">Johnsson, Mikael/ABI-5287-2020</t>
  </si>
  <si>
    <t xml:space="preserve">Folke, Mia/0000-0001-8704-402X; Johnsson, Mikael/0000-0001-7546-9469; Arkkukangas, Marina/0000-0001-7418-6088</t>
  </si>
  <si>
    <t xml:space="preserve">2190-7188</t>
  </si>
  <si>
    <t xml:space="preserve">2190-7196</t>
  </si>
  <si>
    <t xml:space="preserve">HEALTH TECHNOL-GER</t>
  </si>
  <si>
    <t xml:space="preserve">Health Technol.</t>
  </si>
  <si>
    <t xml:space="preserve">10.1007/s12553-020-00482-x</t>
  </si>
  <si>
    <t xml:space="preserve">Medical Informatics</t>
  </si>
  <si>
    <t xml:space="preserve">OM3YU</t>
  </si>
  <si>
    <t xml:space="preserve">WOS:000573475100001</t>
  </si>
  <si>
    <t xml:space="preserve">Romano, S; Scanniello, G; Baldassarre, MT; Fucci, D; Caivano, D</t>
  </si>
  <si>
    <t xml:space="preserve">Romano, Simone; Scanniello, Giuseppe; Baldassarre, Maria Teresa; Fucci, Davide; Caivano, Danilo</t>
  </si>
  <si>
    <t xml:space="preserve">Results from a Replicated Experiment on the Affective Reactions of Novice Developers When Applying Test-Driven Development</t>
  </si>
  <si>
    <t xml:space="preserve">TDD; Affective state; Replication; Experiment</t>
  </si>
  <si>
    <t xml:space="preserve">Test-Driven Development (TDD) is an incremental approach to software development. Despite it is claimed to improve both quality of software and developers' productivity, the research on the claimed effects of TDD has so far shown inconclusive results. Some researchers have ascribed these inconclusive results to the negative affective states that TDD would provoke. A previous (baseline) experiment has, therefore, studied the affective reactions of (novice) developers-i.e., 29 third-year undergraduates in Computer Science (CS)-when practicing TDD to implement software. To validate the results of the baseline experiment, we conducted a replicated experiment that studies the affective reactions of novice developers when applying TDD to develop software. Developers in the treatment group carried out a development task using TDD, while those in the control group used a non-TDD approach. To measure the affective reactions of developers, we used the Self-Assessment Manikin instrument complemented with a liking dimension. The most important differences between the baseline and replicated experiments are: (i) the kind of novice developers involved in the experiments-third-year vs. second-year undergraduates in CS from two different universities; and (ii) their number 29 vs. 59. The results of the replicated experiment do not show any difference in the affective reactions of novice developers. Instead, the results of the baseline experiment suggest that developers seem to like TDD less as compared to a non-TDD approach and that developers following TDD seem to like implementing code less than the other developers, while testing code seems to make them less happy.</t>
  </si>
  <si>
    <t xml:space="preserve">[Romano, Simone; Baldassarre, Maria Teresa; Caivano, Danilo] Univ Bari, Bari, Italy; [Scanniello, Giuseppe] Univ Basilicata, Potenza, Italy; [Fucci, Davide] Blekinge Inst Technol, Karlskrona, Sweden</t>
  </si>
  <si>
    <t xml:space="preserve">simone.romano@uniba.it; giuseppe.scanniello@unibas.it; mariateresa.baldassarre@uniba.it; davide.fucci@bth.se; danilo.caivano@uniba.it</t>
  </si>
  <si>
    <t xml:space="preserve">Romano, Simone/JVZ-6529-2024; Fucci, Davide/C-1463-2015</t>
  </si>
  <si>
    <t xml:space="preserve">Scanniello, Giuseppe/0000-0003-0024-7508; Romano, Simone/0000-0003-4880-3622</t>
  </si>
  <si>
    <t xml:space="preserve">10.1007/978-3-030-49392-9_15</t>
  </si>
  <si>
    <t xml:space="preserve">WOS:000724681400015</t>
  </si>
  <si>
    <t xml:space="preserve">Girardi, D; Novielli, N; Fucci, D; Lanubile, F</t>
  </si>
  <si>
    <t xml:space="preserve">Girardi, Daniela; Novielli, Nicole; Fucci, Davide; Lanubile, Filippo</t>
  </si>
  <si>
    <t xml:space="preserve">Recognizing Developers' Emotions while Programming</t>
  </si>
  <si>
    <t xml:space="preserve">2020 ACM/IEEE 42ND INTERNATIONAL CONFERENCE ON SOFTWARE ENGINEERING (ICSE 2020)</t>
  </si>
  <si>
    <t xml:space="preserve">International Conference on Software Engineering</t>
  </si>
  <si>
    <t xml:space="preserve">Emotion awareness; emotion detection; biometric sensors; empirical software engineering; human factors in software engineering</t>
  </si>
  <si>
    <t xml:space="preserve">RECOGNITION</t>
  </si>
  <si>
    <t xml:space="preserve">Developers experience a wide range of emotions during programming tasks, which may have an impact on job performance. In this paper, we present an empirical study aimed at (i) investigating the link between emotion and progress, (ii) understanding the triggers for developers' emotions and the strategies to deal with negative ones, (iii) identifying the minimal set of non-invasive biometric sensors for emotion recognition during programming tasks. Results confirm previous findings about the relation between emotions and perceived productivity. Furthermore, we show that developers' emotions can be reliably recognized using only a wristband capturing the electrodermal activity and heart-related metrics.</t>
  </si>
  <si>
    <t xml:space="preserve">[Girardi, Daniela; Novielli, Nicole; Lanubile, Filippo] Univ Bari, Bari, Italy; [Fucci, Davide] Blekinge Inst Technol, Karlshamn, Sweden; [Fucci, Davide] Univ Hamburg, Hamburg, Germany</t>
  </si>
  <si>
    <t xml:space="preserve">Universita degli Studi di Bari Aldo Moro; Blekinge Institute Technology; University of Hamburg</t>
  </si>
  <si>
    <t xml:space="preserve">Girardi, D (corresponding author), Univ Bari, Bari, Italy.</t>
  </si>
  <si>
    <t xml:space="preserve">daniela.girardi@uniba.it; nicole.novielli@uniba.it; davide.fucci@bth.se; filippo.lanubile@uniba.it</t>
  </si>
  <si>
    <t xml:space="preserve">Novielli, Nicole/Y-9583-2019; Fucci, Davide/C-1463-2015; Lanubile, Filippo/AAF-9132-2020</t>
  </si>
  <si>
    <t xml:space="preserve">KKS foundation through the S.E.R.T. Research Profile project at Blekinge Institute of Technology; Italian Ministry of University and Research (MIUR) under grant PRIN 2017 EMPATHY: EMpowering People in deAling with internet of THings ecosYstems [H94I19000280001]; project E-SHELF under the program INNONETWORK, POR Puglia FESR-FSE 2014-2020; project C3, under the program INNONETWORK, POR Puglia FESR-FSE 2014-2020</t>
  </si>
  <si>
    <t xml:space="preserve">KKS foundation through the S.E.R.T. Research Profile project at Blekinge Institute of Technology; Italian Ministry of University and Research (MIUR) under grant PRIN 2017 EMPATHY: EMpowering People in deAling with internet of THings ecosYstems(Ministry of Education, Universities and Research (MIUR)); project E-SHELF under the program INNONETWORK, POR Puglia FESR-FSE 2014-2020; project C3, under the program INNONETWORK, POR Puglia FESR-FSE 2014-2020</t>
  </si>
  <si>
    <t xml:space="preserve">We would like to thank Daniel Graziotin, Thomas Fritz, and Sebastian Mueller for kindly providing access to the replication material of their studies, which we use to define our experimental protocol. We are grateful to all subjects that participated in our study. We acknowledge that this work was partially supported by the KKS foundation through the S.E.R.T. Research Profile project at Blekinge Institute of Technology, by the Italian Ministry of University and Research (MIUR) under grant PRIN 2017 EMPATHY: EMpowering People in deAling with internet of THings ecosYstems (project H94I19000280001), and by the projects E-SHELF and C3, under the program INNONETWORK, POR Puglia FESR-FSE 2014-2020.</t>
  </si>
  <si>
    <t xml:space="preserve">0270-5257</t>
  </si>
  <si>
    <t xml:space="preserve">978-1-4503-7121-6</t>
  </si>
  <si>
    <t xml:space="preserve">PROC INT CONF SOFTW</t>
  </si>
  <si>
    <t xml:space="preserve">10.1145/3377811.3380374</t>
  </si>
  <si>
    <t xml:space="preserve">BR4RH</t>
  </si>
  <si>
    <t xml:space="preserve">WOS:000652529800055</t>
  </si>
  <si>
    <t xml:space="preserve">Maksimov, YV; Fricker, SA</t>
  </si>
  <si>
    <t xml:space="preserve">Maksimov, Yuliyan, V; Fricker, Samuel A.</t>
  </si>
  <si>
    <t xml:space="preserve">Licensing in Artificial Intelligence Competitions and Consortium Project Collaborations</t>
  </si>
  <si>
    <t xml:space="preserve">licensing; software collaboration; artificial intelligence</t>
  </si>
  <si>
    <t xml:space="preserve">Platforms are emerging that allow data scientists, software and hardware engineers to collaborate through organisational boundaries to develop systems of Artificial Intelligence (AI). Such collaboration involves the exchange of assets representing Intellectual Property (IP) of the collaborators. The tension between permitting access and protecting IP is thus one of the critical challenges faced by organisations willing to innovate through collaboration. Licensing is a common way to address the issue, but the influence of the licensing rules on the intended form of collaboration is still unclear. In this paper, we identify and analyse the rules that are used to regulate IP exchanges in two common forms of collaboration: a) competitions where one customer benchmarks and selects among multiple suppliers and b) consortium projects where multiple parties collaborate to product joint results. Due to our interest in AI, we have chosen to analyse the terms and conditions of competitions hosted on Kaggle (TM) a leading online platform for Competitions. For consortium projects, we have analysed the DESCA Consortium Agreement template. DESCA is often used for European projects, an increasing number of which are used to fund AI innovation projects. We have applied In Vivo Coding and Concept Coding coding techniques to highlight rules applicable to IP exchange. We structured the findings in the form of tree graphs consisting of interdependent textual phrases to extract, group and compare the terms and conditions of IP sharing in each collaboration form and how they relate to the characteristics of the studied collaborations. The results indicate that each form of collaboration has its own set of rules that address comparable concerns but have different content. Practitioners, both platform providers and collaborators, can utilise our results to implement licensing for IP exchange that fits the desired type of collaboration. For researchers, our results represent a step towards the automation of license generation and enforcement.</t>
  </si>
  <si>
    <t xml:space="preserve">[Maksimov, Yuliyan, V; Fricker, Samuel A.] FHNW Univ Appl Sci &amp; Arts Northwestern Switzerlan, Inst Interact Technol, Windisch, Switzerland; [Fricker, Samuel A.] Blekinge Inst Technol, Software Engn Res Lab SERL Sweden, Karlskrona, Sweden; [Maksimov, Yuliyan, V] Blekinge Inst Technol, Dept Comp Sci DIDA, Karlskrona, Sweden</t>
  </si>
  <si>
    <t xml:space="preserve">FHNW University of Applied Sciences &amp; Arts Northwestern Switzerland; Blekinge Institute Technology; Blekinge Institute Technology</t>
  </si>
  <si>
    <t xml:space="preserve">Maksimov, YV (corresponding author), FHNW Univ Appl Sci &amp; Arts Northwestern Switzerlan, Inst Interact Technol, Windisch, Switzerland.;Maksimov, YV (corresponding author), Blekinge Inst Technol, Dept Comp Sci DIDA, Karlskrona, Sweden.</t>
  </si>
  <si>
    <t xml:space="preserve">yuliyan.maksimov@fhnw.ch; samuel.fricker@fhnw.ch</t>
  </si>
  <si>
    <t xml:space="preserve">European Union [732204]; Swiss State Secretariat for Education, Research and Innovation (SERI) [16.0159]</t>
  </si>
  <si>
    <t xml:space="preserve">European Union(European Union (EU)); Swiss State Secretariat for Education, Research and Innovation (SERI)</t>
  </si>
  <si>
    <t xml:space="preserve">This project has received funding from the European Union's Horizon 2020 research and innovation programme under grant agreement No 732204 (Bonseyes). This work is supported by the Swiss State Secretariat for Education, Research and Innovation (SERI) under contract number 16.0159. The opinions expressed and arguments employed herein do not necessarily reflect the official views of these funding bodies.</t>
  </si>
  <si>
    <t xml:space="preserve">10.1109/SEAA51224.2020.00056</t>
  </si>
  <si>
    <t xml:space="preserve">WOS:000702094100045</t>
  </si>
  <si>
    <t xml:space="preserve">Santoso, A; Felderer, M</t>
  </si>
  <si>
    <t xml:space="preserve">Santoso, Ario; Felderer, Michael</t>
  </si>
  <si>
    <t xml:space="preserve">Specification-driven predictive business process monitoring</t>
  </si>
  <si>
    <t xml:space="preserve">SOFTWARE AND SYSTEMS MODELING</t>
  </si>
  <si>
    <t xml:space="preserve">Predictive business process monitoring; Prediction task specification language; Automatic prediction model creation; Machine learning-based prediction</t>
  </si>
  <si>
    <t xml:space="preserve">Predictive analysis in business process monitoring aims at forecasting the future information of a running business process. The prediction is typically made based on the model extracted from historical process execution logs (event logs). In practice, different business domains might require different kinds of predictions. Hence, it is important to have a means for properly specifying the desired prediction tasks, and a mechanism to deal with these various prediction tasks. Although there have been many studies in this area, they mostly focus on a specific prediction task. This work introduces a language for specifying the desired prediction tasks, and this language allows us to express various kinds of prediction tasks. This work also presents a mechanism for automatically creating the corresponding prediction model based on the given specification. Differently from previous studies, instead of focusing on a particular prediction task, we present an approach to deal with various prediction tasks based on the given specification of the desired prediction tasks. We also provide an implementation of the approach which is used to conduct experiments using real-life event logs.</t>
  </si>
  <si>
    <t xml:space="preserve">[Santoso, Ario; Felderer, Michael] Univ Innsbruck, Dept Comp Sci, Innsbruck, Austria; [Santoso, Ario] Free Univ Bozen Bolzano, Fac Comp Sci, Bozen Bolzano, Italy; [Felderer, Michael] Blekinge Inst Technol, Dept Software Engn, Karlskrona, Sweden</t>
  </si>
  <si>
    <t xml:space="preserve">University of Innsbruck; Free University of Bozen-Bolzano; Blekinge Institute Technology</t>
  </si>
  <si>
    <t xml:space="preserve">Santoso, A (corresponding author), Univ Innsbruck, Dept Comp Sci, Innsbruck, Austria.;Santoso, A (corresponding author), Free Univ Bozen Bolzano, Fac Comp Sci, Bozen Bolzano, Italy.</t>
  </si>
  <si>
    <t xml:space="preserve">ario.santoso@uibk.ac.at; michael.felderer@uibk.ac.at</t>
  </si>
  <si>
    <t xml:space="preserve">Santoso, Ario/AAO-9480-2021; Felderer, Michael/AAF-4909-2020</t>
  </si>
  <si>
    <t xml:space="preserve">Santoso, Ario/0000-0001-6212-4365</t>
  </si>
  <si>
    <t xml:space="preserve">University of Innsbruck; Medical University of Innsbruck</t>
  </si>
  <si>
    <t xml:space="preserve">Open access funding provided by University of Innsbruck and Medical University of Innsbruck. The authors thank Tri Kurniawan Wijaya for various suggestions related to this work, and Yasmin Khairina for the implementation of several prototype components.</t>
  </si>
  <si>
    <t xml:space="preserve">1619-1366</t>
  </si>
  <si>
    <t xml:space="preserve">1619-1374</t>
  </si>
  <si>
    <t xml:space="preserve">SOFTW SYST MODEL</t>
  </si>
  <si>
    <t xml:space="preserve">Softw. Syst. Model.</t>
  </si>
  <si>
    <t xml:space="preserve">10.1007/s10270-019-00761-w</t>
  </si>
  <si>
    <t xml:space="preserve">NOV 2019</t>
  </si>
  <si>
    <t xml:space="preserve">NV3VW</t>
  </si>
  <si>
    <t xml:space="preserve">WOS:000493704500001</t>
  </si>
  <si>
    <t xml:space="preserve">Contribution prediction in federated learning via client behavior evaluation</t>
  </si>
  <si>
    <t xml:space="preserve">FUTURE GENERATION COMPUTER SYSTEMS-THE INTERNATIONAL JOURNAL OF ESCIENCE</t>
  </si>
  <si>
    <t xml:space="preserve">Federated learning; Contribution evaluation; Clustering analysis; Eccentricity analysis; Behavior monitoring</t>
  </si>
  <si>
    <t xml:space="preserve">Federated learning (FL), a decentralized machine learning framework that allows edge devices (i.e., clients) to train a global model while preserving data/client privacy, has become increasingly popular recently. In FL, a shared global model is built by aggregating the updated parameters in a distributed manner. To incentivize data owners to participate in FL, it is essential for service providers to fairly evaluate the contribution of each data owner to the shared model during the learning process. To the best of our knowledge, most existing solutions are resource-demanding and usually run as an additional evaluation procedure. The latter produces an expensive computational cost for large data owners. In this paper, we present simple and effective FL solutions that show how the clients' behavior can be evaluated during the training process with respect to reliability, and this is demonstrated for two existing FL models, Cluster Analysis-based Federated Learning (CA-FL) and Group-Personalized FL (GP-FL), respectively. In the former model, CA-FL, the frequency of each client to be selected as a cluster representative and in that way to be involved in the building of the shared model is assessed. This can eventually be considered as a measure of the respective client data reliability. In the latter model, GP-FL, we calculate how many times each client changes a cluster it belongs to during FL training, which can be interpreted as a measure of the client's unstable behavior, i.e., it can be considered as not very reliable. We validate our FL approaches on three LEAF datasets and benchmark their performance to two baseline contribution evaluation approaches. The experimental results demonstrate that by applying the two FL models we are able to get robust evaluations of clients' behavior during the training process. These evaluations can be used for further studying, comparing, understanding, and eventually predicting clients' contributions to the shared global model.</t>
  </si>
  <si>
    <t xml:space="preserve">[Al-Saedi, Ahmed A.; Boeva, Veselka; Casalicchio, Emiliano] Blekinge Inst Technol, Dept Comp Sci, SE-37179 Karlskrona, Sweden; [Casalicchio, Emiliano] Sapienza Univ Rome, Dept Comp Sci, I-00185 Rome, Italy</t>
  </si>
  <si>
    <t xml:space="preserve">Al-Saedi, AA (corresponding author), Blekinge Inst Technol, Dept Comp Sci, SE-37179 Karlskrona, Sweden.</t>
  </si>
  <si>
    <t xml:space="preserve">abs@bth.se</t>
  </si>
  <si>
    <t xml:space="preserve">Casalicchio, Emiliano/JWQ-0758-2024; Boeva, Veselka/IAP-9371-2023</t>
  </si>
  <si>
    <t xml:space="preserve">Knowledge Foundation (KKS) , Sweden, through the Human-Centered Intelligent Realities (HINTS) Profile Project [20220068]; KKS Foundation through the S.E.R.T. Research Profile Project at Blekinge Institute of Technology</t>
  </si>
  <si>
    <t xml:space="preserve">Knowledge Foundation (KKS) , Sweden, through the Human-Centered Intelligent Realities (HINTS) Profile Project; KKS Foundation through the S.E.R.T. Research Profile Project at Blekinge Institute of Technology</t>
  </si>
  <si>
    <t xml:space="preserve">Veselka Boeva's and Emiliano Casalicchio's research is funded partly by the Knowledge Foundation (KKS) , Sweden, through the Human-Centered Intelligent Realities (HINTS) Profile Project (contract 20220068) . Veselka Boeva's research is also partly supported by KKS Foundation through the S.E.R.T. Research Profile Project at Blekinge Institute of Technology. All authors have read and agreed to the published version of the manuscript.</t>
  </si>
  <si>
    <t xml:space="preserve">0167-739X</t>
  </si>
  <si>
    <t xml:space="preserve">1872-7115</t>
  </si>
  <si>
    <t xml:space="preserve">FUTURE GENER COMP SY</t>
  </si>
  <si>
    <t xml:space="preserve">Futur. Gener. Comp. Syst.</t>
  </si>
  <si>
    <t xml:space="preserve">10.1016/j.future.2024.107639</t>
  </si>
  <si>
    <t xml:space="preserve">T8Y9V</t>
  </si>
  <si>
    <t xml:space="preserve">WOS:001407806400001</t>
  </si>
  <si>
    <t xml:space="preserve">Akesson-Nilsson, G; Adbo, K</t>
  </si>
  <si>
    <t xml:space="preserve">Akesson-Nilsson, Gunilla; Adbo, Karina</t>
  </si>
  <si>
    <t xml:space="preserve">Student Translations of the Symbolic Level of Chemistry</t>
  </si>
  <si>
    <t xml:space="preserve">chemical education; chemical reaction; clay model; models of science; symbolic level; submicroscopic level</t>
  </si>
  <si>
    <t xml:space="preserve">HIGH-SCHOOL CHEMISTRY; CHEMICAL-EQUATIONS; REPRESENTATIONS; CONCEPTIONS; SUBMICRO; EDUCATION; DIAGRAMS; MODELS; RATIOS; MACRO</t>
  </si>
  <si>
    <t xml:space="preserve">The aim of the study was to explore students' own translation of the symbolic level of a chemical reaction, including the information provided with the use of coefficients, indices, and signs, as well as the preservation of atoms. Students were asked to translate the symbolic level of the combustion of methane with the use of clay modelling. The students had to make active choices regarding the size, shape, two- or three-dimensional structure, and the number of atoms in the molecules included in the reaction using modelling clay. The analysis followed the three levels of analysis as presented by Hedegaard. The results highlight the variations in students' answers and show the importance of investigating unrestricted translations of the symbolic level of chemistry. Including clay modelling in the educational process is helpful for both educators and students, as it fosters comprehension of underlying processes and enhances awareness of substance structure and atom redistribution across various substances.</t>
  </si>
  <si>
    <t xml:space="preserve">[Akesson-Nilsson, Gunilla] Blekinge Inst Technol, Dept Math &amp; Nat Sci, S-37179 Karlskrona, Sweden; [Adbo, Karina] Gothenburg Univ, Dept Chem &amp; Mol Biol, S-41390 Gothenburg, Sweden</t>
  </si>
  <si>
    <t xml:space="preserve">Akesson-Nilsson, G (corresponding author), Blekinge Inst Technol, Dept Math &amp; Nat Sci, S-37179 Karlskrona, Sweden.;Adbo, K (corresponding author), Gothenburg Univ, Dept Chem &amp; Mol Biol, S-41390 Gothenburg, Sweden.</t>
  </si>
  <si>
    <t xml:space="preserve">gunilla.akesson.nilsson@bth.se; karina.adbo@gu.se</t>
  </si>
  <si>
    <t xml:space="preserve">10.3390/educsci14070775</t>
  </si>
  <si>
    <t xml:space="preserve">ZR5A0</t>
  </si>
  <si>
    <t xml:space="preserve">WOS:001277022000001</t>
  </si>
  <si>
    <t xml:space="preserve">Casalicchio, E; Magliarisi, D</t>
  </si>
  <si>
    <t xml:space="preserve">Casalicchio, Emiliano; Magliarisi, Danilo</t>
  </si>
  <si>
    <t xml:space="preserve">Decentralized Task Scheduling in Satellite Edge Computing</t>
  </si>
  <si>
    <t xml:space="preserve">Satellite Cloud Computing; LEO; Edge Computing; Decentralized Scheduling; Performance evaluation; Simulation</t>
  </si>
  <si>
    <t xml:space="preserve">NETWORKS ARCHITECTURE</t>
  </si>
  <si>
    <t xml:space="preserve">Satellite Edge Computing has been recently introduced to deploy innovative computational services in space using Low Earth Orbit (LEO) satellite constellations as a distributed computational platform. Running a distributed computing platform in space introduces new challenges to traditional problems like computation offloading, task scheduling, mobility management, fault detection, and recovery. This research focuses on the problem of task scheduling, proposing a system model that accounts for the dynamics of the Satellite Edge Computing environment and a formulation of the scheduling problem as an optimization problem that minimizes the average task response time under constraints on available resources and task completion deadlines. Then, we propose a decentralized algorithm that estimates the task response time and computes a scheduling solution in a fixed time, which depends only on the number of Inter Satellite Links a satellite has (typically four). Finally, we estimate and compare the overhead of the decentralized versus the decentralized solutions, showing the advantages of the proposed approach. Simulation experiments allow us to compare the performance of the decentralized approach with the performance of baseline decentralized and centralized solutions. Results show that, in all scenarios considered, the proposed decentralized algorithm performs better than the baseline centralized and decentralized solutions and is more scalable and highly available.</t>
  </si>
  <si>
    <t xml:space="preserve">[Casalicchio, Emiliano; Magliarisi, Danilo] Sapienza Univ Rome, Dept Comp Sci, Rome, Italy; [Casalicchio, Emiliano] Blekinge Inst Technol, Karlskrona, Sweden</t>
  </si>
  <si>
    <t xml:space="preserve">Sapienza University Rome; Blekinge Institute Technology</t>
  </si>
  <si>
    <t xml:space="preserve">Casalicchio, E (corresponding author), Sapienza Univ Rome, Dept Comp Sci, Rome, Italy.;Casalicchio, E (corresponding author), Blekinge Inst Technol, Karlskrona, Sweden.</t>
  </si>
  <si>
    <t xml:space="preserve">casalicchio@di.uniroma1.it; magliarisi@di.uniroma1.it</t>
  </si>
  <si>
    <t xml:space="preserve">P.R.S. Planning Ricerche e Studi srl - HINTS KKS Profile Project [20220068]</t>
  </si>
  <si>
    <t xml:space="preserve">P.R.S. Planning Ricerche e Studi srl - HINTS KKS Profile Project</t>
  </si>
  <si>
    <t xml:space="preserve">D.Magliarisi research is supported by the CloudNEXTGen project funded by P.R.S. Planning Ricerche e Studi srl, in the framework of FSE REACT-EU. E.Casalicchio research is partially funded by the HINTS KKS Profile Project (contract 20220068)</t>
  </si>
  <si>
    <t xml:space="preserve">10.1109/FMEC62297.2024.10710288</t>
  </si>
  <si>
    <t xml:space="preserve">WOS:001343069600020</t>
  </si>
  <si>
    <t xml:space="preserve">Ouriques, R; Fagerholm, F; Mendez, D; Bern, BG</t>
  </si>
  <si>
    <t xml:space="preserve">Ouriques, Raquel; Fagerholm, Fabian; Mendez, Daniel; Bern, Baldvin Gislason</t>
  </si>
  <si>
    <t xml:space="preserve">An investigation of causes and effects of trust in Boundary Artefacts</t>
  </si>
  <si>
    <t xml:space="preserve">Software development; Boundary Artefact; Trust; Trusting beliefs</t>
  </si>
  <si>
    <t xml:space="preserve">OBJECTS; INFORMATION; KNOWLEDGE; IMPLEMENTATION; COMMUNITIES; TECHNOLOGY; SOFTWARE</t>
  </si>
  <si>
    <t xml:space="preserve">Context: Boundary Artefacts (BAs) support software development activities in many aspects because it carries lots of information in the same object that can be used and interpreted by several social groups within an organisation. When the BAs are inconsistent regarding their content, such as many meanings or lack of contextual information, their efficiency is reduced because stakeholders will not trust them. Objective: This study aimed to understand the implications of differences in the perception of trust on software projects and their influence on stakeholders' behaviour. Methods: We conducted an exploratory case study to observe the creation and utilisation of one specific BA and the implications of differences in trust and their influence on stakeholders' behaviour. Results : Our investigation has shown that practitioners adding and adjusting existing content do not entirely understand the stakeholders' needs. Together with the partial management of the content, trust is impacted. When the content of BAs does not meet the trust factors, specifically reliability and predictability, the stakeholders cannot execute their tasks appropriately, and several implications affect the software development project. Additionally, they create workarounds to supply their needs. Conclusion: The differences in trust in BAs affect software projects in different areas of the organisation and interfere with the task execution of various stakeholders. The decrease in trust results from inconsistencies in the content associated with the lack of management of the BA. A structured strategy for representing and managing a BA's content seems appropriate to increase trust levels and efficiency.</t>
  </si>
  <si>
    <t xml:space="preserve">[Ouriques, Raquel; Fagerholm, Fabian; Mendez, Daniel] Blekinge Inst Technol, S-37179 Karlskrona, Sweden; [Fagerholm, Fabian] Aalto Univ, Espoo 00076, Finland; [Mendez, Daniel] Fortiss, D-80805 Munich, Germany; [Bern, Baldvin Gislason] Axis Commun, S-22369 Lund, Sweden</t>
  </si>
  <si>
    <t xml:space="preserve">Blekinge Institute Technology; Aalto University; fortiss</t>
  </si>
  <si>
    <t xml:space="preserve">Ouriques, R (corresponding author), Blekinge Inst Technol, S-37179 Karlskrona, Sweden.</t>
  </si>
  <si>
    <t xml:space="preserve">raquel.ouriques@bth.se</t>
  </si>
  <si>
    <t xml:space="preserve">Mendez, Daniel/ABA-4579-2021; Fagerholm, Fabian/B-1952-2015</t>
  </si>
  <si>
    <t xml:space="preserve">Ouriques, Raquel/0000-0003-2679-0517; Mendez Fernandez, Daniel/0000-0003-0619-6027; Fagerholm, Fabian/0000-0002-7298-3021</t>
  </si>
  <si>
    <t xml:space="preserve">We want to thank all practitioners at Axis who participated and contributed to this study. We would also like to acknowledge that this work was supported by the KKS foundation through the S.E.R.T. Research Profile project at Blekinge Institute of Technology.</t>
  </si>
  <si>
    <t xml:space="preserve">10.1016/j.infsof.2023.107170</t>
  </si>
  <si>
    <t xml:space="preserve">9O5KZ</t>
  </si>
  <si>
    <t xml:space="preserve">WOS:000943641800001</t>
  </si>
  <si>
    <t xml:space="preserve">Kaminaga, H; Awaysheh, FM; Alawadi, S; Kamm, L</t>
  </si>
  <si>
    <t xml:space="preserve">Kaminaga, Hiroki; Awaysheh, Feras M.; Alawadi, Sadi; Kamm, Liina</t>
  </si>
  <si>
    <t xml:space="preserve">MPCFL: Towards Multi-party Computation for Secure Federated Learning Aggregation</t>
  </si>
  <si>
    <t xml:space="preserve">16TH IEEE/ACM INTERNATIONAL CONFERENCE ON UTILITY AND CLOUD COMPUTING, UCC 2023</t>
  </si>
  <si>
    <t xml:space="preserve">16th IEEE/ACM International Conference on Utility and Cloud Computing (UCC) / 10th IEEE/ACM International Conference on Big Data Computing, Applications and Technologies (BDCAT)</t>
  </si>
  <si>
    <t xml:space="preserve">DEC 04-07, 2023</t>
  </si>
  <si>
    <t xml:space="preserve">Taormina, ITALY</t>
  </si>
  <si>
    <t xml:space="preserve">IEEE,Assoc Comp Machinery,ACM SIGARCH,IEEE Comp Soc,Univ Messina,Cardiff Univ,Univ Virginia,Univ N Texas</t>
  </si>
  <si>
    <t xml:space="preserve">Federated Learning; Multi-party Computation; Secret Sharing; Privacy-preserving; Data Security</t>
  </si>
  <si>
    <t xml:space="preserve">In the rapidly evolving machine learning (ML) and distributed systems realm, the escalating concern for data privacy naturally comes to the forefront of discussions. Federated learning (FL) emerges as a pivotal technology capable of addressing the inherent issues of centralized data privacy. However, FL architectures with centralized orchestration are still vulnerable, especially in the aggregation phase. A malicious server can exploit the aggregation process to learn about participants' data. This study proposes MPCFL, a secure FL algorithm based on secure multi-party computation (MPC) and secret sharing. The proposed algorithm leverages the Sharemind MPC framework to aggregate local model updates for securely formulating a global model. MPCFL provides practical mitigation of trending FL concerns, e.g., inference attack, gradient leakage attack, model poisoning, and model inversion. The algorithm is evaluated on several benchmark datasets and shows promising results. Our results demonstrate that the proposed algorithm is viable for developing secure and privacy-preserving FL applications, significantly improving all performance metrics while maintaining security and reliability. This investigation is a precursor to deeper explorations to craft robust FL aggregation algorithms.</t>
  </si>
  <si>
    <t xml:space="preserve">[Kaminaga, Hiroki; Kamm, Liina] Cybernetica AS, Informat Secur Res Inst, Tallinn, Estonia; [Awaysheh, Feras M.] Univ Tartu, Inst Comp Scince, Delta Ctr, Tartu, Estonia; [Alawadi, Sadi] Blekinge Inst Technol, Dept Comp Sci, Karlskrona, Sweden</t>
  </si>
  <si>
    <t xml:space="preserve">Cybernetica; University of Tartu; Blekinge Institute Technology</t>
  </si>
  <si>
    <t xml:space="preserve">Kaminaga, H (corresponding author), Cybernetica AS, Informat Secur Res Inst, Tallinn, Estonia.</t>
  </si>
  <si>
    <t xml:space="preserve">hiroki.kaminaga@cyber.ee; feras.awaysheh@ut.ee; sadi.alawadi@bth.se; liina.kamm@cyber.ee</t>
  </si>
  <si>
    <t xml:space="preserve">Awaysheh, Feras/AAG-7301-2019; Kamm, Liina/O-1446-2019</t>
  </si>
  <si>
    <t xml:space="preserve">Awaysheh, Feras/0000-0002-9561-6099</t>
  </si>
  <si>
    <t xml:space="preserve">EU [101070186]</t>
  </si>
  <si>
    <t xml:space="preserve">EU(European Union (EU))</t>
  </si>
  <si>
    <t xml:space="preserve">This work was prepared and presented as a project in the MegaData: Federated Learning Summer University2, University of Tartu, Tartu Estonia July 31 to August 11, 2023. This research was also supported by EU Horizon Framework grant agreement 101070186 (TEADAL).</t>
  </si>
  <si>
    <t xml:space="preserve">979-8-4007-0234-1</t>
  </si>
  <si>
    <t xml:space="preserve">10.1145/3603166.3632144</t>
  </si>
  <si>
    <t xml:space="preserve">BW9DW</t>
  </si>
  <si>
    <t xml:space="preserve">WOS:001211822800019</t>
  </si>
  <si>
    <t xml:space="preserve">Witschard, D; Jusufi, I; Kucher, K; Kerren, A</t>
  </si>
  <si>
    <t xml:space="preserve">Witschard, Daniel; Jusufi, Ilir; Kucher, Kostiantyn; Kerren, Andreas</t>
  </si>
  <si>
    <t xml:space="preserve">Visually guided extraction of prevalent topics</t>
  </si>
  <si>
    <t xml:space="preserve">INFORMATION VISUALIZATION</t>
  </si>
  <si>
    <t xml:space="preserve">Visual analytics; text mining; text embedding; topic modeling; similarity calculations</t>
  </si>
  <si>
    <t xml:space="preserve">OF-THE-ART; SCIENTIFIC LITERATURE; VISUALIZATION; MODELS</t>
  </si>
  <si>
    <t xml:space="preserve">The sensemaking process of large sets of text documents is highly challenging for tasks such as obtaining a comprehensive overview or keeping up with the most important trends and topics. Even though several established methods for condensation and summarization of large text corpora exist, many of them lack the ability to account for difference in prevalence between identified topics, which in turn impedes quantitative analysis. In this paper, we therefore propose a novel prevalence-aware method for topic extraction, and show how it can be used to obtain important insights from two text corpora with very different content. We also implemented a prototype visual analytics tool which guides the user in the search for relevant insights and promotes trust in the yielded results. We have verified our application by a user study, as well as by a validation run on a data set with previously known topic structure. The results clearly show that our approach is suitable for text mining, that it can be used by non-experts, and that it offers features which makes it an interesting candidate for use in several different analysis scenarios.</t>
  </si>
  <si>
    <t xml:space="preserve">[Witschard, Daniel; Kerren, Andreas] Linnaeus Univ, Dept Comp Sci &amp; Media Technol, Vaxjo 35195, Sweden; [Jusufi, Ilir] Blekinge Inst Technol, Karlskrona, Sweden; [Kucher, Kostiantyn; Kerren, Andreas] Linkoping Univ, Norrkoping, Sweden</t>
  </si>
  <si>
    <t xml:space="preserve">Linnaeus University; Blekinge Institute Technology; Linkoping University</t>
  </si>
  <si>
    <t xml:space="preserve">Witschard, D (corresponding author), Linnaeus Univ, Dept Comp Sci &amp; Media Technol, Vaxjo 35195, Sweden.</t>
  </si>
  <si>
    <t xml:space="preserve">daniel.witschard@lnu.se</t>
  </si>
  <si>
    <t xml:space="preserve">Jusufi, Ilir/G-2932-2014; Kerren, Andreas/AAV-9187-2020</t>
  </si>
  <si>
    <t xml:space="preserve">ELLIT environment for strategic research in Sweden; Knowledge Foundation, Sweden [20210077]</t>
  </si>
  <si>
    <t xml:space="preserve">ELLIT environment for strategic research in Sweden; Knowledge Foundation, Sweden</t>
  </si>
  <si>
    <t xml:space="preserve">The author(s) disclosed receipt of the following financial support for the research, authorship, and/or publication of this article: This work was partially supported through the ELLIT environment for strategic research in Sweden. The work of Ilir Jusufi was supported in part by the Knowledge Foundation, Sweden, through the project Rekryteringar 21, Universitetslektor i spelteknikunder contract 20210077.</t>
  </si>
  <si>
    <t xml:space="preserve">1473-8716</t>
  </si>
  <si>
    <t xml:space="preserve">1473-8724</t>
  </si>
  <si>
    <t xml:space="preserve">INFORM VISUAL</t>
  </si>
  <si>
    <t xml:space="preserve">Inf. Vis.</t>
  </si>
  <si>
    <t xml:space="preserve">2025 JAN 27</t>
  </si>
  <si>
    <t xml:space="preserve">10.1177/14738716241312400</t>
  </si>
  <si>
    <t xml:space="preserve">U0H0T</t>
  </si>
  <si>
    <t xml:space="preserve">WOS:001408697200001</t>
  </si>
  <si>
    <t xml:space="preserve">Gren, Lucas; Berntsson Svensson, Richard</t>
  </si>
  <si>
    <t xml:space="preserve">Is it possible to disregard obsolete requirements? A family of experiments in software effort estimation (Apr, 10.1007/s00766-021-00351-7, 2021)</t>
  </si>
  <si>
    <t xml:space="preserve">A correction to this paper has been published: https://doi.org/10.1007/s00766-021-00354-4</t>
  </si>
  <si>
    <t xml:space="preserve">[Gren, Lucas] Blekinge Inst Technol, Karlskrona, Sweden; [Gren, Lucas] Volvo Cars, Gothenburg, Sweden; [Gren, Lucas; Berntsson Svensson, Richard] Chalmers &amp; Univ Gothenburg, Gothenburg, Sweden</t>
  </si>
  <si>
    <t xml:space="preserve">Blekinge Institute Technology; Volvo; Chalmers University of Technology</t>
  </si>
  <si>
    <t xml:space="preserve">Gren, L (corresponding author), Blekinge Inst Technol, Karlskrona, Sweden.;Gren, L (corresponding author), Volvo Cars, Gothenburg, Sweden.;Gren, L (corresponding author), Chalmers &amp; Univ Gothenburg, Gothenburg, Sweden.</t>
  </si>
  <si>
    <t xml:space="preserve">10.1007/s00766-021-00354-4</t>
  </si>
  <si>
    <t xml:space="preserve">WH5IP</t>
  </si>
  <si>
    <t xml:space="preserve">WOS:000646915300001</t>
  </si>
  <si>
    <t xml:space="preserve">Garousi, V; Bauer, S; Felderer, M</t>
  </si>
  <si>
    <t xml:space="preserve">Garousi, Vahid; Bauer, Sara; Felderer, Michael</t>
  </si>
  <si>
    <t xml:space="preserve">NLP-assisted software testing: A systematic mapping of the literature</t>
  </si>
  <si>
    <t xml:space="preserve">Software testing; Natural Language Processing (NLP); Systematic literature mapping; Systematic literature review</t>
  </si>
  <si>
    <t xml:space="preserve">CODE</t>
  </si>
  <si>
    <t xml:space="preserve">Context: To reduce manual effort of extracting test cases from natural-language requirements, many approaches based on Natural Language Processing (NLP) have been proposed in the literature. Given the large amount of approaches in this area, and since many practitioners are eager to utilize such techniques, it is important to synthesize and provide an overview of the state-of-the-art in this area. Objective: Our objective is to summarize the state-of-the-art in NLP-assisted software testing which could benefit practitioners to potentially utilize those NLP-based techniques. Moreover, this can benefit researchers in providing an overview of the research landscape. Method: To address the above need, we conducted a survey in the form of a systematic literature mapping (classification). After compiling an initial pool of 95 papers, we conducted a systematic voting, and our final pool included 67 technical papers. Results: This review paper provides an overview of the contribution types presented in the papers, types of NLP approaches used to assist software testing, types of required input requirements, and a review of tool support in this area. Some key results we have detected are: (1) only four of the 38 tools (11%) presented in the papers are available for download; (2) a larger ratio of the papers (30 of 67) provided a shallow exposure to the NLP aspects (almost no details). Conclusion: This paper would benefit both practitioners and researchers by serving as an index to the body of knowledge in this area. The results could help practitioners utilizing the existing NLP-based techniques; this in turn reduces the cost of test-case design and decreases the amount of human resources spent on test activities. After sharing this review with some of our industrial collaborators, initial insights show that this review can indeed be useful and beneficial to practitioners.</t>
  </si>
  <si>
    <t xml:space="preserve">[Garousi, Vahid] Queens Univ Belfast, Belfast, Antrim, North Ireland; [Bauer, Sara; Felderer, Michael] Univ Innsbruck, Innsbruck, Austria; [Felderer, Michael] Blekinge Inst Technol, Karlshamn, Sweden</t>
  </si>
  <si>
    <t xml:space="preserve">Queens University Belfast; University of Innsbruck; Blekinge Institute Technology</t>
  </si>
  <si>
    <t xml:space="preserve">Garousi, V (corresponding author), Queens Univ Belfast, Belfast, Antrim, North Ireland.</t>
  </si>
  <si>
    <t xml:space="preserve">v.garousi@qub.ac.uk; sara.bauer@uibk.ac.at; michael.felderer@uibk.ac.at</t>
  </si>
  <si>
    <t xml:space="preserve">Garousi, Vahid/0000-0001-6590-7576</t>
  </si>
  <si>
    <t xml:space="preserve">10.1016/j.infsof.2020.106321</t>
  </si>
  <si>
    <t xml:space="preserve">Green Submitted, Green Accepted</t>
  </si>
  <si>
    <t xml:space="preserve">WOS:000573271800010</t>
  </si>
  <si>
    <t xml:space="preserve">Tran, HKV; Ali, NB; Unterkalmsteiner, M; Borstler, J; Chatzipetrou, P</t>
  </si>
  <si>
    <t xml:space="preserve">Tran, Huynh Khanh Vi; Ali, Nauman bin; Unterkalmsteiner, Michael; Borstler, Juergen; Chatzipetrou, Panagiota</t>
  </si>
  <si>
    <t xml:space="preserve">Quality attributes of test cases and test suites - importance &amp; challenges from practitioners' perspectives</t>
  </si>
  <si>
    <t xml:space="preserve">Software testing; Test case quality; Test suite quality; Quality assurance</t>
  </si>
  <si>
    <t xml:space="preserve">SOFTWARE TEST-CODE; CRITERIA; SMELLS</t>
  </si>
  <si>
    <t xml:space="preserve">The quality of the test suites and the constituent test cases significantly impacts confidence in software testing. While research has identified several quality attributes of test cases and test suites, there is a need for a better understanding of their relative importance in practice. We investigate practitioners' perceptions regarding the relative importance of quality attributes of test cases and test suites and the challenges that they face in ensuring the perceived important quality attributes. To capture the practitioners' perceptions, we conducted an industrial survey using a questionnaire based on the quality attributes identified in an extensive literature review. We used a sampling strategy that leverages LinkedIn to draw a large and heterogeneous sample of professionals with experience in software testing. We collected 354 responses from practitioners with a wide range of experience (from less than one year to 42 years of experience). We found that the majority of practitioners rated Fault Detection, Usability, Maintainability, Reliability, and Coverage to be the most important quality attributes. Resource Efficiency, Reusability, and Simplicity received the most divergent opinions, which, according to our analysis, depend on the software-testing contexts. Also, we identified common challenges that apply to the important attributes, namely inadequate definition, lack of useful metrics, lack of an established review process, and lack of external support. The findings point out where practitioners actually need further support with respect to achieving high-quality test cases and test suites under different software testing contexts. Hence, the findings can serve as a guideline for academic researchers when looking for research directions on the topic. Furthermore, the findings can be used to encourage companies to provide more support to practitioners to achieve high-quality test cases and test suites.</t>
  </si>
  <si>
    <t xml:space="preserve">[Tran, Huynh Khanh Vi; Ali, Nauman bin; Unterkalmsteiner, Michael; Borstler, Juergen] Blekinge Inst Technol, Dept Software Engn, Valhallavagen 1, S-37141 Karlskrona, Blekinge, Sweden; [Chatzipetrou, Panagiota] Orebro Univ, Ctr Empir Res Informat Syst CERIS, Sch Business, Dept Informat, Fakultetsgatan 1, S-70182 Orebro, Orebro, Sweden</t>
  </si>
  <si>
    <t xml:space="preserve">Blekinge Institute Technology; Orebro University</t>
  </si>
  <si>
    <t xml:space="preserve">Tran, HKV (corresponding author), Blekinge Inst Technol, Dept Software Engn, Valhallavagen 1, S-37141 Karlskrona, Blekinge, Sweden.</t>
  </si>
  <si>
    <t xml:space="preserve">huynh.khanh.vi.tran@bth.se; nauman.ali@bth.se; michael.unterkalmsteiner@bth.se; jurgen.borstler@bth.se; panagiota.chatzipetrou@oru.se</t>
  </si>
  <si>
    <t xml:space="preserve">Blekinge Institute of Technology; ELLIIT - Swedish Government [20220235]; GIST; Knowledge Foundation in Sweden</t>
  </si>
  <si>
    <t xml:space="preserve">Blekinge Institute of Technology; ELLIIT - Swedish Government; GIST; Knowledge Foundation in Sweden</t>
  </si>
  <si>
    <t xml:space="preserve">10.1007/s11219-024-09698-w</t>
  </si>
  <si>
    <t xml:space="preserve">S2M2O</t>
  </si>
  <si>
    <t xml:space="preserve">WOS:001396622900001</t>
  </si>
  <si>
    <t xml:space="preserve">Bauer, A; Coppola, R; Alégroth, E; Gorschek, T</t>
  </si>
  <si>
    <t xml:space="preserve">Bauer, Andreas; Coppola, Riccardo; Alegroth, Emil; Gorschek, Tony</t>
  </si>
  <si>
    <t xml:space="preserve">Code review guidelines for GUI-based testing artifacts</t>
  </si>
  <si>
    <t xml:space="preserve">GUI testing; GUI-based testing; Software testing; Code review; Modern code review; Guidelines; Practices</t>
  </si>
  <si>
    <t xml:space="preserve">INDUSTRIAL PRACTICE; INSPECTIONS</t>
  </si>
  <si>
    <t xml:space="preserve">Context: Review of software artifacts, such as source or test code, is a common practice in industrial practice. However, although review guidelines are available for source and low-level test code, for GUI-based testing artifacts, such guidelines are missing. Objective: The goal of this work is to define a set of guidelines from literature about production and test code, that can be mapped to GUI-based testing artifacts. Method: A systematic literature review is conducted, using white and gray literature to identify guidelines for source and test code. These synthesized guidelines are then mapped, through examples, to create actionable, and applicable, guidelines for GUI-based testing artifacts. Results: The results of the study are 33 guidelines, summarized in nine guideline categories, that are successfully mapped as applicable to GUI-based testing artifacts. Of the collected literature, only 10 sources contained test-specific code review guidelines. These guideline categories are: perform automated checks, use checklists, provide context information, utilize metrics, ensure readability, visualize changes, reduce complexity, check conformity with the requirements and follow design principles and patterns. Conclusion: This pivotal set of guidelines provides an industrial contribution in filling the gap of general guidelines for review of GUI-based testing artifacts. Additionally, this work highlights, from an academic perspective, the need for future research in this area to also develop guidelines for other specific aspects of GUI-based testing practice, and to take into account other facets of the review process not covered by this work, such as reviewer selection.</t>
  </si>
  <si>
    <t xml:space="preserve">[Bauer, Andreas; Alegroth, Emil; Gorschek, Tony] Blekinge Inst Technol, Software Engn Res Lab SERL, S-37179 Karlskrona, Sweden; [Coppola, Riccardo] Politecn Torino, Dept Control &amp; Comp Engn, Turin, Italy; [Gorschek, Tony] Fortiss, Munich, Germany</t>
  </si>
  <si>
    <t xml:space="preserve">Blekinge Institute Technology; Polytechnic University of Turin; fortiss</t>
  </si>
  <si>
    <t xml:space="preserve">Bauer, A (corresponding author), Blekinge Inst Technol, Software Engn Res Lab SERL, S-37179 Karlskrona, Sweden.</t>
  </si>
  <si>
    <t xml:space="preserve">andreas.bauer@bth.se; riccardo.coppola@polito.it; emil.alegroth@bth.se; tony.gorschek@bth.se</t>
  </si>
  <si>
    <t xml:space="preserve">Bauer, Andreas/IZQ-4804-2023; Gorschek, Tony/E-3445-2013</t>
  </si>
  <si>
    <t xml:space="preserve">KKS foundation [2018/010]</t>
  </si>
  <si>
    <t xml:space="preserve">We would like to acknowledge that this work was supported by the KKS foundation through the S.E.R.T. Research Profile project (research profile grant 2018/010) at Blekinge Institute of Technology. Further, we thank Michael Dorner for valuable discussions.</t>
  </si>
  <si>
    <t xml:space="preserve">10.1016/j.infsof.2023.107299</t>
  </si>
  <si>
    <t xml:space="preserve">P5VT3</t>
  </si>
  <si>
    <t xml:space="preserve">WOS:001051358500001</t>
  </si>
  <si>
    <t xml:space="preserve">Batra, A; Ivanenko, Y; Vu, VT; Wiemeler, M; Pettersson, MI; Goehringer, D; Kaiser, T</t>
  </si>
  <si>
    <t xml:space="preserve">Batra, A.; Ivanenko, Y.; Vu, V. T.; Wiemeler, M.; Pettersson, M. I.; Goehringer, D.; Kaiser, T.</t>
  </si>
  <si>
    <t xml:space="preserve">Analysis of Surface Roughness with 3D SAR Imaging at 1.5 THz</t>
  </si>
  <si>
    <t xml:space="preserve">2023 48TH INTERNATIONAL CONFERENCE ON INFRARED, MILLIMETER, AND TERAHERTZ WAVES, IRMMW-THZ</t>
  </si>
  <si>
    <t xml:space="preserve">International Conference on Infrared Millimeter and Terahertz Waves</t>
  </si>
  <si>
    <t xml:space="preserve">48th International Conference on Infrared, Millimeter, and Terahertz Waves (IRMMW-THz)</t>
  </si>
  <si>
    <t xml:space="preserve">SEP 17-22, 2023</t>
  </si>
  <si>
    <t xml:space="preserve">McGill Univ, Montreal, CANADA</t>
  </si>
  <si>
    <t xml:space="preserve">Menlo Syst GmbH,VDI Manufactures,ACST,Amplitude Laser Grp,ANOR Technologies,Tourisme Montreal,Inst Natl Rech Sci,Ecole Technologie Superieure,IEEE Microwave Theory &amp; Technol Soc</t>
  </si>
  <si>
    <t xml:space="preserve">McGill Univ</t>
  </si>
  <si>
    <t xml:space="preserve">The expansion of the synthetic aperture radar (SAR) to the emerging THz spectrum has enabled a new era of applications in the areas of automobile, security, non-destructive testing, and material characterization. Thanks to the sub-mm wavelength, extraction of material surface properties is possible and of significant interest for the THz SAR applications. The properties define the surface scattering behavior, which is relational to the applied frequency. This study focuses on surface classification. We evaluate the scattering behavior of a rough surface and a smooth surface at 1.5 THz based on a SAR processing sequence that is introduced in this paper. First, we form the 3D SAR images of the metallic objects and then evaluate the surface properties based on the variation in the energy reflected by the object's surface.</t>
  </si>
  <si>
    <t xml:space="preserve">[Batra, A.; Wiemeler, M.; Kaiser, T.] Univ Duisburg Essen, Inst Digital Signal Proc, D-47057 Duisburg, Germany; [Ivanenko, Y.; Vu, V. T.; Pettersson, M. I.] Blekinge Inst Technol, Dept Math &amp; Nat Sci, S-37179 Karlskrona, Sweden; [Goehringer, D.] Tech Univ Dresden, Chair Adapt Dynam Syst, Dresden, Germany</t>
  </si>
  <si>
    <t xml:space="preserve">Batra, A (corresponding author), Univ Duisburg Essen, Inst Digital Signal Proc, D-47057 Duisburg, Germany.</t>
  </si>
  <si>
    <t xml:space="preserve">Gohringer, Diana/0000-0003-2571-8441</t>
  </si>
  <si>
    <t xml:space="preserve">Deutsche Forschungsgemeinschaft (DFG, German Research Foundation) [287022738 TRR 196]</t>
  </si>
  <si>
    <t xml:space="preserve">This work was supported by the Deutsche Forschungsgemeinschaft (DFG, German Research Foundation) Project-ID 287022738 TRR 196 for associated project S05.</t>
  </si>
  <si>
    <t xml:space="preserve">2162-2027</t>
  </si>
  <si>
    <t xml:space="preserve">979-8-3503-3660-3</t>
  </si>
  <si>
    <t xml:space="preserve">INT CONF INFRA MILLI</t>
  </si>
  <si>
    <t xml:space="preserve">10.1109/IRMMW-THz57677.2023.10299181</t>
  </si>
  <si>
    <t xml:space="preserve">Engineering, Electrical &amp; Electronic; Physics, Applied</t>
  </si>
  <si>
    <t xml:space="preserve">Engineering; Physics</t>
  </si>
  <si>
    <t xml:space="preserve">BW0PK</t>
  </si>
  <si>
    <t xml:space="preserve">WOS:001098999800330</t>
  </si>
  <si>
    <t xml:space="preserve">Molléri, JS; Mendes, E; Petersen, K; Felderer, M</t>
  </si>
  <si>
    <t xml:space="preserve">Molleri, Jefferson Seide; Mendes, Emilia; Petersen, Kai; Felderer, Michael</t>
  </si>
  <si>
    <t xml:space="preserve">Determining a core view of research quality in empirical software engineering</t>
  </si>
  <si>
    <t xml:space="preserve">Research quality; Standards; Conceptual model; Alignment</t>
  </si>
  <si>
    <t xml:space="preserve">INFORMATION-SYSTEMS; EVALUATING RESEARCH; CRITERIA; SCHOLARS</t>
  </si>
  <si>
    <t xml:space="preserve">Context: Research quality is intended to appraise the design and reporting of studies. It comprises a set of standards such as methodological rigor, practical relevance, and conformance to ethical standards. Depending on the perspective, different views of importance are given to the standards for research quality.Objective: To investigate the suitability of a conceptual model of research quality to Software Engineering (SE), from the perspective of researchers engaged in Empirical Software Engineering (ESE) research, in order to understand the core value of research quality. Method: We conducted a mixed-methods approach with two distinct group perspectives: (i) a research group; and (ii) the empirical SE research community. Our data collection approach comprised a questionnaire survey and a complementary focus group. We carried out a hierarchical voting prioritization to collect relative values for importance of standards for research quality.Results: In the context of this research, 'internally valid', 'relevant research idea', and 'applicable results' are perceived as the core standards for research quality in empirical SE. The alignment at the research group level was higher compared to that at the community level.Conclusion: The conceptual model was seen to express fairly the standards for research quality in the SE context. It presented limitations regarding its structure and components' description, which resulted in an updated model.</t>
  </si>
  <si>
    <t xml:space="preserve">[Molleri, Jefferson Seide; Mendes, Emilia; Petersen, Kai; Felderer, Michael] Blekinge Inst Technol, Karlskrona, Sweden; [Molleri, Jefferson Seide] Simula Metropolitan Ctr Digital Engn, Oslo, Norway; [Petersen, Kai] Univ Appl Sci, Flensburg, Germany; [Felderer, Michael] Univ Innsbruck, Innsbruck, Austria</t>
  </si>
  <si>
    <t xml:space="preserve">Blekinge Institute Technology; University of Innsbruck</t>
  </si>
  <si>
    <t xml:space="preserve">Molléri, JS (corresponding author), Simula Metropolitan Ctr Digital Engn, Oslo, Norway.</t>
  </si>
  <si>
    <t xml:space="preserve">jefferson.molleri@gmail.com</t>
  </si>
  <si>
    <t xml:space="preserve">Molleri, Jefferson/AAY-3288-2020; Mendes, Maria/B-4207-2015; Felderer, Michael/AAF-4909-2020</t>
  </si>
  <si>
    <t xml:space="preserve">Molleri, Jefferson/0000-0001-5629-5256; Mendes, Emilia/0000-0003-0449-5322</t>
  </si>
  <si>
    <t xml:space="preserve">The work of Jefferson Seide Molleri is supported by the Science Without Borders program, funded by CNPq (National Council for Scientific and Technological Development - Brazil) .</t>
  </si>
  <si>
    <t xml:space="preserve">10.1016/j.csi.2022.103688</t>
  </si>
  <si>
    <t xml:space="preserve">5L1ND</t>
  </si>
  <si>
    <t xml:space="preserve">WOS:000870181900002</t>
  </si>
  <si>
    <t xml:space="preserve">Critén, S; Andersson, P; Renvert, S; Götrick, B; Berglund, JS; Bengtsson, VW</t>
  </si>
  <si>
    <t xml:space="preserve">Criten, Sladjana; Andersson, Pia; Renvert, Stefan; Goetrick, Bengt; Berglund, Johan Sanmartin; Bengtsson, Viveca Wallin</t>
  </si>
  <si>
    <t xml:space="preserve">Oral health status among 60-year-old individuals born in 1941-1943 and 1954-1955 and 81-year-old individuals born in 1922-1924 and 1933-1934, respectively: a cross-sectional study</t>
  </si>
  <si>
    <t xml:space="preserve">CLINICAL ORAL INVESTIGATIONS</t>
  </si>
  <si>
    <t xml:space="preserve">Aging; Epidemiology; Older; Oral health status</t>
  </si>
  <si>
    <t xml:space="preserve">DENTAL-CARIES; GLOBAL BURDEN; OLDER-PEOPLE; TOOTH LOSS; POPULATION; CARE; PERIODONTITIS; ADULT; AGE; PREVALENCE</t>
  </si>
  <si>
    <t xml:space="preserve">Objective This study aimed to analyze the oral health status of four different birth cohorts: two cohorts of 60-year-olds born in 1941-1943 and 1954-1955 and 2 cohorts of 81-year-olds born in 1920-1922 and 1933-1934. Material and methods The study was based on data from an ongoing longitudinal population project, The Swedish National Study on Aging and Care (SNAC). Oral health status was repeatedly examined clinically and radiographically in 2001-2003 and 2014-2015, including 60- and 81-year-olds, in total 412 individuals. Statistical analyses were performed using independent-samples t test and Pearson's chi(2) test. Results More individuals were dentate in 2014-2015 compared to 2001-2003 in the two age groups: 60 and 81 years (p &lt; 0.001 for both). The mean number of teeth increased in the 60-year-olds from 24.2 to 27.0 and in the 81-year-olds from 14.3 to 20.2. The numbers of at least one intact tooth increased for both age groups (p &lt; 0.001 and p &lt; 0.004, respectively). In the age groups 81 years, there was an increase in having at least one PPD &gt;= 6 mm (p &lt; 0.016) and bone loss &gt;= 5 mm (p &lt; 0.029) between the two examinations. No such differences were found in the age groups of 60 years. Conclusion Over 13 years, oral health improved for both 60- and 81-year-old age groups. The most significant changes were in the 81-year-olds where oral health had improved except for periodontal status.</t>
  </si>
  <si>
    <t xml:space="preserve">[Criten, Sladjana; Andersson, Pia; Renvert, Stefan; Bengtsson, Viveca Wallin] Kristianstad Univ, Fac Hlth Sci, S-29188 Kristianstad, Sweden; [Renvert, Stefan; Berglund, Johan Sanmartin] Blekinge Inst Technol, Dept Hlth, S-37179 Karlskrona, Sweden; [Goetrick, Bengt] Malmo Univ, Fac Odontol, S-20506 Malmo, Sweden</t>
  </si>
  <si>
    <t xml:space="preserve">Kristianstad University; Blekinge Institute Technology; Malmo University</t>
  </si>
  <si>
    <t xml:space="preserve">Critén, S (corresponding author), Kristianstad Univ, Fac Hlth Sci, S-29188 Kristianstad, Sweden.</t>
  </si>
  <si>
    <t xml:space="preserve">sladjana.criten@hkr.se; pia.andersson@hkr.se; stefan.renvert@hkr.se; bengt.gotrick@mau.se; johan.sanmartin.berglund@bth.se; viveca.wallin_bengtsson@hkr.se</t>
  </si>
  <si>
    <t xml:space="preserve">Criten, Sladjana/0000-0002-2463-3959; Andersson, Pia/0000-0003-0269-730X</t>
  </si>
  <si>
    <t xml:space="preserve">Kristianstad University; Ministry of Health and Social Affairs, Sweden; Blekinge Institute of Technology, Karlskrona, Blekinge; Kristianstad University, Kristianstad, Sweden</t>
  </si>
  <si>
    <t xml:space="preserve">Open access funding provided by Kristianstad University. This study was funded by The Ministry of Health and Social Affairs, Sweden, Blekinge Institute of Technology, Karlskrona, Blekinge, and Kristianstad University, Kristianstad, Sweden.</t>
  </si>
  <si>
    <t xml:space="preserve">1432-6981</t>
  </si>
  <si>
    <t xml:space="preserve">1436-3771</t>
  </si>
  <si>
    <t xml:space="preserve">CLIN ORAL INVEST</t>
  </si>
  <si>
    <t xml:space="preserve">Clin. Oral Investig.</t>
  </si>
  <si>
    <t xml:space="preserve">s00784-022-04632-5</t>
  </si>
  <si>
    <t xml:space="preserve">10.1007/s00784-022-04632-5</t>
  </si>
  <si>
    <t xml:space="preserve">6A0OH</t>
  </si>
  <si>
    <t xml:space="preserve">WOS:000832824500001</t>
  </si>
  <si>
    <t xml:space="preserve">Robinson, ZP; Pedersen, RL</t>
  </si>
  <si>
    <t xml:space="preserve">Robinson, Zoe P.; Pedersen, Rebecca Laycock</t>
  </si>
  <si>
    <t xml:space="preserve">How to Repurpose the University: A Resilience Lens on Sustainability Governance</t>
  </si>
  <si>
    <t xml:space="preserve">FRONTIERS IN SUSTAINABILITY</t>
  </si>
  <si>
    <t xml:space="preserve">social-ecological resilience; resilience principles; higher education; education for sustainable development; sustainability governance; universities</t>
  </si>
  <si>
    <t xml:space="preserve">HIGHER-EDUCATION; INSTITUTIONS; PRINCIPLES; POLITICS; MISSION; POLICY</t>
  </si>
  <si>
    <t xml:space="preserve">Universities have an important role in moving society towards a more sustainable future. However, this will require us to repurpose universities, reorienting and refocusing the different university domains (education, research, campus, and outreach) towards sustainability. The governance structures and processes used to embed sustainability into the activities and operations of the institution are critical to achieving the required transformation. Our current university systems which are seen as contributing to socio-ecological system unsustainability are resilient to change due to slow variables such as organisational and sector-wide prevailing paradigms and culture. Therefore, to repurpose a university requires us to destabilise our prevailing system, crossing a threshold into a new stable system of a 'sustainable university' across all its domains. This paper utilises an adaptation of Biggs et al. (2012) resilience principles for the governance of social-ecological systems to provide a framework to consider aspects of university governance for sustainability that can be utilised to repurpose universities towards sustainability, and destabilize unsustainable elements of the system. This paper draws out examples relating to sustainability governance within universities with regards to the four principles of (i) managing diversity and redundancy, (ii) managing connectivity, (iii) managing slow variables and feedbacks, and (iv) encouraging learning and experimentation within the context of complex adaptive systems. In this article, we have shown that using resilience in a non-normative way is possible (to decrease resilience of an unsustainable system), and that it can also be valuable to help understand how to shift organisational governance towards a particular end-state (in this case, university governance that advances sustainability). This paper provides an example of how to operationalise resilience principles of relevance to the resilience literature as well as providing a practical framework to guide higher education institution governance for sustainability.</t>
  </si>
  <si>
    <t xml:space="preserve">[Robinson, Zoe P.] Keele Univ, Inst Sustainable Futures, Sch Geog Geol &amp; Environm, Newcastle, Staffs, England; [Pedersen, Rebecca Laycock] Blekinge Inst Technol, Dept Strateg Sustainable Dev, Karlskrona, Sweden</t>
  </si>
  <si>
    <t xml:space="preserve">Keele University; Blekinge Institute Technology</t>
  </si>
  <si>
    <t xml:space="preserve">Robinson, ZP (corresponding author), Keele Univ, Inst Sustainable Futures, Sch Geog Geol &amp; Environm, Newcastle, Staffs, England.</t>
  </si>
  <si>
    <t xml:space="preserve">z.p.robinson@keele.ac.uk</t>
  </si>
  <si>
    <t xml:space="preserve">Laycock Pedersen, Rebecca/0000-0002-5966-5141</t>
  </si>
  <si>
    <t xml:space="preserve">2673-4524</t>
  </si>
  <si>
    <t xml:space="preserve">FRONT SUSTAIN</t>
  </si>
  <si>
    <t xml:space="preserve">Front. Sustain.</t>
  </si>
  <si>
    <t xml:space="preserve">AUG 27</t>
  </si>
  <si>
    <t xml:space="preserve">10.3389/frsus.2021.674210</t>
  </si>
  <si>
    <t xml:space="preserve">YO9M3</t>
  </si>
  <si>
    <t xml:space="preserve">WOS:001269544900001</t>
  </si>
  <si>
    <t xml:space="preserve">Skär, L; Grankvist, O; Söderberg, S</t>
  </si>
  <si>
    <t xml:space="preserve">Skar, Lisa; Grankvist, Olov; Soderberg, Siv</t>
  </si>
  <si>
    <t xml:space="preserve">Factors of importance for developing a trustful patient-professional relationship when women undergo a pelvic examination</t>
  </si>
  <si>
    <t xml:space="preserve">HEALTH CARE FOR WOMEN INTERNATIONAL</t>
  </si>
  <si>
    <t xml:space="preserve">MEDICAL-STUDENTS; PATIENTS COMPLAINTS; NURSING-CARE; EXPERIENCES; ENCOUNTERS; ATTITUDES; MEANINGS; DIGNITY</t>
  </si>
  <si>
    <t xml:space="preserve">We examined gynecological teaching women's perception on what factors are important for developing a trustful patient-professional relationship when women undergo a pelvic examination. A qualitative research design was conducted with repeated focus group discussions. Our results show that healthcare professionals' communications skills can strengthen a trustful patient-professional relationship. Treating women with dignity could make them feel less vulnerable and make the relationship trustworthy based on respect. Thus, having the ability to identify factors important for a trustful relationship may support healthcare professional's ability to strengthen women's health issues. A trustful relationship might also affect quality of care.</t>
  </si>
  <si>
    <t xml:space="preserve">[Skar, Lisa] Blekinge Inst Technol, Dept Hlth, SE-37179 Karlskrona, Sweden; [Grankvist, Olov] Sunderby Hosp, Dept Obstet &amp; Gynecol, Lulea, Sweden; [Soderberg, Siv] Mid Sweden Univ, Dept Nursing Sci, Ostersund, Sweden</t>
  </si>
  <si>
    <t xml:space="preserve">Blekinge Institute Technology; Sunderby Hospital; Mid-Sweden University</t>
  </si>
  <si>
    <t xml:space="preserve">lisa.skar@bth.se</t>
  </si>
  <si>
    <t xml:space="preserve">0739-9332</t>
  </si>
  <si>
    <t xml:space="preserve">1096-4665</t>
  </si>
  <si>
    <t xml:space="preserve">HEALTH CARE WOMEN IN</t>
  </si>
  <si>
    <t xml:space="preserve">Health Care Women Int.</t>
  </si>
  <si>
    <t xml:space="preserve">AUG 2</t>
  </si>
  <si>
    <t xml:space="preserve">10.1080/07399332.2020.1716234</t>
  </si>
  <si>
    <t xml:space="preserve">JAN 2020</t>
  </si>
  <si>
    <t xml:space="preserve">Public, Environmental &amp; Occupational Health; Women's Studies</t>
  </si>
  <si>
    <t xml:space="preserve">NY7BM</t>
  </si>
  <si>
    <t xml:space="preserve">WOS:000507818800001</t>
  </si>
  <si>
    <t xml:space="preserve">FedCO: Communication-Efficient Federated Learning via Clustering Optimization</t>
  </si>
  <si>
    <t xml:space="preserve">federated learning; Internet of Things; clustering; communication efficiency; convolutional neural network</t>
  </si>
  <si>
    <t xml:space="preserve">Federated Learning (FL) provides a promising solution for preserving privacy in learning shared models on distributed devices without sharing local data on a central server. However, most existing work shows that FL incurs high communication costs. To address this challenge, we propose a clustering-based federated solution, entitled Federated Learning via Clustering Optimization (FedCO), which optimizes model aggregation and reduces communication costs. In order to reduce the communication costs, we first divide the participating workers into groups based on the similarity of their model parameters and then select only one representative, the best performing worker, from each group to communicate with the central server. Then, in each successive round, we apply the Silhouette validation technique to check whether each representative is still made tight with its current cluster. If not, the representative is either moved into a more appropriate cluster or forms a cluster singleton. Finally, we use split optimization to update and improve the whole clustering solution. The updated clustering is used to select new cluster representatives. In that way, the proposed FedCO approach updates clusters by repeatedly evaluating and splitting clusters if doing so is necessary to improve the workers' partitioning. The potential of the proposed method is demonstrated on publicly available datasets and LEAF datasets under the IID and Non-IID data distribution settings. The experimental results indicate that our proposed FedCO approach is superior to the state-of-the-art FL approaches, i.e., FedAvg, FedProx, and CMFL, in reducing communication costs and achieving a better accuracy in both the IID and Non-IID cases.</t>
  </si>
  <si>
    <t xml:space="preserve">Al-Saedi, AA; Casalicchio, E (corresponding author), Blekinge Inst Technol, Dept Comp Sci, SE-37179 Karlskrona, Sweden.;Casalicchio, E (corresponding author), Sapienza Univ Rome, Dept Comp Sci, I-00185 Rome, Italy.</t>
  </si>
  <si>
    <t xml:space="preserve">ahmed.a.al-saedi@bth.se; emiliano.casalicchio@uniroma1.it</t>
  </si>
  <si>
    <t xml:space="preserve">Al-Saedi, Ahmed/IAQ-4965-2023; Casalicchio, Emiliano/JWQ-0758-2024; Boeva, Veselka/IAP-9371-2023</t>
  </si>
  <si>
    <t xml:space="preserve">10.3390/fi14120377</t>
  </si>
  <si>
    <t xml:space="preserve">7E2XH</t>
  </si>
  <si>
    <t xml:space="preserve">WOS:000901037100001</t>
  </si>
  <si>
    <t xml:space="preserve">Klymenko, O; Kosenkov, O; Meisenbacher, S; Elahidoost, P; Mendez, D; Matthes, F</t>
  </si>
  <si>
    <t xml:space="preserve">Klymenko, Oleksandra; Kosenkov, Oleksandr; Meisenbacher, Stephen; Elahidoost, Parisa; Mendez, Daniel; Matthes, Florian</t>
  </si>
  <si>
    <t xml:space="preserve">Understanding the Implementation of Technical Measures in the Process of Data Privacy Compliance: A Qualitative Study</t>
  </si>
  <si>
    <t xml:space="preserve">data privacy; privacy compliance; GDPR; technical measures</t>
  </si>
  <si>
    <t xml:space="preserve">DATA PROTECTION REGULATION</t>
  </si>
  <si>
    <t xml:space="preserve">Background: Modern privacy regulations, such as the General Data Protection Regulation (GDPR), address privacy in software systems in a technologically agnostic way by mentioning general technical measures for data privacy compliance rather than dictating how these should be implemented. An understanding of the concept of technical measures and how exactly these can be handled in practice, however, is not trivial due to its interdisciplinary nature and the necessary technical-legal interactions. Aims: We aim to investigate how the concept of technical measures for data privacy compliance is understood in practice as well as the technical-legal interaction intrinsic to the process of implementing those technical measures. Methods: We follow a research design that is 1) exploratory in nature, 2) qualitative, and 3) interview-based, with 16 selected privacy professionals in the technical and legal domains. Results: Our results suggest that there is no clear mutual understanding and commonly accepted approach to handling technical measures. Both technical and legal roles are involved in the implementation of such measures. While they still often operate in separate spheres, a predominant opinion amongst the interviewees is to promote more interdisciplinary collaboration. Conclusions: Our empirical findings confirm the need for better interaction between legal and engineering teams when implementing technical measures for data privacy. We posit that interdisciplinary collaboration is paramount to a more complete understanding of technical measures, which currently lacks a mutually accepted notion. Yet, as strongly suggested by our results, there is still a lack of systematic approaches to such interaction. Therefore, the results strengthen our confidence in the need for further investigations into the technical-legal dynamic of data privacy compliance.</t>
  </si>
  <si>
    <t xml:space="preserve">[Klymenko, Oleksandra; Meisenbacher, Stephen; Matthes, Florian] Tech Univ Munich, Garching, Bavaria, Germany; [Kosenkov, Oleksandr; Elahidoost, Parisa] Fortiss GmbH, Munich, Bavaria, Germany; [Mendez, Daniel] Blekinge Inst Technol, Karlskrona, Sweden</t>
  </si>
  <si>
    <t xml:space="preserve">Technical University of Munich; fortiss; Blekinge Institute Technology</t>
  </si>
  <si>
    <t xml:space="preserve">Klymenko, O (corresponding author), Tech Univ Munich, Garching, Bavaria, Germany.</t>
  </si>
  <si>
    <t xml:space="preserve">alexandra.klymenko@tum.de; kosenkov@fortiss.org; stephen.meisenbacher@tum.de; elahidoost@fortiss.org; daniel.mendez@bth.se; matthes@tum.de</t>
  </si>
  <si>
    <t xml:space="preserve">Matthes, Florian/0000-0002-6667-5452; Meisenbacher, Stephen/0000-0001-9230-5001; Klymenko, Alexandra/0000-0001-7485-2933</t>
  </si>
  <si>
    <t xml:space="preserve">German Federal Ministry of Education and Research (BMBF) Software Campus grant LACE [01IS17049]; Bavarian Research Institute for Digital Transformation (bidt)</t>
  </si>
  <si>
    <t xml:space="preserve">German Federal Ministry of Education and Research (BMBF) Software Campus grant LACE(Federal Ministry of Education &amp; Research (BMBF)); Bavarian Research Institute for Digital Transformation (bidt)</t>
  </si>
  <si>
    <t xml:space="preserve">This work has been supported by the German Federal Ministry of Education and Research (BMBF) Software Campus grant LACE 01IS17049 and the Bavarian Research Institute for Digital Transformation (bidt) funding for projects Differential Privacy: A New Approach to Handling Social Big Data and Coding Public Value.</t>
  </si>
  <si>
    <t xml:space="preserve">10.1145/3544902.3546234</t>
  </si>
  <si>
    <t xml:space="preserve">WOS:001139214400024</t>
  </si>
  <si>
    <t xml:space="preserve">Jercic, P; Sennersten, C; Lindley, C</t>
  </si>
  <si>
    <t xml:space="preserve">Jercic, Petar; Sennersten, Charlotte; Lindley, Craig</t>
  </si>
  <si>
    <t xml:space="preserve">Modeling cognitive load and physiological arousal through pupil diameter and heart rate</t>
  </si>
  <si>
    <t xml:space="preserve">MULTIMEDIA TOOLS AND APPLICATIONS</t>
  </si>
  <si>
    <t xml:space="preserve">Serious games; Physiology; Electrocardiogram; Pupil diameter; Arousal; Cognitive load</t>
  </si>
  <si>
    <t xml:space="preserve">TASK; DILATION; EMOTION; SIZE</t>
  </si>
  <si>
    <t xml:space="preserve">This study investigates individuals' cognitive load processing abilities while engaged on a decision-making task in serious games, to explore how a substantial cognitive load dominates over the physiological arousal effect on pupil diameter. A serious game was presented to the participants, which displayed the on-line biofeedback based on physiological measurements of arousal. In such dynamic decision-making environment, the pupil diameter was analyzed in relation to the heart rate, to evaluate if the former could be a useful measure of cognitive abilities of individuals. As pupil might reflect both cognitive activity and physiological arousal, the pupillary response will show an arousal effect only when the cognitive demands of the situation are minimal. Evidence shows that in a situation where a substantial level of cognitive activity is required, only that activity will be observable on the pupil diameter, dominating over the physiological arousal effect indicated by the pupillary response. It is suggested that it might be possible to design serious games tailored to the cognitive abilities of an individual player, using the proposed physiological measurements to observe the moment when such dominance occurs.</t>
  </si>
  <si>
    <t xml:space="preserve">[Jercic, Petar] Blekinge Inst Technol, Dept Creat Technol, SE-37179 Karlskrona, Sweden; [Sennersten, Charlotte] CSIRO Mineral Resources, Technol Court, Pullenvale, Australia; [Lindley, Craig] CSIRO, ICT Ctr, Intelligent Sensing &amp; Syst Lab, Hobart, Tas, Australia</t>
  </si>
  <si>
    <t xml:space="preserve">Blekinge Institute Technology; Commonwealth Scientific &amp; Industrial Research Organisation (CSIRO); Mineral Resources; Commonwealth Scientific &amp; Industrial Research Organisation (CSIRO)</t>
  </si>
  <si>
    <t xml:space="preserve">Jercic, P (corresponding author), Blekinge Inst Technol, Dept Creat Technol, SE-37179 Karlskrona, Sweden.</t>
  </si>
  <si>
    <t xml:space="preserve">petar.jercic@bth.se; charlotte.sennersten@csiro.au; craig.lindley@csiro.au</t>
  </si>
  <si>
    <t xml:space="preserve">Jercic, Petar/AAA-5997-2020</t>
  </si>
  <si>
    <t xml:space="preserve">Jercic, Petar/0000-0003-3298-7164; Lindley, Craig/0000-0002-6897-1327</t>
  </si>
  <si>
    <t xml:space="preserve">1380-7501</t>
  </si>
  <si>
    <t xml:space="preserve">1573-7721</t>
  </si>
  <si>
    <t xml:space="preserve">MULTIMED TOOLS APPL</t>
  </si>
  <si>
    <t xml:space="preserve">Multimed. Tools Appl.</t>
  </si>
  <si>
    <t xml:space="preserve">5-6</t>
  </si>
  <si>
    <t xml:space="preserve">10.1007/s11042-018-6518-z</t>
  </si>
  <si>
    <t xml:space="preserve">Computer Science, Information Systems; Computer Science, Software Engineering; Computer Science, Theory &amp; Methods; Engineering, Electrical &amp; Electronic</t>
  </si>
  <si>
    <t xml:space="preserve">KU0OH</t>
  </si>
  <si>
    <t xml:space="preserve">WOS:000519410700006</t>
  </si>
  <si>
    <t xml:space="preserve">Hahn, M; Nord, C; van Krieken, PP; Berggren, PO; Ilegems, E; Cheddad, A; Ahlgren, U</t>
  </si>
  <si>
    <t xml:space="preserve">Hahn, Max; Nord, Christoffer; van Krieken, Pim P.; Berggren, Per-Olof; Ilegems, Erwin; Cheddad, Abbas; Ahlgren, Ulf</t>
  </si>
  <si>
    <t xml:space="preserve">Quantitative 3D OPT and LSFM datasets of pancreata from mice with streptozotocin-induced diabetes</t>
  </si>
  <si>
    <t xml:space="preserve">SCIENTIFIC DATA</t>
  </si>
  <si>
    <t xml:space="preserve">Article; Data Paper</t>
  </si>
  <si>
    <t xml:space="preserve">OPTICAL PROJECTION TOMOGRAPHY; BETA-CELL MASS; QUANTIFICATION; INSULITIS; ISLET</t>
  </si>
  <si>
    <t xml:space="preserve">Mouse models for streptozotocin (STZ) induced diabetes probably represent the most widely used systems for preclinical diabetes research, owing to the compound's toxic effect on pancreatic beta-cells. However, a comprehensive view of pancreatic beta-cell mass distribution subject to STZ administration is lacking. Previous assessments have largely relied on the extrapolation of stereological sections, which provide limited 3D-spatial and quantitative information. This data descriptor presents multiple ex vivo tomographic optical image datasets of the full beta-cell mass distribution in mice subject to single high and multiple low doses of STZ administration, and in glycaemia recovered mice. The data further include information about structural features, such as individual islet beta-cell volumes, spatial coordinates, and shape as well as signal intensities for both insulin and GLUT2. Together, they provide the most comprehensive anatomical record of the effects of STZ administration on the islet of Langerhans in mice. As such, this data descriptor may serve as reference material to facilitate the planning, use and (re)interpretation of this widely used disease model.</t>
  </si>
  <si>
    <t xml:space="preserve">[Hahn, Max; Nord, Christoffer; Ahlgren, Ulf] Umea Univ, Umea Ctr Mol Med, Umea, Sweden; [van Krieken, Pim P.; Berggren, Per-Olof; Ilegems, Erwin] Karolinska Inst, Rolf Luft Res Ctr Diabet &amp; Endocrinol, Stockholm, Sweden; [Cheddad, Abbas] Blekinge Inst Technol, Dept Comp Sci, Karlskrona, Sweden</t>
  </si>
  <si>
    <t xml:space="preserve">Umea University; Karolinska Institutet; Blekinge Institute Technology</t>
  </si>
  <si>
    <t xml:space="preserve">Hahn, M; Nord, C (corresponding author), Umea Univ, Umea Ctr Mol Med, Umea, Sweden.</t>
  </si>
  <si>
    <t xml:space="preserve">Max.Hahn@umu.se; Christoffer.nord@umu.se</t>
  </si>
  <si>
    <t xml:space="preserve">Ahlgren, Ulf/KIK-3542-2024; Hahn, Max/GYA-2732-2022; Cheddad, Abbas/R-7061-2018; Ilegems, Erwin/F-3493-2010; Nord, Christoffer/C-9910-2013</t>
  </si>
  <si>
    <t xml:space="preserve">Cheddad, Abbas/0000-0002-4390-411X; Hahn, Max/0000-0002-0712-8256; Ilegems, Erwin/0000-0002-5873-1186; Ahlgren, Ulf/0000-0001-5923-8572; Nord, Christoffer/0000-0001-9401-6844</t>
  </si>
  <si>
    <t xml:space="preserve">Swedish Research Council; Kempe foundations; Umeao University; Lenanders stiftelse; strategic Research program in Diabetes at Karolinska Institutet; Novo Nordisk Foundation; Swedish Diabetes Association; Family Knut and Alice Wallenberg Foundation; Diabetes Research and Wellness Foundation; Stichting af Jochnick Foundation; Family Erling-Persson Foundation; Berth von Kantzow's Foundation; Skandia Insurance Company, Ltd.; European Union [289932, 613879]; [ERC-2018-AdG 834860]</t>
  </si>
  <si>
    <t xml:space="preserve">Swedish Research Council(Swedish Research Council); Kempe foundations; Umeao University; Lenanders stiftelse; strategic Research program in Diabetes at Karolinska Institutet; Novo Nordisk Foundation(Novo Nordisk FoundationNovocure Limited); Swedish Diabetes Association; Family Knut and Alice Wallenberg Foundation; Diabetes Research and Wellness Foundation; Stichting af Jochnick Foundation; Family Erling-Persson Foundation; Berth von Kantzow's Foundation; Skandia Insurance Company, Ltd.; European Union(European Union (EU));</t>
  </si>
  <si>
    <t xml:space="preserve">This project was funded by the Swedish Research Council, the Kempe foundations, Umeao University, Lenanders stiftelse, The strategic Research program in Diabetes at Karolinska Institutet, the Novo Nordisk Foundation, the Swedish Diabetes Association, the Family Knut and Alice Wallenberg Foundation, Diabetes Research and Wellness Foundation, the Stichting af Jochnick Foundation, the Family Erling-Persson Foundation, Berth von Kantzow's Foundation, the Skandia Insurance Company, Ltd., ERC-2018-AdG 834860 EYELETS, the European Union's Seventh Framework Program under grant agreements nos. 289932 and 613879.</t>
  </si>
  <si>
    <t xml:space="preserve">2052-4463</t>
  </si>
  <si>
    <t xml:space="preserve">SCI DATA</t>
  </si>
  <si>
    <t xml:space="preserve">Sci. Data</t>
  </si>
  <si>
    <t xml:space="preserve">10.1038/s41597-022-01546-5</t>
  </si>
  <si>
    <t xml:space="preserve">4L1GO</t>
  </si>
  <si>
    <t xml:space="preserve">WOS:000852384000002</t>
  </si>
  <si>
    <t xml:space="preserve">Wiesweg, F; Vogelsang, A; Mendez, D</t>
  </si>
  <si>
    <t xml:space="preserve">Wiesweg, Florian; Vogelsang, Andreas; Mendez, Daniel</t>
  </si>
  <si>
    <t xml:space="preserve">Data-driven Risk Management for Requirements Engineering: An Automated Approach based on Bayesian Networks</t>
  </si>
  <si>
    <t xml:space="preserve">QUALITY; PAIN</t>
  </si>
  <si>
    <t xml:space="preserve">Requirements Engineering (RE) is a means to reduce the risk of delivering a product that does not fulfill the stakeholders' needs. Therefore, a major challenge in RE is to decide how much RE is needed and what RE methods to apply. The quality of such decisions is strongly based on the RE expert's experience and expertise in carefully analyzing the context and current state of a project. Recent work, however, shows that lack of experience and qualification are common causes for problems in RE. We trained a series of Bayesian Networks on data from the NaPiRE survey to model relationships between RE problems, their causes, and effects in projects with different contextual characteristics. These models were used to conduct (1) a postmortem (diagnostic) analysis, deriving probable causes of suboptimal RE performance, and (2) to conduct a preventive analysis, predicting probable issues a young project might encounter. The method was subject to a rigorous cross-validation procedure for both use cases before assessing its applicability to real-world scenarios with a case study.</t>
  </si>
  <si>
    <t xml:space="preserve">[Wiesweg, Florian; Vogelsang, Andreas] Tech Univ Berlin, Berlin, Germany; [Mendez, Daniel] Blekinge Inst Technol, Blekinge, Sweden; [Mendez, Daniel] Fortiss GmbH, Munich, Germany</t>
  </si>
  <si>
    <t xml:space="preserve">Technical University of Berlin; Blekinge Institute Technology; fortiss</t>
  </si>
  <si>
    <t xml:space="preserve">Wiesweg, F (corresponding author), Tech Univ Berlin, Berlin, Germany.</t>
  </si>
  <si>
    <t xml:space="preserve">florian.wiesweg@alumni.tu-berlin.de; andreas.vogelsang@tu-berlin.de; daniel.mendez@bth.se</t>
  </si>
  <si>
    <t xml:space="preserve">Mendez Fernandez, Daniel/0000-0003-0619-6027; Vogelsang, Andreas/0000-0003-1041-0815</t>
  </si>
  <si>
    <t xml:space="preserve">10.1109/RE48521.2020.00024</t>
  </si>
  <si>
    <t xml:space="preserve">WOS:000628527900015</t>
  </si>
  <si>
    <t xml:space="preserve">Baldassarre, MT; Caivano, D; Fucci, D; Romano, S; Scanniello, G</t>
  </si>
  <si>
    <t xml:space="preserve">Baldassarre, Maria Teresa; Caivano, Danilo; Fucci, Davide; Romano, Simone; Scanniello, Giuseppe</t>
  </si>
  <si>
    <t xml:space="preserve">Affective reactions and test-driven development: Results from three experiments and a survey</t>
  </si>
  <si>
    <t xml:space="preserve">TDD; Affective state; SAM; Experiment; Replication; Survey</t>
  </si>
  <si>
    <t xml:space="preserve">SOFTWARE; EMOTION; DESIGNS; POWER</t>
  </si>
  <si>
    <t xml:space="preserve">The research on the claimed effects of Test-Driven Development (TDD) on software quality and developers' productivity has shown inconclusive results. Some researchers have ascribed such results to the negative affective reactions that TDD would provoke when developers apply it. In this paper, we studied whether and in which phases TDD influences the affective states of developers, who are new to this development approach. To that end, we conducted a baseline experiment and two replications, and analyzed the data from these experiments both individually and jointly. Also, we performed methodological triangulation by means of an explanatory survey, whose respondents were experienced with TDD. The results of the baseline experiment suggested that developers like TDD significantly less, compared to a non-TDD approach. Also, developers who apply TDD like implementing production code significantly less than those who apply a non-TDD approach, while testing production code makes TDD developers significantly less happy. These results were not confirmed in the replicated experiments. We found that the moderator that better explains these differences across experiments is experience (in months) with unit testing, practiced in a test-last manner. The higher the experience with unit testing, the more negative the affective reactions caused by TDD. The results from the survey seem to confirm the role of this moderator. (C) 2021 Elsevier Inc. All rights reserved.</t>
  </si>
  <si>
    <t xml:space="preserve">[Baldassarre, Maria Teresa; Caivano, Danilo] Univ Bari, Bari, Italy; [Romano, Simone] Univ Bari, Dept Comp Sci, Bari, Italy; [Fucci, Davide] Blekinge Inst Technol, Karlskrona, Sweden; [Scanniello, Giuseppe] Univ Basilicata, Dept Math &amp; Comp Sci, Potenza, Italy</t>
  </si>
  <si>
    <t xml:space="preserve">Universita degli Studi di Bari Aldo Moro; Universita degli Studi di Bari Aldo Moro; Blekinge Institute Technology; University of Basilicata</t>
  </si>
  <si>
    <t xml:space="preserve">Romano, S (corresponding author), Univ Bari, Dept Comp Sci, Bari, Italy.</t>
  </si>
  <si>
    <t xml:space="preserve">mariateresa.baldassarre@uniba.it; danilo.caivano@uniba.it; davide.fucci@bth.se; simone.romano@uniba.it; giuseppe.scanniello@unibas.it</t>
  </si>
  <si>
    <t xml:space="preserve">baldassarre, maria teresa/0000-0001-8589-2850; Fucci, Davide/0000-0002-0679-4361; Romano, Simone/0000-0003-4880-3622</t>
  </si>
  <si>
    <t xml:space="preserve">KKS foundation through the S.E.R.T. Research Pro-file project at Blekinge Institute of Technology</t>
  </si>
  <si>
    <t xml:space="preserve">For this work, Davide Fucci would like to acknowledge the support of the KKS foundation through the S.E.R.T. Research Pro-file project at Blekinge Institute of Technology.</t>
  </si>
  <si>
    <t xml:space="preserve">10.1016/j.jss.2021.111154</t>
  </si>
  <si>
    <t xml:space="preserve">YR4WN</t>
  </si>
  <si>
    <t xml:space="preserve">WOS:000749992600007</t>
  </si>
  <si>
    <t xml:space="preserve">García-Martín, E; Lavesson, N; Grahn, H; Casalicchio, E; Boeva, V</t>
  </si>
  <si>
    <t xml:space="preserve">Garcia-Martin, Eva; Lavesson, Niklas; Grahn, Hakan; Casalicchio, Emiliano; Boeva, Veselka</t>
  </si>
  <si>
    <t xml:space="preserve">Energy-aware very fast decision tree</t>
  </si>
  <si>
    <t xml:space="preserve">INTERNATIONAL JOURNAL OF DATA SCIENCE AND ANALYTICS</t>
  </si>
  <si>
    <t xml:space="preserve">Data stream mining; Green artificial intelligence; Energy efficiency; Hoeffding trees; Energy-aware machine learning</t>
  </si>
  <si>
    <t xml:space="preserve">Recently machine learning researchers are designing algorithms that can run in embedded and mobile devices, which introduces additional constraints compared to traditional algorithm design approaches. One of these constraints is energy consumption, which directly translates to battery capacity for these devices. Streaming algorithms, such as the Very Fast Decision Tree (VFDT), are designed to run in such devices due to their high velocity and low memory requirements. However, they have not been designed with an energy efficiency focus. This paper addresses this challenge by presenting the nmin adaptation method, which reduces the energy consumption of the VFDT algorithm with only minor effects on accuracy. nmin adaptation allows the algorithm to grow faster in those branches where there is more confidence to create a split, and delays the split on the less confident branches. This removes unnecessary computations related to checking for splits but maintains similar levels of accuracy. We have conducted extensive experiments on 29 public datasets, showing that the VFDT with nmin adaptation consumes up to 31% less energy than the original VFDT, and up to 96% less energy than the CVFDT (VFDT adapted for concept drift scenarios), trading off up to 1.7 percent of accuracy.</t>
  </si>
  <si>
    <t xml:space="preserve">[Garcia-Martin, Eva; Lavesson, Niklas; Grahn, Hakan; Casalicchio, Emiliano; Boeva, Veselka] Blekinge Inst Technol, Karlskrona, Sweden; [Lavesson, Niklas] Jonkoping Univ, Jonkoping, Sweden; [Casalicchio, Emiliano] Sapienza Univ Rome, Rome, Italy</t>
  </si>
  <si>
    <t xml:space="preserve">Blekinge Institute Technology; Jonkoping University; Sapienza University Rome</t>
  </si>
  <si>
    <t xml:space="preserve">García-Martín, E (corresponding author), Blekinge Inst Technol, Karlskrona, Sweden.</t>
  </si>
  <si>
    <t xml:space="preserve">evagartin@gmail.com</t>
  </si>
  <si>
    <t xml:space="preserve">Lavesson, Niklas/B-3313-2013; Boeva, Veselka/IAP-9371-2023; Grahn, Håkan/G-9720-2011; Casalicchio, Emiliano/JWQ-0758-2024</t>
  </si>
  <si>
    <t xml:space="preserve">Casalicchio, Emiliano/0000-0002-3118-5058; Grahn, Hakan/0000-0001-9947-1088</t>
  </si>
  <si>
    <t xml:space="preserve">2364-415X</t>
  </si>
  <si>
    <t xml:space="preserve">2364-4168</t>
  </si>
  <si>
    <t xml:space="preserve">INT J DATA SCI ANAL</t>
  </si>
  <si>
    <t xml:space="preserve">Int. J, Data Sci. Anal.</t>
  </si>
  <si>
    <t xml:space="preserve">10.1007/s41060-021-00246-4</t>
  </si>
  <si>
    <t xml:space="preserve">RF6JJ</t>
  </si>
  <si>
    <t xml:space="preserve">WOS:000631559600001</t>
  </si>
  <si>
    <t xml:space="preserve">Pilthammar, J; Banabic, D; Sigvant, M</t>
  </si>
  <si>
    <t xml:space="preserve">Pilthammar, Johan; Banabic, Dorel; Sigvant, Mats</t>
  </si>
  <si>
    <t xml:space="preserve">BBC05 with non-integer exponent and ambiguities in Nakajima yield surface calibration</t>
  </si>
  <si>
    <t xml:space="preserve">INTERNATIONAL JOURNAL OF MATERIAL FORMING</t>
  </si>
  <si>
    <t xml:space="preserve">Sheet metal forming; Yield criteria; Non-integer exponent; Yield surface calibration; Friction; Inverse Modelling</t>
  </si>
  <si>
    <t xml:space="preserve">FRICTION</t>
  </si>
  <si>
    <t xml:space="preserve">Reliable sheet metal forming simulations depend on accurate descriptions of real process conditions. These conditions include material behavior, lubrication systems, tool deformations, press dynamics, and more. Research on material models is the most mature area for describing these conditions in a reliable way. Several advanced and flexible models exists. This study focuses on two versions of yield criteria for sheet materials that are assumed to follow the plane stress assumption: the BBC05 model with integer exponent and the BBC05 model with non-integer exponent. The literature has previously described the BBC05 model with integer exponent. This paper elaborates on a modified version with non-integer exponent that offers more flexibility in the mathematical description. Furthermore, it outlines the implementation of this material model and similar yield criteria as user subroutines in finite element software. As mathematical flexibility increases, it enables more physically correct material approximations. However, it also becomes more challenging to calibrate because of ambiguities due to a larger number of mathematical variables. These ambiguities is demonstrated by using a Nakajima test without lubrication during inverse modeling of parameters for the BBC05 model. It shows that it is impossible to accurately identify the physically correct combination of friction coefficient and the yield surface exponent, k, using strain distributions and punch force. It is suggested to use two Nakajima tests in the inverse modeling process where friction can be neglected due to testing conforming to ISO12004-2. One test that corresponds to equi-biaxial strain of the sheet, and one that corresponds to plane strain in the transverse direction of the sheet. By utilizing these samples in the inverse modeling it is possible to separate friction from the exponent k. A non-integer value of k is found to yield the most reliable prediction of strains and forces in the simulations, thereby also demonstrating the need of flexible yield surface models such as BBC05 with non-integer exponent, YLD2000, Vegter and more advanced yield criteria.</t>
  </si>
  <si>
    <t xml:space="preserve">[Pilthammar, Johan; Sigvant, Mats] Volvo Cars, Dept Strategy &amp; Concept 81110, Olofstrom, Sweden; [Pilthammar, Johan] Blekinge Inst Technol, S-37141 Karlskrona, Sweden; [Banabic, Dorel; Sigvant, Mats] Tech Univ Cluj Napoca, Memorandumului 28, Cluj Napoca 400040, Romania</t>
  </si>
  <si>
    <t xml:space="preserve">Volvo; Blekinge Institute Technology; Technical University of Cluj Napoca</t>
  </si>
  <si>
    <t xml:space="preserve">Pilthammar, J (corresponding author), Volvo Cars, Dept Strategy &amp; Concept 81110, Olofstrom, Sweden.;Pilthammar, J (corresponding author), Blekinge Inst Technol, S-37141 Karlskrona, Sweden.</t>
  </si>
  <si>
    <t xml:space="preserve">Banabic, Dorel/B-7542-2011; Sigvant, Mats/JJG-2577-2023; Pilthammar, Johan/O-7710-2016</t>
  </si>
  <si>
    <t xml:space="preserve">Pilthammar, Johan/0000-0002-6526-976X</t>
  </si>
  <si>
    <t xml:space="preserve">Blekinge Institute of Technology; project Reduced Lead Time through Advanced Die Structure Analysis - Swedish Innovation Agency Vinnova within the Strategic Vehicle Research and Innovation (FFI) Programme</t>
  </si>
  <si>
    <t xml:space="preserve">Blekinge Institute of Technology; project Reduced Lead Time through Advanced Die Structure Analysis - Swedish Innovation Agency Vinnova within the Strategic Vehicle Research and Innovation (FFI) Programme(Vinnova)</t>
  </si>
  <si>
    <t xml:space="preserve">Open access funding provided by Blekinge Institute of Technology. The parts of this research conducted at Volvo Cars and Blekinge Institute of Technology received funding within the project Reduced Lead Time through Advanced Die Structure Analysis financed by the Swedish Innovation Agency Vinnova within the Strategic Vehicle Research and Innovation (FFI) Programme.</t>
  </si>
  <si>
    <t xml:space="preserve">SPRINGER FRANCE</t>
  </si>
  <si>
    <t xml:space="preserve">22 RUE DE PALESTRO, PARIS, 75002, FRANCE</t>
  </si>
  <si>
    <t xml:space="preserve">1960-6206</t>
  </si>
  <si>
    <t xml:space="preserve">1960-6214</t>
  </si>
  <si>
    <t xml:space="preserve">INT J MATER FORM</t>
  </si>
  <si>
    <t xml:space="preserve">Int. J. Mater. Form.</t>
  </si>
  <si>
    <t xml:space="preserve">10.1007/s12289-020-01545-0</t>
  </si>
  <si>
    <t xml:space="preserve">Engineering, Manufacturing; Materials Science, Multidisciplinary; Metallurgy &amp; Metallurgical Engineering</t>
  </si>
  <si>
    <t xml:space="preserve">SZ9XK</t>
  </si>
  <si>
    <t xml:space="preserve">WOS:000518077200001</t>
  </si>
  <si>
    <t xml:space="preserve">Fredin, S; Lidén, A</t>
  </si>
  <si>
    <t xml:space="preserve">Fredin, Sabrina; Liden, Alina</t>
  </si>
  <si>
    <t xml:space="preserve">Entrepreneurial ecosystems: towards a systemic approach to entrepreneurship?</t>
  </si>
  <si>
    <t xml:space="preserve">GEOGRAFISK TIDSSKRIFT-DANISH JOURNAL OF GEOGRAPHY</t>
  </si>
  <si>
    <t xml:space="preserve">Entrepreneurial ecosystems; entrepreneurship; complex adaptive systems; systemic approach; complexity</t>
  </si>
  <si>
    <t xml:space="preserve">START-UPS; POLICY; ORGANIZATION; COMPLEXITY</t>
  </si>
  <si>
    <t xml:space="preserve">Despite its relative newness, entrepreneurial ecosystems (EEs) have attracted much attention from research and policy but they are recognized to be largely untheorized. It is claimed that one aspect which distinguishes the EE perspective from other perspectives related to business environments is its systemic approach; however, much of the systemic approach still needs to be investigated. The aim of this paper is therefore to investigate how the systemic and complex approach of EEs can be theoretically strengthened. We do this by investigating what values complex adaptive system theory holds for advancing the EE perspective. We highlight four propositions which are of particular importance for strengthening the systemic approach of EE: spatial and component boundaries of the system; self-governance; the relational dimension between system components and the system; and the evolution of the system. We propose that boundaries should be seen as a natural part of the system, that a complex system is too complex to capture all components and all interactions, and that studying only individual activities will not enable us to fully understand the system's behaviour.</t>
  </si>
  <si>
    <t xml:space="preserve">[Fredin, Sabrina] Blekinge Tekniska Hogskola, Dept Spatial Planning, S-37179 Karlskrona, Sweden; [Liden, Alina] Lund Univ, Dept Serv Management &amp; Serv Studies, Hesingborg, Sweden; [Liden, Alina] Kristianstad Univ, Dept Business Adm &amp; Work Sci, Kristianstad, Sweden</t>
  </si>
  <si>
    <t xml:space="preserve">Blekinge Institute Technology; Lund University; Kristianstad University</t>
  </si>
  <si>
    <t xml:space="preserve">Fredin, S (corresponding author), Blekinge Tekniska Hogskola, Dept Spatial Planning, S-37179 Karlskrona, Sweden.</t>
  </si>
  <si>
    <t xml:space="preserve">sfl@bth.se</t>
  </si>
  <si>
    <t xml:space="preserve">Fredin, Sabrina/GQY-5184-2022</t>
  </si>
  <si>
    <t xml:space="preserve">Fredin, Sabrina/0000-0003-3866-3961</t>
  </si>
  <si>
    <t xml:space="preserve">ROYAL DANISH GEOGRAPHICAL SOC</t>
  </si>
  <si>
    <t xml:space="preserve">COPENHAGEN K</t>
  </si>
  <si>
    <t xml:space="preserve">OSTER VOLDGADE 10, COPENHAGEN K, DK 1350, DENMARK</t>
  </si>
  <si>
    <t xml:space="preserve">0016-7223</t>
  </si>
  <si>
    <t xml:space="preserve">1903-2471</t>
  </si>
  <si>
    <t xml:space="preserve">GEOGR TIDSSKR-DEN</t>
  </si>
  <si>
    <t xml:space="preserve">Geogr. Tidsskr.</t>
  </si>
  <si>
    <t xml:space="preserve">10.1080/00167223.2020.1769491</t>
  </si>
  <si>
    <t xml:space="preserve">Environmental Studies; Geography</t>
  </si>
  <si>
    <t xml:space="preserve">Environmental Sciences &amp; Ecology; Geography</t>
  </si>
  <si>
    <t xml:space="preserve">OZ8KM</t>
  </si>
  <si>
    <t xml:space="preserve">WOS:000545873700001</t>
  </si>
  <si>
    <t xml:space="preserve">Elahidoost, P; Mendez, D; Unterkalmsteiner, M; Fischbach, J; Feiler, C; Streit, J</t>
  </si>
  <si>
    <t xml:space="preserve">Elahidoost, Parisa; Mendez, Daniel; Unterkalmsteiner, Michael; Fischbach, Jannik; Feiler, Christian; Streit, Jonathan</t>
  </si>
  <si>
    <t xml:space="preserve">Practices, Challenges, and Opportunities When Inferring Requirements From Regulations in the FinTech Sector - An Industrial Study</t>
  </si>
  <si>
    <t xml:space="preserve">Requirements Engineering; Regulatory Compliance; Empirical Study</t>
  </si>
  <si>
    <t xml:space="preserve">[Context and motivation]: Understanding and interpreting regulatory norms and inferring software requirements from them is a critical step towards regulatory compliance, a matter of significant importance in various industrial sectors. [Question/ problem]: However, interpreting regulations still largely depends on individual legal expertise and experience within the respective domain, with little to no systematic methodologies and supportive tools to guide this practice. In fact, research in this area is too often detached from practitioners' experiences, rendering the proposed solutions not transferable to industrial practice. As we argue, one reason is that we still lack a profound understanding of industry- and domain-specific practices and challenges. [Principal ideas/ results]: We aim to close this gap and provide such an investigation at the example of the banking and insurance domain. We conduct an industrial multi-case study as part of a long-term academia-industry collaboration with a medium-sized software development and renovation company. We explore contemporary industrial practices and challenges when inferring requirements from regulations to support more problem-driven research. Our study investigates the complexities of requirement engineering in regulatory contexts, pinpointing various issues and discussing them in detail. We highlight the gathered insights and the practical challenges encountered and suggest avenues for future research. [Contribution]: Our contribution is a comprehensive case study focused on the FinTech domain, offering a detailed understanding of the specific needs within this sector. We have identified key practices for managing regulatory requirements in software development, and have pinpointed several challenges. We conclude by offering a set of recommendations for future problem-driven research directions.</t>
  </si>
  <si>
    <t xml:space="preserve">[Elahidoost, Parisa; Mendez, Daniel; Fischbach, Jannik] Fortiss GmbH, Munich, Germany; [Mendez, Daniel; Unterkalmsteiner, Michael] Blekinge Inst Technol, Karlskrona, Sweden; [Fischbach, Jannik] Netlight Consulting GmbH, Munich, Germany; [Feiler, Christian; Streit, Jonathan] Itestra GmbH, Munich, Germany</t>
  </si>
  <si>
    <t xml:space="preserve">Elahidoost, P (corresponding author), Fortiss GmbH, Munich, Germany.</t>
  </si>
  <si>
    <t xml:space="preserve">elahidoost@fortiss.org; daniel.mendez@bth.se; michael.unterkalmsteiner@bth.se; jannik.fischbach@netlight.com; feiler@itestra.de; streit@itestra.de</t>
  </si>
  <si>
    <t xml:space="preserve">We thank our supportive long-term partner itestra and all practitioners involved in our study for making this study possible and providing such valuable insights. This work was further supported by the KKS foundation through the S.E.R.T. Research Profile project at Blekinge Institute of Technology.</t>
  </si>
  <si>
    <t xml:space="preserve">10.1109/REW61692.2024.00024</t>
  </si>
  <si>
    <t xml:space="preserve">WOS:001304537500020</t>
  </si>
  <si>
    <t xml:space="preserve">Mourao, E; Pimentel, JF; Murta, L; Kalinowski, M; Mendes, E; Wohlin, C</t>
  </si>
  <si>
    <t xml:space="preserve">Mourao, Erica; Pimentel, Joao Felipe; Murta, Leonardo; Kalinowski, Marcos; Mendes, Emilia; Wohlin, Claes</t>
  </si>
  <si>
    <t xml:space="preserve">On the performance of hybrid search strategies for systematic literature reviews in software engineering</t>
  </si>
  <si>
    <t xml:space="preserve">Systematic literature review; Search Strategy; Database Search; Snowballing; Software Engineering</t>
  </si>
  <si>
    <t xml:space="preserve">Context: When conducing a Systematic Literature Review (SLR), researchers usually face the challenge of designing a search strategy that appropriately balances result quality and review effort. Using digital library (or database) searches or snowballing alone may not be enough to achieve high-quality results. On the other hand, using both digital library searches and snowballing together may increase the overall review effort. Objective: The goal of this research is to propose and evaluate hybrid search strategies that selectively combine database searches with snowballing. Method: We propose four hybrid search strategies combining database searches in digital libraries with iterative, parallel, or sequential backward and forward snowballing. We simulated the strategies over three existing SLRs in SE that adopted both database searches and snowballing. We compared the outcome of digital library searches, snowballing, and hybrid strategies using precision, recall, and F-measure to investigate the performance of each strategy. Results: Our results show that, for the analyzed SLRs, combining database searches from the Scopus digital library with parallel or sequential snowballing achieved the most appropriate balance of precision and recall. Conclusion: We put forward that, depending on the goals of the SLR and the available resources, using a hybrid search strategy involving a representative digital library and parallel or sequential snowballing tends to represent an appropriate alternative to be used when searching for evidence in SLRs.</t>
  </si>
  <si>
    <t xml:space="preserve">[Mourao, Erica; Pimentel, Joao Felipe; Murta, Leonardo] Fluminense Fed Univ, Niteroi, RJ, Brazil; [Kalinowski, Marcos] Pontifical Catholic Univ Rio de Janeiro PUC Rio, Rio De Janeiro, RJ, Brazil; [Mendes, Emilia; Wohlin, Claes] Blekinge Inst Technol, Karlskrona, Sweden</t>
  </si>
  <si>
    <t xml:space="preserve">Universidade Federal Fluminense; Pontificia Universidade Catolica do Rio de Janeiro; Blekinge Institute Technology</t>
  </si>
  <si>
    <t xml:space="preserve">Kalinowski, M (corresponding author), Pontifical Catholic Univ Rio de Janeiro PUC Rio, Rio De Janeiro, RJ, Brazil.</t>
  </si>
  <si>
    <t xml:space="preserve">ericamourao@id.uff.br; kalinowski@inf.puc-rio.br</t>
  </si>
  <si>
    <t xml:space="preserve">Mendes, Emilia/0000-0003-0449-5322; Pimentel, Joao Felipe/0000-0001-6680-7470; Mourao, Erica/0000-0001-7916-0143; Kalinowski, Marcos/0000-0003-1445-3425; Wohlin, Claes/0000-0003-0460-5253</t>
  </si>
  <si>
    <t xml:space="preserve">Brazilian Research Council (CNPq); CAPES</t>
  </si>
  <si>
    <t xml:space="preserve">Brazilian Research Council (CNPq)(Conselho Nacional de Desenvolvimento Cientifico e Tecnologico (CNPQ)); CAPES(Coordenacao de Aperfeicoamento de Pessoal de Nivel Superior (CAPES))</t>
  </si>
  <si>
    <t xml:space="preserve">We thank the Brazilian Research Council (CNPq) and CAPES for financial support.</t>
  </si>
  <si>
    <t xml:space="preserve">RADARWEG 29a, 1043 NX AMSTERDAM, NETHERLANDS</t>
  </si>
  <si>
    <t xml:space="preserve">10.1016/j.infsof.2020.106294</t>
  </si>
  <si>
    <t xml:space="preserve">LK1XD</t>
  </si>
  <si>
    <t xml:space="preserve">WOS:000530651200011</t>
  </si>
  <si>
    <t xml:space="preserve">Tkaczyk, R; Madejski, G; Gradolewski, D; Dziak, D; Kulesza, WJ</t>
  </si>
  <si>
    <t xml:space="preserve">Tkaczyk, Rafal; Madejski, Grzegorz; Gradolewski, Dawid; Dziak, Damian; Kulesza, Wlodek J.</t>
  </si>
  <si>
    <t xml:space="preserve">Methodological Selection of Optimal Features for Object Classification Based on Stereovision System</t>
  </si>
  <si>
    <t xml:space="preserve">avifauna classification; ae ms; feature extraction; IoT; nature conservation; smart sensing; wildlife hazard management; wind farms</t>
  </si>
  <si>
    <t xml:space="preserve">AEROECOLOGY; BIRDS</t>
  </si>
  <si>
    <t xml:space="preserve">With the expansion of green energy, more and more data show that wind turbines can pose a significant threat to some endangered bird species. The birds of prey are more frequently exposed to collision risk with the wind turbine blades due to their unique flight path patterns. This paper shows how data from a stereovision system can be used for an efficient classification of detected objects. A method for distinguishing endangered birds from common birds and other flying objects has been developed and tested. The research focused on the selection of a suitable feature extraction methodology. Both motion and visual features are extracted from the Bioseco BPS system and retested using a correlation-based and a wrapper-type approach with genetic algorithms (GAs). With optimal features and fine-tuned classifiers, birds can be distinguished from aeroplanes with a 98.6% recall and 97% accuracy, whereas endangered birds are delimited from common ones with 93.5% recall and 77.2% accuracy.</t>
  </si>
  <si>
    <t xml:space="preserve">[Tkaczyk, Rafal; Madejski, Grzegorz; Gradolewski, Dawid; Dziak, Damian] Bioseco SA, Budowlanych 68, PL-80298 Gdansk, Poland; [Madejski, Grzegorz] Univ Gdansk, Inst Informat, Fac Math Phys &amp; Informat, PL-80308 Gdansk, Poland; [Kulesza, Wlodek J.] Blekinge Inst Technol, Dept Math &amp; Nat Sci, S-37179 Karlskrona, Sweden</t>
  </si>
  <si>
    <t xml:space="preserve">Fahrenheit Universities; University of Gdansk; Blekinge Institute Technology</t>
  </si>
  <si>
    <t xml:space="preserve">Tkaczyk, R (corresponding author), Bioseco SA, Budowlanych 68, PL-80298 Gdansk, Poland.</t>
  </si>
  <si>
    <t xml:space="preserve">rafal.tkaczyk@bioseco.com; grzegorz.madejski@ug.edu.pl; dawid.gradolewski@bioseco.com; damian.dziak@bioseco.com; wlodek.kulesza@bth.se</t>
  </si>
  <si>
    <t xml:space="preserve">Kulesza, Wlodek J./0000-0003-3262-3221; Madejski, Grzegorz/0000-0002-2114-5626</t>
  </si>
  <si>
    <t xml:space="preserve">National Centre for Research and Development of Poland [POIR.01.01.01-00-2124/20]</t>
  </si>
  <si>
    <t xml:space="preserve">This research was funded by The National Centre for Research and Development of Poland grant number POIR.01.01.01-00-2124/20. Project title: 'Bird Protection System-A disruptivetechnology for bird protection at wind farms, allowing for sustainable wind and power development'.</t>
  </si>
  <si>
    <t xml:space="preserve">10.3390/s24123941</t>
  </si>
  <si>
    <t xml:space="preserve">WQ0K3</t>
  </si>
  <si>
    <t xml:space="preserve">WOS:001256218900001</t>
  </si>
  <si>
    <t xml:space="preserve">Barlo, A; Sigvant, M; Islam, MS; Pérez, L; Olofsson, E; Al-Fadhli, M; Pham, QT; Pilthammar, J; Odenberger, EL</t>
  </si>
  <si>
    <t xml:space="preserve">Barlo, A.; Sigvant, M.; Islam, M. S.; Perez, Ll; Olofsson, E.; Al-Fadhli, M.; Pham, Q. T.; Pilthammar, J.; Odenberger, E-L</t>
  </si>
  <si>
    <t xml:space="preserve">Proposal of a New Tool for Pre-Straining Operations of Sheet Metals and an Initial Investigation of CR4 Mild Steel Formability</t>
  </si>
  <si>
    <t xml:space="preserve">LIMIT CRITERION; PREDICTION</t>
  </si>
  <si>
    <t xml:space="preserve">With the increased focus on reducing carbon emissions in the automotive industry, more advanced materials are introduced to reduce the vehicle weight, and more complex component geometries are designed to both satisfy customer demands and to optimize the vehicle aerodynamically. With the increase in component complexity, the strain paths produced during the forming operation of car body components often display a highly non-linear behavior which makes the task of failure prediction during the manufacturing feasibility studies more difficult. Therefore, CAE engineers need better capabilities to predict failure induced by strain path nonlinearity. This study proposes a new tool designed for creating bi-linear strain paths, by performing a pre-strain of a sheet large enough to cut out Nakajima specimens to perform the post-straining in any direction. From five pre-straining tests the tool present a stable pre-straining operation with a uniform strain field in a radius of 100 [mm] from the centre, corresponding to the region of interest of a Nakajima specimen. From the five pre-strained samples, different Nakajima specimens are cut transverse and longitudinal to the rolling direction and a failure prediction approach in an alternative, path independent evaluation space was used to predict the onset of necking with promising results.</t>
  </si>
  <si>
    <t xml:space="preserve">[Barlo, A.; Sigvant, M.; Islam, M. S.; Pham, Q. T.; Pilthammar, J.] Blekinge Inst Technol, Dept Mech Engn, Karlskrona, Sweden; [Sigvant, M.; Pilthammar, J.] Volvo Cars, Dept Strategy Dev 81110, Olofstrom, Sweden; [Perez, Ll; Odenberger, E-L] RISE Res Inst Sweden, Component Mfg Unit, Olofstrom, Sweden; [Olofsson, E.] Volvo Cars, Dept Commod Hang Parts 81253, Gothenburg, Sweden; [Al-Fadhli, M.] Volvo Cars, Dept Prod &amp; Proc Struct 81151, Olofstrom, Sweden</t>
  </si>
  <si>
    <t xml:space="preserve">Blekinge Institute Technology; Volvo; RISE Research Institutes of Sweden; Volvo; Volvo</t>
  </si>
  <si>
    <t xml:space="preserve">10.1088/1757-899X/1284/1/012079</t>
  </si>
  <si>
    <t xml:space="preserve">WOS:001017824300079</t>
  </si>
  <si>
    <t xml:space="preserve">Andersén, J; Berglund-Snodgrass, L; Högström, E</t>
  </si>
  <si>
    <t xml:space="preserve">Andersen, Jimmie; Berglund-Snodgrass, Lina; Hogstrom, Ebba</t>
  </si>
  <si>
    <t xml:space="preserve">Municipal responsibilities in strategic housing provision planning: to accommodate, support and facilitate</t>
  </si>
  <si>
    <t xml:space="preserve">Strategic planning; housing provision programs; prospective responsibility; policy analysis</t>
  </si>
  <si>
    <t xml:space="preserve">DELIVERY</t>
  </si>
  <si>
    <t xml:space="preserve">Swedish municipalities are obliged to formulate housing provision policies in housing programs, as part of municipal strategic planning. This article explores how municipalities interpret this responsibility. We analyze housing provision programs by drawing from prospective responsibility and policy analysis. Our analysis shows three different prospective responsibilities in the municipality's production of housing provision responsibility. The results show that municipalities take actions by different means, leading to ambiguities and inequalities in housing provision planning.</t>
  </si>
  <si>
    <t xml:space="preserve">[Andersen, Jimmie; Hogstrom, Ebba] Blekinge Inst Technol, Dept Spatial Planning, Karlskrona, Sweden; [Berglund-Snodgrass, Lina] Swedish Univ Agr Sci, Dept Landscape Architecture Planning &amp; Management, Malmo, Sweden</t>
  </si>
  <si>
    <t xml:space="preserve">Blekinge Institute Technology; Swedish University of Agricultural Sciences</t>
  </si>
  <si>
    <t xml:space="preserve">Andersén, J (corresponding author), Blekinge Inst Technol, Dept Spatial Planning, Karlskrona, Sweden.</t>
  </si>
  <si>
    <t xml:space="preserve">jimmie.andersen@bth.se</t>
  </si>
  <si>
    <t xml:space="preserve">Berglund-Snodgrass, Lina/0000-0003-3003-0457; Andersen, Jimmie/0000-0003-2262-1142; Hogstrom, Ebba/0000-0002-7725-1233</t>
  </si>
  <si>
    <t xml:space="preserve">FORTE [2018-01325]; Swedish Research Council [2018-00058]; Forte [2018-01325] Funding Source: Forte; Vinnova [2018-00058] Funding Source: Vinnova; Formas [2018-00058] Funding Source: Formas</t>
  </si>
  <si>
    <t xml:space="preserve">FORTE(Swedish Research Council for Health Working Life &amp; Welfare (Forte)); Swedish Research Council(Swedish Research Council); Forte(Swedish Research Council for Health Working Life &amp; Welfare (Forte)); Vinnova(Vinnova); Formas(Swedish Research Council Formas)</t>
  </si>
  <si>
    <t xml:space="preserve">The work was supported by the FORTE [2018-01325]; Swedish Research Council [2018-00058].</t>
  </si>
  <si>
    <t xml:space="preserve">MAR 4</t>
  </si>
  <si>
    <t xml:space="preserve">10.1080/02697459.2022.2147643</t>
  </si>
  <si>
    <t xml:space="preserve">9V1OY</t>
  </si>
  <si>
    <t xml:space="preserve">WOS:000889659400001</t>
  </si>
  <si>
    <t xml:space="preserve">Çayir, S; Solmaz, G; Kusetogullari, H; Tokat, F; Bozaba, E; Karakaya, S; Iheme, LO; Tekin, E; Yazici, Ç; Özsoy, G; Ayalti, S; Kayhan, CK; Ince, Ü; Uzel, B; Kiliç, O</t>
  </si>
  <si>
    <t xml:space="preserve">Cayir, Sercan; Solmaz, Gizem; Kusetogullari, Huseyin; Tokat, Fatma; Bozaba, Engin; Karakaya, Sencer; Iheme, Leonardo Obinna; Tekin, Eren; Yazici, Cisem; Ozsoy, Gulsah; Ayalti, Samet; Kayhan, Cavit Kerem; Ince, Umit; Uzel, Burak; Kilic, Onur</t>
  </si>
  <si>
    <t xml:space="preserve">MITNET: a novel dataset and a two-stage deep learning approach for mitosis recognition in whole slide images of breast cancer tissue</t>
  </si>
  <si>
    <t xml:space="preserve">Nuclei detection; Mitosis classification; Deep learning; Breast cancer; Dataset; Histology; Image processing</t>
  </si>
  <si>
    <t xml:space="preserve">NUCLEI; SEGMENTATION</t>
  </si>
  <si>
    <t xml:space="preserve">Mitosis assessment of breast cancer has a strong prognostic importance and is visually evaluated by pathologists. The inter, and intra-observer variability of this assessment is high. In this paper, a two-stage deep learning approach, named MITNET, has been applied to automatically detect nucleus and classify mitoses in whole slide images (WSI) of breast cancer. Moreover, this paper introduces two new datasets. The first dataset is used to detect the nucleus in the WSIs, which contains 139,124 annotated nuclei in 1749 patches extracted from 115 WSIs of breast cancer tissue, and the second dataset consists of 4908 mitotic cells and 4908 non-mitotic cells image samples extracted from 214 WSIs which is used for mitosis classification. The created datasets are used to train the MITNET network, which consists of two deep learning architectures, called MITNET-det and MITNET-rec, respectively, to isolate nuclei cells and identify the mitoses in WSIs. In MITNET-det architecture, to extract features from nucleus images and fuse them, CSPDarknet and Path Aggregation Network (PANet) are used, respectively, and then, a detection strategy using You Look Only Once (scaled-YOLOv4) is employed to detect nucleus at three different scales. In the classification part, the detected isolated nucleus images are passed through proposed MITNET-rec deep learning architecture, to identify the mitosis in the WSIs. Various deep learning classifiers and the proposed classifier are trained with a publicly available mitosis datasets (MIDOG and ATYPIA) and then, validated over our created dataset. The results verify that deep learning-based classifiers trained on MIDOG and ATYPIA have difficulties to recognize mitosis on our dataset which shows that the created mitosis dataset has unique features and characteristics. Besides this, the proposed classifier outperforms the state-of-the-art classifiers significantly and achieves a 68.7% F1-score and 49.0% F1-score on the MIDOG and the created mitosis datasets, respectively. Moreover, the experimental results reveal that the overall proposed MITNET framework detects the nucleus in WSIs with high detection rates and recognizes the mitotic cells in WSI with high F1-score which leads to the improvement of the accuracy of pathologists' decision.</t>
  </si>
  <si>
    <t xml:space="preserve">[Cayir, Sercan; Bozaba, Engin; Karakaya, Sencer; Iheme, Leonardo Obinna; Tekin, Eren; Ayalti, Samet; Kilic, Onur] ViraSoft Inc, Artificial Intelligence Res Team, Istanbul, Turkey; [Solmaz, Gizem; Yazici, Cisem; Ozsoy, Gulsah; Ayalti, Samet] ViraSoft Inc, Res &amp; Dev Team, Istanbul, Turkey; [Kusetogullari, Huseyin] Blekinge Inst Technol, Dept Comp Sci, S-37141 Karlskrona, Sweden; [Tokat, Fatma; Kayhan, Cavit Kerem; Ince, Umit] Acibadem Univ, Pathol Dept, Teaching Hosp, Istanbul, Turkey; [Uzel, Burak] Camlik Hosp, Internal Med Dept, Istanbul, Turkey</t>
  </si>
  <si>
    <t xml:space="preserve">Blekinge Institute Technology; Acibadem University</t>
  </si>
  <si>
    <t xml:space="preserve">Kusetogullari, H (corresponding author), Blekinge Inst Technol, Dept Comp Sci, S-37141 Karlskrona, Sweden.</t>
  </si>
  <si>
    <t xml:space="preserve">huseyin.kusetogullari@bth.se</t>
  </si>
  <si>
    <t xml:space="preserve">Iheme, Leonardo/AAE-2987-2022; Kusetogullari, Huseyin/IAQ-0788-2023</t>
  </si>
  <si>
    <t xml:space="preserve">Iheme, Leonardo/0000-0002-1136-3961</t>
  </si>
  <si>
    <t xml:space="preserve">Acibadem Hospital in Turkey</t>
  </si>
  <si>
    <t xml:space="preserve">This project is funded by the Acibadem Hospital in Turkey.</t>
  </si>
  <si>
    <t xml:space="preserve">10.1007/s00521-022-07441-9</t>
  </si>
  <si>
    <t xml:space="preserve">4W2BD</t>
  </si>
  <si>
    <t xml:space="preserve">WOS:000805925400005</t>
  </si>
  <si>
    <t xml:space="preserve">Casalicchio, E; Gualandi, G</t>
  </si>
  <si>
    <t xml:space="preserve">Casalicchio, Emiliano; Gualandi, Gabriele</t>
  </si>
  <si>
    <t xml:space="preserve">ASiMOV: A self-protecting control application for the smart factory</t>
  </si>
  <si>
    <t xml:space="preserve">Cyber-security; Industrial Control Systems; Event-based control; Cyber-physical systems; Self-protection; Virtualization; Microservices</t>
  </si>
  <si>
    <t xml:space="preserve">SECURITY; ATTACK; MODEL</t>
  </si>
  <si>
    <t xml:space="preserve">The evolution of manufacturing systems into a smart factory brings advantages but also increased cyber-risks. This paper investigates the problem of intrusion detection and autonomous response to cyber-attacks targeting the control logic of industrial control applications for the smart factory. Specifically, we propose ASiMOV (Asynchronous Modular Verification), a self-protecting architecture for cyber-physical systems realizing a verifiable control application. ASiMOV is inspired by modular redundancy and leverages virtualization technologies to respond and to prevent cyber-attacks to the control logic. Using simulation experiments, we evaluate: the effects of an attack on an industrial control application enhanced by ASiMOV; the delay introduced by ASiMOV within a control loop; and the cyber-attack detection delay. Results show that, in the simulated scenario, the controller can work with a sampling rate of up to 200 Hertz. Any tampering with the control logic is detected without false positives/negatives in a time equal to the latency between the proposed control application and the proposed IDS (e.g., tens to hundreds of milliseconds). (c) 2020 Elsevier B.V. All rights reserved.</t>
  </si>
  <si>
    <t xml:space="preserve">[Casalicchio, Emiliano; Gualandi, Gabriele] Sapienza Univ Rome, Dept Comp Sci, Via Salaria 113, I-00198 Rome, Italy; [Casalicchio, Emiliano] Blekinge Inst Technol, Dept Comp Sci, S-37179 Karlskrona, Sweden</t>
  </si>
  <si>
    <t xml:space="preserve">Gualandi, G (corresponding author), Sapienza Univ Rome, Dept Comp Sci, Via Salaria 113, I-00198 Rome, Italy.</t>
  </si>
  <si>
    <t xml:space="preserve">casalicchio@di.uniroma1.it; gualandi@di.uniroma1.it</t>
  </si>
  <si>
    <t xml:space="preserve">SmartDefense Ricerca Ateneo 2019 [RG11916B88C838E8]</t>
  </si>
  <si>
    <t xml:space="preserve">SmartDefense Ricerca Ateneo 2019</t>
  </si>
  <si>
    <t xml:space="preserve">Funded by grant SmartDefense RG11916B88C838E8 Ricerca Ateneo 2019.</t>
  </si>
  <si>
    <t xml:space="preserve">10.1016/j.future.2020.09.003</t>
  </si>
  <si>
    <t xml:space="preserve">OU3NO</t>
  </si>
  <si>
    <t xml:space="preserve">WOS:000591438600009</t>
  </si>
  <si>
    <t xml:space="preserve">Alves, DI; Müller, C; Vu, VT; Pettersson, MI; de Jesus, PK; Machado, R; Uchôa, BE</t>
  </si>
  <si>
    <t xml:space="preserve">Alves, Dimas, I; Muller, Cristian; Vu, Viet T.; Pettersson, Mats, I; de Jesus, Pablo Kunz; Machado, Renato; Uchoa-Filho, Bartolomeu E.</t>
  </si>
  <si>
    <t xml:space="preserve">Incoherent Change Detection Methods for Wavelength-Resolution SAR Image Stacks Based on Masking Techniques</t>
  </si>
  <si>
    <t xml:space="preserve">This paper presents two incoherent change detection methods for wavelength-resolution synthetic aperture radars (SAR) image stacks based on masking techniques. The first technique proposed is the Simple Masking Detection (SMD). This method uses the statistical behavior of pixels-sets in the image stack to create a binary mask, which is used to remove pixels that are not related to changes in a surveillance image from the same interest region. The second technique is the Multiple Concatenated Masking Detection (MCMD), which produces a more selective mask than the SMD by concatenating multiple masks from different image stacks. The MCMD can be used in specific applications where multiple stacks share common patterns of target deployments. Both proposed techniques were evaluated using 24 incoherent SAR images obtained by the CARABAS II system. The experimental results revealed that the proposed detection methods have better performance in terms of probability of detection and false alarm rate when compared with other change detection techniques, especially for high detection probabilities scenarios.</t>
  </si>
  <si>
    <t xml:space="preserve">[Alves, Dimas, I; Muller, Cristian] Fed Univ Pampa UNIPAMPA, BR-97546550 Alegrete, RS, Brazil; [Vu, Viet T.; Pettersson, Mats, I] Blekinge Inst Technol BTH, S-37179 Karlskrona, Sweden; [de Jesus, Pablo Kunz; Machado, Renato] Aeronaut Inst Technol ITA, BR-12228900 Sao Jose Dos Campos, SP, Brazil; [Uchoa-Filho, Bartolomeu E.] Fed Univ Santa Catarina UFSC, BR-88040900 Florianopolis, SC, Brazil</t>
  </si>
  <si>
    <t xml:space="preserve">Alves, DI (corresponding author), Fed Univ Pampa UNIPAMPA, BR-97546550 Alegrete, RS, Brazil.</t>
  </si>
  <si>
    <t xml:space="preserve">dimasalves@unipampa.edu.br; cristianmuller@unipampa.edu.br; viet.thuy.vu@bth.se; mats.pettersson@bth.se; kunz@ita.br; rmachado@ita.br; uchoa@eel.ufsc.br</t>
  </si>
  <si>
    <t xml:space="preserve">Irion Alves, Dimas/AAY-4651-2021; Machado, Renato/P-8515-2018; Vu, Viet/JDW-0738-2023; Pettersson, Mats/N-1063-2016; Uchoa-Filho, Bartolomeu/C-5437-2013</t>
  </si>
  <si>
    <t xml:space="preserve">Machado, Renato/0000-0003-0856-5391; Irion Alves, Dimas/0000-0002-5443-6446; Pettersson, Mats/0000-0002-6643-312X; Uchoa-Filho, Bartolomeu/0000-0003-3727-3988</t>
  </si>
  <si>
    <t xml:space="preserve">Brazilian Agency National Council for Scientific and Technological Development (CNPq); Brazilian Agency Coordination for the Improvement of Higher Education Personnel (CAPES); Brazilian Agency SwedishBrazilian Research and Innovation Centre (CISB); Saab AB</t>
  </si>
  <si>
    <t xml:space="preserve">Brazilian Agency National Council for Scientific and Technological Development (CNPq)(Conselho Nacional de Desenvolvimento Cientifico e Tecnologico (CNPQ)Fundacao de Apoio a Pesquisa do Distrito Federal (FAPDF)); Brazilian Agency Coordination for the Improvement of Higher Education Personnel (CAPES)(Coordenacao de Aperfeicoamento de Pessoal de Nivel Superior (CAPES)); Brazilian Agency SwedishBrazilian Research and Innovation Centre (CISB); Saab AB</t>
  </si>
  <si>
    <t xml:space="preserve">This work was partially supported by the Brazilian Agencies National Council for Scientific and Technological Development (CNPq), Coordination for the Improvement of Higher Education Personnel (CAPES), by the SwedishBrazilian Research and Innovation Centre (CISB), and by Saab AB.</t>
  </si>
  <si>
    <t xml:space="preserve">WOS:000612224900122</t>
  </si>
  <si>
    <t xml:space="preserve">Kabir, MA; Keung, JW; Bennin, KE; Zhang, M</t>
  </si>
  <si>
    <t xml:space="preserve">Chan, WK; Claycomb, B; Takakura, H; Yang, JJ; Teranishi, Y; Towey, D; Segura, S; Shahriar, H; Reisman, S; Ahamed, SI</t>
  </si>
  <si>
    <t xml:space="preserve">Kabir, Md Alamgir; Keung, Jacky W.; Bennin, Kwabena E.; Zhang, Miao</t>
  </si>
  <si>
    <t xml:space="preserve">A Drift Propensity Detection Technique to Improve the Performance for Cross-Version Software Defect Prediction</t>
  </si>
  <si>
    <t xml:space="preserve">2020 IEEE 44TH ANNUAL COMPUTERS, SOFTWARE, AND APPLICATIONS CONFERENCE (COMPSAC 2020)</t>
  </si>
  <si>
    <t xml:space="preserve">Proceedings International Computer Software and Applications Conference</t>
  </si>
  <si>
    <t xml:space="preserve">44th Annual IEEE-Computer-Society International Conference on Computers, Software, and Applications (COMPSAC)</t>
  </si>
  <si>
    <t xml:space="preserve">JUL 13-17, 2020</t>
  </si>
  <si>
    <t xml:space="preserve">software defect prediction; cross-version defect prediction; drift propensity; streaming data; two-window-based data distributions</t>
  </si>
  <si>
    <t xml:space="preserve">EFFECT SIZE; GUIDELINES; FRAMEWORK; SELECTION; MODELS</t>
  </si>
  <si>
    <t xml:space="preserve">In cross-version defect prediction (CVDP), historical data is derived from the prior version of the same project to predict defects of the current version. Recent studies in CVDP focus on subset selection to deal with the changes of the data distributions. No prior study has focused on training data arriving in streaming fashion across the versions where the significant differences between versions make the prediction unreliable. We refer to this situation as Drift Propensity (DP). By identifying DP, necessary steps can be taken (e.g., updating or retraining the model) to improve the prediction performance. In this paper, we investigate the chronological defect datasets and identify DP in the datasets. The no-memory data management technique is employed to manage the data distributions and a DP detection technique is proposed. The idea behind the proposed DP detection technique is to monitor the algorithm's error-rate. The DP detector triggers DP, warning, and control flags to take necessary steps. The proposed technique is significantly superior in identifying the distribution differences (p-value &lt; 0.05). The DP's identified in the data distributions achieve large effect sizes (Hedges'g &gt;= 0.80) during the pair-wise comparisons. We observe that if the error-rate exponentially increases, it causes DP, resulting in prediction performance deterioration. We thus recommend researches and practitioners to address DP in the chronological datasets. Due to its potential effects in the datasets, the prediction models could be enhanced to get the best results in CVDP.</t>
  </si>
  <si>
    <t xml:space="preserve">[Kabir, Md Alamgir; Keung, Jacky W.; Zhang, Miao] City Univ Hong Kong, Dept Comp Sci, Hong Kong, Peoples R China; [Bennin, Kwabena E.] Blekinge Inst Technol, Dept Software Engn, Karlskrona, Sweden</t>
  </si>
  <si>
    <t xml:space="preserve">City University of Hong Kong; Blekinge Institute Technology</t>
  </si>
  <si>
    <t xml:space="preserve">Kabir, MA (corresponding author), City Univ Hong Kong, Dept Comp Sci, Hong Kong, Peoples R China.</t>
  </si>
  <si>
    <t xml:space="preserve">makabir4-c@my.cityu.edu.hk; Jacky.Keung@cityu.edu.hk; kwabena.ebo.bennin@bth.se; miazhang9-c@my.cityu.edu.hk</t>
  </si>
  <si>
    <t xml:space="preserve">Keung, Jacky/X-4693-2019; Kabir, Md Alamgir/ABA-2963-2020</t>
  </si>
  <si>
    <t xml:space="preserve">Keung, Jacky/0000-0002-3803-9600; ZHANG, Miao/0000-0001-9659-9393; Bennin, Kwabena/0000-0001-9140-9271; Kabir, Md Alamgir/0000-0002-7136-6339</t>
  </si>
  <si>
    <t xml:space="preserve">General Research Fund of the Research Grants Council of Hong Kong [11208017]; City University of Hong Kong [7005028, 7005217]; Intel [9220097]; [9678149]; [9440227]; [9440180]; [9220103]</t>
  </si>
  <si>
    <t xml:space="preserve">General Research Fund of the Research Grants Council of Hong Kong; City University of Hong Kong(City University of Hong Kong); Intel(Intel Corporation); ; ; ;</t>
  </si>
  <si>
    <t xml:space="preserve">This work is supported in part by the General Research Fund of the Research Grants Council of Hong Kong (No.11208017) and the research funds of City University of Hong Kong (7005028, 7005217), and the Research Support Fund by Intel (9220097), and funding supports from other industry partners (9678149, 9440227, 9440180 and 9220103).</t>
  </si>
  <si>
    <t xml:space="preserve">0730-3157</t>
  </si>
  <si>
    <t xml:space="preserve">978-1-7281-7303-0</t>
  </si>
  <si>
    <t xml:space="preserve">P INT COMP SOFTW APP</t>
  </si>
  <si>
    <t xml:space="preserve">10.1109/COMPSAC48688.2020.0-154</t>
  </si>
  <si>
    <t xml:space="preserve">BR0HX</t>
  </si>
  <si>
    <t xml:space="preserve">WOS:000629086600115</t>
  </si>
  <si>
    <t xml:space="preserve">Explaining rifle shooting factors through multi-sensor body tracking</t>
  </si>
  <si>
    <t xml:space="preserve">Machine learning; explainable AI; transformers; skeleton graphs; rifle shooting</t>
  </si>
  <si>
    <t xml:space="preserve">POSTURAL STABILITY; BALANCE; RELIABILITY; PERFORMANCE; MOTION; KINECT; LEVEL</t>
  </si>
  <si>
    <t xml:space="preserve">There is a lack of data-driven training instructions for sports shooters, as instruction has commonly been based on subjective assessments. Many studies have correlated body posture and balance to shooting performance in rifle shooting tasks, but have mostly focused on single aspects of postural control. This study has focused on finding relevant rifle shooting factors by examining the entire body over sequences of time. A data collection was performed with 13 human participants carrying out live rifle shooting scenarios while being recorded with multiple body tracking sensors. A pre-processing pipeline produced a novel skeleton sequence representation, which was used to train a transformer model. The predictions from this model could be explained on a per sample basis using the attention mechanism, and visualised in an interactive format for humans to interpret. It was possible to separate the different phases of a shooting scenario from body posture with a high classification accuracy (80%). Shooting performance could be detected to an extent by separating participants using their strong and weak shooting hand. The dataset and pre-processing pipeline, as well as the techniques for generating explainable predictions presented in this study have laid the groundwork for future research in the sports shooting domain.</t>
  </si>
  <si>
    <t xml:space="preserve">[Flyckt, Jonatan; Andersson, Filip; Westphal, Florian] Jonkoping Univ, Dept Comp, Gjuterigatan 5, Jonkoping, Sweden; [Mansson, Andreas] Saab AB, Training &amp; Simulat, Huskvarna, Sweden; [Lavesson, Niklas] Univ Karlskrona, Blekinge Inst Technol, Dept Software Engn, Karlskrona, Sweden</t>
  </si>
  <si>
    <t xml:space="preserve">Flyckt, J (corresponding author), Jonkoping Univ, Dept Comp, Gjuterigatan 5, Jonkoping, Sweden.</t>
  </si>
  <si>
    <t xml:space="preserve">jonatan.flyckt@gmail.com</t>
  </si>
  <si>
    <t xml:space="preserve">Knowledge Foundation [20180191]</t>
  </si>
  <si>
    <t xml:space="preserve">We wish to thank the anonymous reviewers, whose suggestions helped improve and clarify this manuscript. Thank you to Max Pettersson and Saga Bergdahl, whose ideas and collaboration in the execution of this study were valuable and rewarding. A big thank you to Anders Johanson, Per Lexander, Olof Bengtsson, Robert Andren, and everyone else at Saab AB, Training and Simulation who have assisted in the data collection and idea stages of this study. Thank you also to the 13 anonymous participants who took part in the data collection. This work has been performed within the Mining Actionable Patterns from complex Physical Environments (MAPPE) research project in collaboration with Jonkoping University and Saab AB, Training and Simulation, and was funded by the Knowledge Foundation (research grant number 20180191).</t>
  </si>
  <si>
    <t xml:space="preserve">10.3233/IDA-216457</t>
  </si>
  <si>
    <t xml:space="preserve">D7BU6</t>
  </si>
  <si>
    <t xml:space="preserve">WOS:000970251100014</t>
  </si>
  <si>
    <t xml:space="preserve">China, CR; Mgumia, A; Trojer, L; Nungu, A</t>
  </si>
  <si>
    <t xml:space="preserve">China, Cecilia R.; Mgumia, Athman; Trojer, Lena; Nungu, Amos</t>
  </si>
  <si>
    <t xml:space="preserve">Exploring innovation and collaboration in the leather processing industry through the case study of the KIWANGO Leather Cluster</t>
  </si>
  <si>
    <t xml:space="preserve">DISCOVER APPLIED SCIENCES</t>
  </si>
  <si>
    <t xml:space="preserve">Innovative clusters; Triple Helix processes; Innovation; Cluster guidelines; Innovation eco-system; Global South</t>
  </si>
  <si>
    <t xml:space="preserve">UNIVERSITY; ECOSYSTEMS; COUNTRIES</t>
  </si>
  <si>
    <t xml:space="preserve">In the era of Industry 4.0, fostering innovation through strong collaboration among universities, industry, and government is crucial. However, the Tanzanian economy has faced challenges due to, among others, weak links between these entities. To address this, Sida initiated the Innovation Systems and Cluster Development Program (ISCP-Tz) in partnership with the University of Dar es Salaam. This was followed by a program at COSTECH focused on fostering innovation for socio-economic development. As part of these programs, 15 clusters, including KIWANGO Leather, were selected for documentation of their experiences. KIWANGO Leather exemplifies successful collaboration between cluster firms, the university, local government, and research institutions. Operationalizing guidelines for collaboration led to cooperative innovations, knowledge exchange, internships, and long-term partnerships established through Memorandum of Understanding (MoU). The cluster's experiences highlight a less-linear, inclusive innovation process with positive outcomes. Thus, this paper not only illustrates a less linear, inclusive innovation process, but also its results can motivate actors in emerging innovation ecosystems in the Global South to adopt and scale up suggested approaches for knowledge co-creation benefitting sustainable development. By adopting these approaches and fostering collaborative networks, countries can leverage their resources and expertise to drive innovation, create economic growth, and address societal challenges.</t>
  </si>
  <si>
    <t xml:space="preserve">[China, Cecilia R.] Nelson Mandela African Inst Sci &amp; Technol NM AIST, POB 447, Arusha, Tanzania; [Mgumia, Athman; Nungu, Amos] Tanzania Commiss Sci &amp; Technol COSTECH, POB 4302, Dar Es Salaam, Tanzania; [Trojer, Lena] Lund Univ, Ctr Innovat Res, POB 118, SE-22100 Lund, Sweden; [Trojer, Lena] Blekinge Inst Technol, Dept Technol &amp; Aesthet, S-37435 Karlshamn, Sweden</t>
  </si>
  <si>
    <t xml:space="preserve">China, CR (corresponding author), Nelson Mandela African Inst Sci &amp; Technol NM AIST, POB 447, Arusha, Tanzania.</t>
  </si>
  <si>
    <t xml:space="preserve">rolencec@gmail.com; mgumia2@yahoo.com; lena.trojer@circle.lu.se; amos.nungu@gmail.com</t>
  </si>
  <si>
    <t xml:space="preserve">Lund University; Textile and Leather division of TIRDO; FILK-Research Institute of Leather and Plastic Sheeting in Germany</t>
  </si>
  <si>
    <t xml:space="preserve">The authors extend their sincere gratitude to the KIWANGO Cluster members for their valuable cooperation and participation throughout the project. Special thanks are also given to the scientists, engineers, and technicians at the Textile and Leather division of TIRDO and SIDO for their dedicated efforts in the laboratory optimization studies and the design and fabrication of various machines. The authors would like to acknowledge the FILK-Research Institute of Leather and Plastic Sheeting in Germany and its staff for their support during the laboratory work. Finally, the authors express their gratitude to God for blessing them with good health and favor in undertaking this impactful project aimed at benefiting society.</t>
  </si>
  <si>
    <t xml:space="preserve">3004-9261</t>
  </si>
  <si>
    <t xml:space="preserve">DISCOV APPL SCI</t>
  </si>
  <si>
    <t xml:space="preserve">DISCOV. APPL. SCI.</t>
  </si>
  <si>
    <t xml:space="preserve">AUG 22</t>
  </si>
  <si>
    <t xml:space="preserve">10.1007/s42452-024-06037-3</t>
  </si>
  <si>
    <t xml:space="preserve">D5M4J</t>
  </si>
  <si>
    <t xml:space="preserve">WOS:001296619200001</t>
  </si>
  <si>
    <t xml:space="preserve">Pham, QT; Islam, MS; Barlo, A; Sigvant, M; Caro, LP; Trana, K</t>
  </si>
  <si>
    <t xml:space="preserve">Pham, Quoc Tuan; Islam, Md Shafiqul; Barlo, Alexander; Sigvant, Mats; Caro, Lluis Perez; Trana, Kristoffer</t>
  </si>
  <si>
    <t xml:space="preserve">Modeling the strain localization of shell elements subjected to combined stretch-bend loads: Application on automotive sheet metal stamping simulations</t>
  </si>
  <si>
    <t xml:space="preserve">Stretch-bending load; Shell element; Strain localization; Automotive sheet metal; Through-thickness strain gradient</t>
  </si>
  <si>
    <t xml:space="preserve">DEFORMATION; FORMABILITY; PREDICTION; FRACTURE; NECKING; STEEL; CRITERION</t>
  </si>
  <si>
    <t xml:space="preserve">This study presents a modeling approach for predicting strain localization during sheet metal stamping processes focused on automotive engineering applications. The so-called stretching-to-bending ratio, rho, is proposed to characterize the loading conditions acting on an element during stamping processes. Then, localized strain or necking strain is suggested to be a function of rho. Different stretch-bending tests with different tool radii, i.e., R3, R6, R10, and R50 are conducted for two automotive sheet metals, DP800 and AA6010, to identify their forming limits under combined stretch-bend loads. The calibrated necking limit curve of the AA6016 sheet is then employed in AutoForm R10 software to predict the necking and failure of a stamped panel. Agreement with the experimental observation of failure positions of the panel validates the usefulness of the proposed modeling approach in practice.</t>
  </si>
  <si>
    <t xml:space="preserve">[Pham, Quoc Tuan; Islam, Md Shafiqul; Barlo, Alexander; Sigvant, Mats] Blekinge Inst Technol, Dept Mech Engn, Karlskrona, Sweden; [Sigvant, Mats] Volvo Cars, Dept Strategy Dev 81110, Olofstrom, Sweden; [Caro, Lluis Perez] RISE Res Inst Sweden, Component Mfg Unit, Olofstrom, Sweden; [Trana, Kristoffer] Volvo Cars, Dept Prod &amp; Proc Struct 81151, Olofstrom, Sweden</t>
  </si>
  <si>
    <t xml:space="preserve">Blekinge Institute Technology; Volvo; RISE Research Institutes of Sweden; Volvo</t>
  </si>
  <si>
    <t xml:space="preserve">Islam, Shafiqul/AAA-7809-2021; Sigvant, Mats/JJG-2577-2023; Perez Caro, Lluis/J-3217-2014; Pham, Tuan/AAH-8010-2019</t>
  </si>
  <si>
    <t xml:space="preserve">Islam, Md Shafiqul/0000-0002-1162-7023; Perez Caro, Lluis/0000-0002-1432-444X; Pham, Tuan/0000-0002-8204-4802</t>
  </si>
  <si>
    <t xml:space="preserve">VINNOVA in the Sustainable Production subprogram within Vehicle Strategic Research and Innovation (FFI) program, Sweden [2020-02986]; KK-Stiftelsen, Sweden [20200125]; Blekinge Institute of Technology, Sweden; Vinnova [2020-02986] Funding Source: Vinnova</t>
  </si>
  <si>
    <t xml:space="preserve">VINNOVA in the Sustainable Production subprogram within Vehicle Strategic Research and Innovation (FFI) program, Sweden; KK-Stiftelsen, Sweden; Blekinge Institute of Technology, Sweden; Vinnova(Vinnova)</t>
  </si>
  <si>
    <t xml:space="preserve">The authors gratefully acknowledge the financial support from VINNOVA in the Sustainable Production subprogram within Vehicle Strategic Research and Innovation (FFI) program, Sweden (grant number 2020-02986) and KK-Stiftelsen, Sweden (grant number 20200125). Open Access funding was provided by the Blekinge Institute of Technology, Sweden.</t>
  </si>
  <si>
    <t xml:space="preserve">10.1016/j.tws.2023.110804</t>
  </si>
  <si>
    <t xml:space="preserve">I3OH8</t>
  </si>
  <si>
    <t xml:space="preserve">WOS:001001901300001</t>
  </si>
  <si>
    <t xml:space="preserve">Majiwa, E; Lee, B; Månsson, J; Wilson, C</t>
  </si>
  <si>
    <t xml:space="preserve">Majiwa, Eucabeth; Lee, Boon; Mansson, Jonas; Wilson, Clevo</t>
  </si>
  <si>
    <t xml:space="preserve">Does hiring a manager improve efficiency - owner vs. non-owner management control of rice mills</t>
  </si>
  <si>
    <t xml:space="preserve">JOURNAL OF ECONOMIC STUDIES</t>
  </si>
  <si>
    <t xml:space="preserve">Performance measurement; Data envelopment analysis; Efficiency; Developing countries; Owner and non-owner operated mills</t>
  </si>
  <si>
    <t xml:space="preserve">DATA ENVELOPMENT ANALYSIS; TECHNICAL EFFICIENCY; DETECTING OUTLIERS; LAND FRAGMENTATION; FRONTIER MODELS; PRODUCTIVITY; IMPACT; FIRM; PERFORMANCE; CONTRACTS</t>
  </si>
  <si>
    <t xml:space="preserve">Purpose In this study, the impact of owner-operator and non-owner operator rice mills on productive efficiency is investigated. Design/methodology/approach Primary data collected from a survey of 111 rice mills in the Mwea region of Kenya are used. A metafrontier approach is employed to measure overall technical efficiency which is decomposed into managerial and organisational efficiency. Findings The results reveal no significant difference in overall technical and managerial efficiency between owner and non-owner operated mills. However, a significant difference exists in organisational efficiency of mills: non-owner operated mills were found to be performing significantly better than owner-operated. Practical implications The authors provide supporting evidence to the study and discuss some of the significant policy implications stemming from the study. Originality/value It is recognised that for owners to take the risk of divesting control to a hired manager rather than manage the firm themselves can have major strategic, financial and often emotional consequences. However, there is little empirical evidence on how production efficiency will develop as a result of hiring a manager with the underlying economic theory providing ambiguous guidance. Standard economic theory assumes that firms behave as profit maximisers, which can be achieved by operating efficiently. However, this may not always be the case and as the literature indicates, this may especially be so for small businesses in low- and middle-income countries.</t>
  </si>
  <si>
    <t xml:space="preserve">[Majiwa, Eucabeth] Jomo Kenyatta Univ Agr &amp; Technol, Dept Agr &amp; Resource Econ, Nairobi, Kenya; [Lee, Boon; Wilson, Clevo] Queensland Univ, Sch Econ &amp; Finance, Technol Business Sch, Brisbane, Qld, Australia; [Mansson, Jonas] Blekinge Inst Technol, Karlskrona, Sweden</t>
  </si>
  <si>
    <t xml:space="preserve">Jomo Kenyatta University of Agriculture &amp; Technology; University of Queensland; Blekinge Institute Technology</t>
  </si>
  <si>
    <t xml:space="preserve">Wilson, Charlie/D-4127-2011; Lee, Boon/K-5178-2019; Lee, Boon/I-9858-2012</t>
  </si>
  <si>
    <t xml:space="preserve">Wilson, Clevo/0000-0002-3885-0495; Lee, Boon/0000-0002-3594-0575</t>
  </si>
  <si>
    <t xml:space="preserve">Queensland University of Technology</t>
  </si>
  <si>
    <t xml:space="preserve">This article has been funded by the Queensland University of Technology.</t>
  </si>
  <si>
    <t xml:space="preserve">Leeds</t>
  </si>
  <si>
    <t xml:space="preserve">Floor 5, Northspring 21-23 Wellington Street, Leeds, W YORKSHIRE, ENGLAND</t>
  </si>
  <si>
    <t xml:space="preserve">0144-3585</t>
  </si>
  <si>
    <t xml:space="preserve">J ECON STUD</t>
  </si>
  <si>
    <t xml:space="preserve">MAY 1</t>
  </si>
  <si>
    <t xml:space="preserve">10.1108/JES-12-2021-0605</t>
  </si>
  <si>
    <t xml:space="preserve">F6VB9</t>
  </si>
  <si>
    <t xml:space="preserve">WOS:000825632300001</t>
  </si>
  <si>
    <t xml:space="preserve">Wu, Z; Yun, Y; Gao, R; Miao, Z; Lennerstad, H; Xiao, L</t>
  </si>
  <si>
    <t xml:space="preserve">Wu, Zhe; Yun, Yu; Gao, Run; Miao, Zhuang; Lennerstad, Hakan; Xiao, Liang</t>
  </si>
  <si>
    <t xml:space="preserve">A wide-band all-metal and high-gain omnidirectional antenna with simple prototype</t>
  </si>
  <si>
    <t xml:space="preserve">INTERNATIONAL JOURNAL OF RF AND MICROWAVE COMPUTER-AIDED ENGINEERING</t>
  </si>
  <si>
    <t xml:space="preserve">all-metal; dipole; omnidirectional; wide-band</t>
  </si>
  <si>
    <t xml:space="preserve">HIGH DIRECTIVITY; COMPACT</t>
  </si>
  <si>
    <t xml:space="preserve">An all-metal dipole two-element array antenna is proposed to achieve a wide-band impedance bandwidth and an omnidirectional radiation pattern. The concept of this antenna derives from a quarter-shorted magnetic dipole structure. The proposed antenna consists of an air-filled metallic parallel bi-plate and two dipole elements. The dipole elements are perpendicularly fabricated at the open end of the bi-plate. Fed by a single coaxial SMA connector in the center of this structure, a quasi-TEM mode in the bi-plate can be excited similar to the parallel waveguide. Based on the multiple resonances and line-array effect, the proposed antenna can achieve a wide-band working bandwidth and a stable omnidirectional pattern. Simulated and experimental results confirm that this antenna has a peak gain of 4.16 dBi and a relative impedance bandwidth of 72% (0.8-1.7 GHz). The proposed antenna can be used in UAV (unmanned aerial vehicle) application.</t>
  </si>
  <si>
    <t xml:space="preserve">[Wu, Zhe; Miao, Zhuang] Xian Int Univ, Sch Engn, Xian, Peoples R China; [Yun, Yu] Xian Red Leaf Telecom Technol Co Ltd, Dept Technol, Xian, Peoples R China; [Gao, Run] Cit Heavy Ind Co Ltd, Dept Technol, Luoyang, Peoples R China; [Lennerstad, Hakan] Blekinge Inst Technol, Dept Math &amp; Sci, Karlskrona, Sweden; [Xiao, Liang] Xian Fast Casting Met Prod Co Ltd, Dept Technol, Xian, Peoples R China</t>
  </si>
  <si>
    <t xml:space="preserve">Yun, Y (corresponding author), Xian Red Leaf Telecom Technol Co Ltd, Xian 710000, Peoples R China.</t>
  </si>
  <si>
    <t xml:space="preserve">james2010net@163.com</t>
  </si>
  <si>
    <t xml:space="preserve">Sponsor Foundation [XAIU2019012]; Shaanxi Provincial Education Department Project [21JK0865]</t>
  </si>
  <si>
    <t xml:space="preserve">Sponsor Foundation; Shaanxi Provincial Education Department Project</t>
  </si>
  <si>
    <t xml:space="preserve">The authors wish to thank the anonymous reviewers for their valuable suggestions and acknowledge the support from the Sponsor Foundation (XAIU2019012), and the Shaanxi Provincial Education Department Project (21JK0865).</t>
  </si>
  <si>
    <t xml:space="preserve">1096-4290</t>
  </si>
  <si>
    <t xml:space="preserve">1099-047X</t>
  </si>
  <si>
    <t xml:space="preserve">INT J RF MICROW C E</t>
  </si>
  <si>
    <t xml:space="preserve">Int. J. RF Microw. Comput-Aid. Eng.</t>
  </si>
  <si>
    <t xml:space="preserve">e22936</t>
  </si>
  <si>
    <t xml:space="preserve">10.1002/mmce.22936</t>
  </si>
  <si>
    <t xml:space="preserve">XJ2CC</t>
  </si>
  <si>
    <t xml:space="preserve">WOS:000704290300001</t>
  </si>
  <si>
    <t xml:space="preserve">Criten, S; Andersson, P; Renvert, S; Goetrick, B; Berglund, JS; Bengtsson, VW</t>
  </si>
  <si>
    <t xml:space="preserve">Oral Health Status at Age 60 and 72 Years-A Longitudinal Study</t>
  </si>
  <si>
    <t xml:space="preserve">caries; epidemiology; older persons; oral health; oral health status; periodontal diseases; periodontitis</t>
  </si>
  <si>
    <t xml:space="preserve">DENTAL-CARIES; GLOBAL BURDEN; OLDER-PEOPLE; TOOTH LOSS; PERIODONTITIS; ASSOCIATION; POPULATION; PREVALENCE; ATTENDANCE; DENTITION</t>
  </si>
  <si>
    <t xml:space="preserve">Objective: This study investigated oral health status in 60-year-old individuals over 12 years. Materials and Methods: Data were obtained from The Swedish National Study on Aging and Care (SNAC). One hundred nineteen 60-year-old individuals (48% females) underwent a clinical and radiographic baseline examination (2001-2003) and follow-up examination in 2013-2015. For statistical analyses, paired t-tests and McNemar's test were performed. Statistical significance was determined at p &lt; 0.05. Results: At the 12-year follow-up, the mean number of teeth and the proportion of individuals having &gt;= 20 teeth decreased (p &lt; 0.001). The mean number of teeth with buccal/lingual and approximal caries lesions increased (p &lt; 0.029 and p &lt; 0.031). Individuals with a distance from the cement-enamel junction to the bone of &gt;= 5 mm increased in total (p &lt; 0.002) and in males (p &lt; 0.006). The prevalence of gingivitis increased in total (p &lt; 0.001). The prevalence of periodontitis showed a significant increase in total (p &lt; 0.043) and in females (p &lt; 0.039). Conclusion: The present study indicates that oral health status in 60-year-old individuals deteriorates over 12 years. However, the deteriorations were minor in terms of tooth loss, caries lesions, and changes in periodontal status.</t>
  </si>
  <si>
    <t xml:space="preserve">[Criten, Sladjana; Andersson, Pia; Renvert, Stefan; Bengtsson, Viveca Wallin] Kristianstad Univ, Fac Hlth Sci, Kristianstad, Sweden; [Renvert, Stefan; Berglund, Johan Sanmartin] Blekinge Inst Technol, Dept Hlth, Karlskrona, Sweden; [Goetrick, Bengt] Malmo Univ, Fac Odontol, Malmo, Sweden</t>
  </si>
  <si>
    <t xml:space="preserve">Criten, S (corresponding author), Kristianstad Univ, Fac Hlth Sci, Kristianstad, Sweden.</t>
  </si>
  <si>
    <t xml:space="preserve">sladjana.criten@hkr.se</t>
  </si>
  <si>
    <t xml:space="preserve">Renvert, Stefan/0000-0003-0992-2362; Andersson, Pia/0000-0003-0269-730X; Criten, Sladjana/0000-0002-2463-3959; Wallin Bengtsson, Viveca/0000-0002-8092-665X; Berglund, Johan/0000-0003-4312-2246</t>
  </si>
  <si>
    <t xml:space="preserve">Ministry of Health and Social Affairs, Sweden, Municipalities, and University Departments, Kristianstad University, Sweden; Ministry of Health and Social Affairs, Sweden; Swedish National Study on Aging and Care (SNAC)</t>
  </si>
  <si>
    <t xml:space="preserve">This study was supported by the Ministry of Health and Social Affairs, Sweden, municipalities, and university departments. The authors thank the Swedish National Study on Aging and Care (SNAC), Ms. Ulrika Isaksson, Blekinge Technical Institute, Sweden, for data management and all study participants.</t>
  </si>
  <si>
    <t xml:space="preserve">2024 OCT 16</t>
  </si>
  <si>
    <t xml:space="preserve">10.1111/idh.12846</t>
  </si>
  <si>
    <t xml:space="preserve">J3N7C</t>
  </si>
  <si>
    <t xml:space="preserve">WOS:001336168800001</t>
  </si>
  <si>
    <t xml:space="preserve">Bjarnason, E; Åberg, P; Bin Ali, N</t>
  </si>
  <si>
    <t xml:space="preserve">Bjarnason, Elizabeth; Aberg, Patrik; Bin Ali, Nauman</t>
  </si>
  <si>
    <t xml:space="preserve">Software selection in large-scale software engineering: A model and criteria based on interactive rapid reviews</t>
  </si>
  <si>
    <t xml:space="preserve">CBSE; Component-based; Component selection; Tool selection; Rapid review</t>
  </si>
  <si>
    <t xml:space="preserve">DECISION-MAKING; IN-HOUSE; TOOLS; OSS; COTS; CHALLENGES; COMPONENTS; QUALITY</t>
  </si>
  <si>
    <t xml:space="preserve">Context Software selection in large-scale software development continues to be ad hoc and ill-structured. Previous proposals for software component selection tend to be technology-specific and/or do not consider business or ecosystem concerns. Objective Our main aim is to develop an industrially relevant technology-agnostic method that can support practitioners in making informed decisions when selecting software components for use in tools or in products based on a holistic perspective of the overall environment. Method We used method engineering to iteratively develop a software selection method for Ericsson AB based on a combination of published research and practitioner insights. We used interactive rapid reviews to systematically identify and analyse scientific literature and to support close cooperation and co-design with practitioners from Ericsson. The model has been validated through a focus group and by practical use at the case company. Results The model consists of a high-level selection process and a wide range of criteria for assessing and for evaluating software to include in business products and tools. Conclusions We have developed an industrially relevant model for component selection through active engagement from a company. Co-designing the model based on previous knowledge demonstrates a viable approach to industry-academia collaboration and provides a practical solution that can support practitioners in making informed decisions based on a holistic analysis of business, organisation and technical factors.</t>
  </si>
  <si>
    <t xml:space="preserve">[Bjarnason, Elizabeth] Lund Univ, Dept Comp Sci, Lund, Sweden; [Aberg, Patrik] Ericsson AB, Lund, Sweden; [Bin Ali, Nauman] Blekinge Inst Technol, Dept Software Engn, Karlskrona, Sweden</t>
  </si>
  <si>
    <t xml:space="preserve">Lund University; Ericsson; Blekinge Institute Technology</t>
  </si>
  <si>
    <t xml:space="preserve">Bjarnason, E (corresponding author), Lund Univ, Dept Comp Sci, Lund, Sweden.</t>
  </si>
  <si>
    <t xml:space="preserve">elizabeth.bjarnason@cs.lth.se; patrik.aberg@ericsson.com; nauman.ali@bth.se</t>
  </si>
  <si>
    <t xml:space="preserve">; Ali, Nauman bin/J-4293-2015</t>
  </si>
  <si>
    <t xml:space="preserve">Bjarnason, Elizabeth/0000-0001-9070-0008; Ali, Nauman bin/0000-0001-7266-5632</t>
  </si>
  <si>
    <t xml:space="preserve">Lund University</t>
  </si>
  <si>
    <t xml:space="preserve">Open access funding provided by Lund University.</t>
  </si>
  <si>
    <t xml:space="preserve">10.1007/s10664-023-10288-w</t>
  </si>
  <si>
    <t xml:space="preserve">9K8VP</t>
  </si>
  <si>
    <t xml:space="preserve">WOS:000941140100001</t>
  </si>
  <si>
    <t xml:space="preserve">Lenart-Gansiniec, R; Czakon, W; Sulkowski, L; Pocek, J</t>
  </si>
  <si>
    <t xml:space="preserve">Lenart-Gansiniec, Regina; Czakon, Wojciech; Sulkowski, Lukasz; Pocek, Jasna</t>
  </si>
  <si>
    <t xml:space="preserve">Understanding crowdsourcing in science</t>
  </si>
  <si>
    <t xml:space="preserve">REVIEW OF MANAGERIAL SCIENCE</t>
  </si>
  <si>
    <t xml:space="preserve">Crowdsourcing; Characteristics; Systematic literature review; Thematic analysis; Science</t>
  </si>
  <si>
    <t xml:space="preserve">CITIZEN SCIENCE; MECHANICAL TURK; DATA-COLLECTION; OPEN INNOVATION; MANAGEMENT; DEFINITIONS; METHODOLOGY; PLATFORMS; KNOWLEDGE; FUTURE</t>
  </si>
  <si>
    <t xml:space="preserve">Over the past 16 years, the concept of crowdsourcing has rapidly gained traction across many research fields. While related debates focused mainly on its importance for business, the public and non-governmental sectors, its relevance for generating scientific knowledge is increasingly emphasized. This rising interest remains in contradiction with its feeble recognition, and excessive simplifications reducing crowdsourcing in science to citizen science. Conceptual clarity and a coherent framework would help integrate the various research streams. The aim of this paper is to extend reflection on crowdsourcing in science by analyzing the characteristics of the phenomenon. We synthesize a consensual definition from the literature, and structure key characteristics into a coherent framework, useful in guiding further research. We use a systematic literature review procedure to generate a pool of 42 definitions from a comprehensive set of 62 articles spanning different literatures, including: business and economics, education, psychology, biology, and communication studies. We follow a mixed-method approach that combines bibliometric and frequency analyses with deductive coding and thematic analysis. Based on triangulated results we develop an integrative definition: crowdsourcing in science is a collaborative online process through which scientists involve a group of self-selected individuals of varying, diverse knowledge and skills, via an open call to the Internet and/or online platforms, to undertake a specified research task or set of tasks. We also provide a conceptual framework that covers four key characteristics: initiator, crowd, process, and technology.</t>
  </si>
  <si>
    <t xml:space="preserve">[Lenart-Gansiniec, Regina; Czakon, Wojciech; Sulkowski, Lukasz] Jagiellonian Univ Krakow, Krakow, Poland; [Pocek, Jasna] Free Univ Bozen Bolzano, Bolzano, Italy; [Pocek, Jasna] Blekinge Inst Technol, Karlskrona, Sweden</t>
  </si>
  <si>
    <t xml:space="preserve">Jagiellonian University; Free University of Bozen-Bolzano; Blekinge Institute Technology</t>
  </si>
  <si>
    <t xml:space="preserve">Lenart-Gansiniec, R (corresponding author), Jagiellonian Univ Krakow, Krakow, Poland.</t>
  </si>
  <si>
    <t xml:space="preserve">regina.lenart-gansiniec@uj.edu.pl</t>
  </si>
  <si>
    <t xml:space="preserve">Czakon, Wojciech/M-3504-2019; Lenart-Gansiniec, Regina/P-2490-2019; Sułkowski, Łukasz/N-4878-2019; Czakon, Wojciech/R-6964-2017</t>
  </si>
  <si>
    <t xml:space="preserve">Czakon, Wojciech/0000-0002-8329-0829; Pocek, Jasna/0000-0002-6362-2320; Sulkowski, Lukasz/0000-0002-1248-2743</t>
  </si>
  <si>
    <t xml:space="preserve">National Science Centre, Poland [DEC-2019/35/B/HS4/01446]</t>
  </si>
  <si>
    <t xml:space="preserve">National Science Centre, Poland(National Science Centre, Poland)</t>
  </si>
  <si>
    <t xml:space="preserve">We are grateful for extremely helpful feedback at several conferences, including the ISPIM Connects Global: Celebrating the World of Innovation 2021, The International Open and User Innovation Conference 2021, R&amp;D Management Conference 2021, and European Group for Organizational Studies Colloquium 2021. We would also like to thank the editor and anonymous reviewers for their very constructive comments and suggestions. This project was financed from the funds provided by the National Science Centre, Poland awarded on the basis of decision Number DEC-2019/35/B/HS4/01446.</t>
  </si>
  <si>
    <t xml:space="preserve">1863-6683</t>
  </si>
  <si>
    <t xml:space="preserve">1863-6691</t>
  </si>
  <si>
    <t xml:space="preserve">REV MANAG SCI</t>
  </si>
  <si>
    <t xml:space="preserve">Rev. Manag. Sci.</t>
  </si>
  <si>
    <t xml:space="preserve">10.1007/s11846-022-00602-z</t>
  </si>
  <si>
    <t xml:space="preserve">T7NE5</t>
  </si>
  <si>
    <t xml:space="preserve">WOS:000885416300001</t>
  </si>
  <si>
    <t xml:space="preserve">Österlin, C; Schlyter, P; Stjernquist, I</t>
  </si>
  <si>
    <t xml:space="preserve">Osterlin, Carl; Schlyter, Peter; Stjernquist, Ingrid</t>
  </si>
  <si>
    <t xml:space="preserve">Different Worldviews as Impediments to Integrated Nature and Cultural Heritage Conservation Management: Experiences from Protected Areas in Northern Sweden</t>
  </si>
  <si>
    <t xml:space="preserve">integrated environmental management; cultural landscapes; stakeholder participation; landscape planning; systems thinking; group modeling; participatory modeling; conservation; wilderness; wilderness discourse</t>
  </si>
  <si>
    <t xml:space="preserve">ENVIRONMENTAL-MANAGEMENT; GOVERNANCE</t>
  </si>
  <si>
    <t xml:space="preserve">In the management of protected nature areas, arguments are being raised for increasingly integrated approaches. Despite an explicit ambition from the responsible managing governmental agencies, Swedish Environmental Protection Agency and Swedish National Heritage Board, attempts to initiate and increase the degree of integrated nature and cultural heritage conservation management in the Swedish mountains are failing. The delivery of environmental policy through the Swedish National Environmental Objective called Magnificent Mountains is dependent on increased collaboration between the state and local stakeholders. This study, using a group model building approach, maps out the system's dynamic interactions between nature perceptions, values and the objectives of managing agencies and local stakeholders. It is identified that the dominance of a wilderness discourse influences both the objectives and management of the protected areas. This wilderness discourse functions as a barrier against including cultural heritage conservation aspects and local stakeholders in management, as wilderness-influenced objectives are defining protected areas as environments untouched by humans. A wilderness objective reduces the need for local knowledge and participation in environmental management. In reality, protected areas depend, to varying degrees, on the continuation of traditional land-use practices.</t>
  </si>
  <si>
    <t xml:space="preserve">[Osterlin, Carl; Stjernquist, Ingrid] Stockholm Univ, Dept Phys Geog, S-10691 Stockholm, Sweden; [Schlyter, Peter] Blekinge Inst Technol, Dept Spatial Planning, S-37179 Karlskrona, Sweden</t>
  </si>
  <si>
    <t xml:space="preserve">Stockholm University; Blekinge Institute Technology</t>
  </si>
  <si>
    <t xml:space="preserve">Österlin, C (corresponding author), Stockholm Univ, Dept Phys Geog, S-10691 Stockholm, Sweden.</t>
  </si>
  <si>
    <t xml:space="preserve">carl.osterlin@natgeo.su.se; peter.schlyter@bth.se; ingrid.stjernquist@natgeo.su.se</t>
  </si>
  <si>
    <t xml:space="preserve">Schlyter, Peter/0009-0009-1522-4692; Osterlin, Carl/0000-0002-3623-6125</t>
  </si>
  <si>
    <t xml:space="preserve">Swedish National Heritage Board (SNHB) [3.2.-3093-2013]; Swedish Environmental Protection Agency (SEPA)</t>
  </si>
  <si>
    <t xml:space="preserve">Swedish National Heritage Board (SNHB); Swedish Environmental Protection Agency (SEPA)</t>
  </si>
  <si>
    <t xml:space="preserve">This research (Dnr 3.2.-3093-2013) was funded by the Swedish National Heritage Board (SNHB) and the Swedish Environmental Protection Agency (SEPA) as a part of the call Integrated nature and cultural conservation management in the Swedish mountains.</t>
  </si>
  <si>
    <t xml:space="preserve">10.3390/su12093533</t>
  </si>
  <si>
    <t xml:space="preserve">LU0TK</t>
  </si>
  <si>
    <t xml:space="preserve">WOS:000537476200032</t>
  </si>
  <si>
    <t xml:space="preserve">Smite, D; van Solingen, R; Chatzipetrou, P</t>
  </si>
  <si>
    <t xml:space="preserve">Smite, Darja; van Solingen, Rini; Chatzipetrou, Panagiota</t>
  </si>
  <si>
    <t xml:space="preserve">The Offshoring Elephant in the Room: Turnover</t>
  </si>
  <si>
    <t xml:space="preserve">Project management; Software development management; Productivity; Collaboration; Economics; Employment; Personnel; Offshoring; Global software engineering; Global software development; Turnover; Attrition; Hidden costs</t>
  </si>
  <si>
    <t xml:space="preserve">Staffing software projects with engineers from inexpensive locations has become commonplace. However, distributed development remains practically challenging because of recurring problems, e.g., decreased productivity, low quality, and high, unforeseen costs. Although it is often overlooked, one of the main underlying reasons for these challenges is high employee turnover. This might be especially noticeable in developing countries with strong economic growth such as India. This article examines turnover of Indian software engineers and introduces strategies to address it.</t>
  </si>
  <si>
    <t xml:space="preserve">[Smite, Darja] Blekinge Inst Technol, Software Engn, Karlskrona, Sweden; [van Solingen, Rini] Delft Univ Technol, Global Software Engn, Delft, Netherlands; [Chatzipetrou, Panagiota] Orebro Univ, Dept Informat, Orebro, Sweden</t>
  </si>
  <si>
    <t xml:space="preserve">Blekinge Institute Technology; Delft University of Technology; Orebro University</t>
  </si>
  <si>
    <t xml:space="preserve">darja.smite@bth.se; rini@rinivansolingen.nl; panagiota.chatzipetrou@oru.se</t>
  </si>
  <si>
    <t xml:space="preserve">Chatzipetrou, Panagiota/0000-0002-0311-1502</t>
  </si>
  <si>
    <t xml:space="preserve">10.1109/MS.2018.2886179</t>
  </si>
  <si>
    <t xml:space="preserve">LH5OT</t>
  </si>
  <si>
    <t xml:space="preserve">WOS:000528835000008</t>
  </si>
  <si>
    <t xml:space="preserve">Visually Guided Network Reconstruction Using Multiple Embeddings</t>
  </si>
  <si>
    <t xml:space="preserve">2023 IEEE 16TH PACIFIC VISUALIZATION SYMPOSIUM, PACIFICVIS</t>
  </si>
  <si>
    <t xml:space="preserve">IEEE Pacific Visualization Symposium</t>
  </si>
  <si>
    <t xml:space="preserve">IEEE 16th Pacific Visualization Symposium (IEEE PacificVis)</t>
  </si>
  <si>
    <t xml:space="preserve">APR 18-21, 2023</t>
  </si>
  <si>
    <t xml:space="preserve">IEEE,IEEE Comp Soc,IEEE Comp Soc Visualizat &amp; Graph Tech Comm</t>
  </si>
  <si>
    <t xml:space="preserve">Graph embedding; network embedding; similarity calculations; visual analytics; visualization</t>
  </si>
  <si>
    <t xml:space="preserve">Embeddings are powerful tools for transforming complex and unstructured data into numeric formats suitable for computational analysis tasks. In this paper, we extend our previous work on using multiple embeddings for text similarity calculations to the field of networks. The embedding ensemble approach improves network reconstruction performance compared to single-embedding strategies. Our visual analytics methodology is successful in handling both text and network data, which demonstrates its generalizability beyond its originally presented scope.</t>
  </si>
  <si>
    <t xml:space="preserve">[Witschard, Daniel; Kerren, Andreas] Linnaeus Univ, Vaxjo, Sweden; [Jusufi, Ilir] Blekinge Inst Technol, Karlskrona, Sweden; [Kucher, Kostiantyn; Kerren, Andreas] Linkoping Univ, Linkoping, Sweden</t>
  </si>
  <si>
    <t xml:space="preserve">Witschard, D (corresponding author), Linnaeus Univ, Vaxjo, Sweden.</t>
  </si>
  <si>
    <t xml:space="preserve">daniel.witschard@lnu.se; ilir.jusufi@bth.se; kostiantyn.kucher@liu.se; andreas.kerren@liu.se</t>
  </si>
  <si>
    <t xml:space="preserve">Kerren, Andreas/AAV-9187-2020; Jusufi, Ilir/G-2932-2014</t>
  </si>
  <si>
    <t xml:space="preserve">Jusufi, Ilir/0000-0001-6745-4398</t>
  </si>
  <si>
    <t xml:space="preserve">ELLIIT environment for strategic research in Sweden</t>
  </si>
  <si>
    <t xml:space="preserve">This work was partially supported through the ELLIIT environment for strategic research in Sweden.</t>
  </si>
  <si>
    <t xml:space="preserve">2165-8765</t>
  </si>
  <si>
    <t xml:space="preserve">979-8-3503-2124-1</t>
  </si>
  <si>
    <t xml:space="preserve">IEEE PAC VIS SYMP</t>
  </si>
  <si>
    <t xml:space="preserve">10.1109/PacificVis56936.2023.00031</t>
  </si>
  <si>
    <t xml:space="preserve">BV3FD</t>
  </si>
  <si>
    <t xml:space="preserve">WOS:001016413500025</t>
  </si>
  <si>
    <t xml:space="preserve">Rutkowska, D; Kurach, D; Rakus-Andersson, E</t>
  </si>
  <si>
    <t xml:space="preserve">Rutkowski, L; Scherer, R; Korytkowski, M; Pedrycz, W; Tadeusiewicz, R; Zurada, JM</t>
  </si>
  <si>
    <t xml:space="preserve">Rutkowska, Danuta; Kurach, Damian; Rakus-Andersson, Elisabeth</t>
  </si>
  <si>
    <t xml:space="preserve">Fuzzy Granulation Approach to Face Recognition</t>
  </si>
  <si>
    <t xml:space="preserve">ARTIFICIAL INTELLIGENCE AND SOFT COMPUTING (ICAISC 2021), PT II</t>
  </si>
  <si>
    <t xml:space="preserve">20th International Conference on Artificial Intelligence and Soft Computing (ICAISC)</t>
  </si>
  <si>
    <t xml:space="preserve">JUN 21-23, 2021</t>
  </si>
  <si>
    <t xml:space="preserve">Polish Neural Network Soc,Univ Social Sci Lodz,Czestochowa Univ Technol, Dept Intelligent Comp Syst,IEEE Computat Intelligence Soc, Poland Chapter,Czestochowa Univ Technol, Inst Computat Intelligence</t>
  </si>
  <si>
    <t xml:space="preserve">Fuzzy granulation; Face recognition; Linguistic description; Type-2 fuzzy sets; Fuzzy rules; Fuzzy relations; Explainable AI</t>
  </si>
  <si>
    <t xml:space="preserve">RULES; NETWORKS; SALIENCY</t>
  </si>
  <si>
    <t xml:space="preserve">In this paper, a new approach to face description is proposed. The linguistic description of human faces in digital pictures is generated within a framework of fuzzy granulation. Fuzzy relations and fuzzy relational rules are applied in order to create the image description. By use of type-2 fuzzy sets, fuzzy relations, and fuzzy IF-THEN rules, an image recognition system can infer and explain its decision. Such a system can retrieve an image, recognize, and classify - especially a human face - based on the linguistic description.</t>
  </si>
  <si>
    <t xml:space="preserve">[Rutkowska, Danuta] Univ Social Sci, Informat Technol Inst, PL-90113 Lodz, Poland; [Kurach, Damian] Czestochowa Tech Univ, PL-42201 Czestochowa, Poland; [Rakus-Andersson, Elisabeth] Blekinge Inst Technol, Dept Math &amp; Nat Sci, S-37179 Karlskrona, Sweden</t>
  </si>
  <si>
    <t xml:space="preserve">University of Social Sciences; Technical University Czestochowa; Blekinge Institute Technology</t>
  </si>
  <si>
    <t xml:space="preserve">Rutkowska, D (corresponding author), Univ Social Sci, Informat Technol Inst, PL-90113 Lodz, Poland.</t>
  </si>
  <si>
    <t xml:space="preserve">drutkowska@san.edu.pl</t>
  </si>
  <si>
    <t xml:space="preserve">978-3-030-87897-9; 978-3-030-87896-2</t>
  </si>
  <si>
    <t xml:space="preserve">10.1007/978-3-030-87897-9_44</t>
  </si>
  <si>
    <t xml:space="preserve">Computer Science, Artificial Intelligence; Computer Science, Interdisciplinary Applications; Mathematics, Applied</t>
  </si>
  <si>
    <t xml:space="preserve">BT2MS</t>
  </si>
  <si>
    <t xml:space="preserve">WOS:000811814800043</t>
  </si>
  <si>
    <t xml:space="preserve">Zhang, F; Yang, PC; Li, RY; Li, S; Ding, JG; Xu, JB; Ning, HS</t>
  </si>
  <si>
    <t xml:space="preserve">Zhang, Fan; Yang, Peichen; Li, Rongyang; Li, Sha; Ding, Jianguo; Xu, Jiabo; Ning, Huansheng</t>
  </si>
  <si>
    <t xml:space="preserve">A multi-strategy ontology mapping method based on cost-sensitive SVM</t>
  </si>
  <si>
    <t xml:space="preserve">JOURNAL OF CLOUD COMPUTING-ADVANCES SYSTEMS AND APPLICATIONS</t>
  </si>
  <si>
    <t xml:space="preserve">Ontology mapping; Embedding vector; Similarity computation; Support vector machine</t>
  </si>
  <si>
    <t xml:space="preserve">PRINCIPLES</t>
  </si>
  <si>
    <t xml:space="preserve">As the core of ontology integration, the task of ontology mapping is to find the semantic relationship between ontologies. Nevertheless, most existing ontology mapping methods only rely ontext information to calculate entity similarity, thereby disregarding semantic nuances and necessitating substantial manual intervention. Therefore, this paper introduces an ontology mapping method. Based on the traditional ontology mapping method, the process employs a deep learning model to mine the semantic information of entity concepts, entity properties and ontology structure to obtain the embedding vector. We use the similarity mechanism to calculate the similarity between different embedding vectors, and combine the similarity values obtained from multiple strategy entities into a similarity matrix. The similarity matrix serves as input to the support vector machine (SVM), and the ontology mapping problem is finally transformed into a binary classification problem. However, since the number of mapped pairs is much larger than the number of non-mapped pairs, the number of positive samples in the data set is much smaller than the number of negative samples. Therefore, based on the traditional SVM, the paper adopts cost-sensitive strategy to deal with the class imbalance problem. In comparative evaluations against contemporary ontology mapping techniques, our method demonstrates a noteworthy 5.0% enhancement in recall and a 3.0% improvement in F1 score when tested on both public benchmark datasets and domain-specific datasets.</t>
  </si>
  <si>
    <t xml:space="preserve">[Zhang, Fan; Yang, Peichen; Li, Rongyang; Li, Sha; Ning, Huansheng] Beijing Univ Sci &amp; Technol, Sch Comp &amp; Commun Engn, Beijing 100083, Peoples R China; [Ding, Jianguo] Blekinge Inst Technol, Dept Comp Sci &amp; Engn, S-37179 Karlskrona, Sweden; [Xu, Jiabo] Xinjiang Inst Engn, Sch Informat Engn, Urumqi 830000, Peoples R China</t>
  </si>
  <si>
    <t xml:space="preserve">University of Science &amp; Technology Beijing; Blekinge Institute Technology; Xinjiang Institute of Engineering</t>
  </si>
  <si>
    <t xml:space="preserve">Li, S (corresponding author), Beijing Univ Sci &amp; Technol, Sch Comp &amp; Commun Engn, Beijing 100083, Peoples R China.</t>
  </si>
  <si>
    <t xml:space="preserve">shalee@ustb.edu.cn</t>
  </si>
  <si>
    <t xml:space="preserve">Li, Rongyang/GXF-2537-2022</t>
  </si>
  <si>
    <t xml:space="preserve">National Key Research and Development Program of China [2020YFB1712101]</t>
  </si>
  <si>
    <t xml:space="preserve">National Key Research and Development Program of China(National Key Research &amp; Development Program of China)</t>
  </si>
  <si>
    <t xml:space="preserve">This work was supported by the National Key Research and Development Program of China (Grant No.2020YFB1712101).</t>
  </si>
  <si>
    <t xml:space="preserve">2192-113X</t>
  </si>
  <si>
    <t xml:space="preserve">J CLOUD COMPUT-ADV S</t>
  </si>
  <si>
    <t xml:space="preserve">J. Cloud Comput.-Adv. Syst. Appl.</t>
  </si>
  <si>
    <t xml:space="preserve">SEP 27</t>
  </si>
  <si>
    <t xml:space="preserve">10.1186/s13677-024-00708-7</t>
  </si>
  <si>
    <t xml:space="preserve">H2K6S</t>
  </si>
  <si>
    <t xml:space="preserve">WOS:001321783000001</t>
  </si>
  <si>
    <t xml:space="preserve">A Roadmap for Using Continuous Integration Environments</t>
  </si>
  <si>
    <t xml:space="preserve">Visualizing CI's role in software quality attribute evaluation. QUALITY ATTRIBUTES OF software systems,(13) also known as system qualities, such as performance, security,2 and scalability, continue to grow in importance in industrial practice. The evaluation of quality attributes is critical to software development since optimizing a software system's core attributes can provide marketing advantage and set a product apart from its competitors. Many existing studies of unsuccessful development projects report that lack of quality attribute evaluation is often a contributing factor of project failure.(12,15) Therefore, continuous quality attribute evaluation, throughout the development process, is needed to ensure customers' expectations and demands(6) are met.</t>
  </si>
  <si>
    <t xml:space="preserve">[Yu, Liang] Blekinge Inst Technol, Karlskrona, Sweden; [Alegroth, Emil] Blekinge Inst Technol, Dept Software Engn, Karlskrona, Sweden; [Chatzipetrou, Panagiota] Orebro Univ, Dept Informat, Orebro, Sweden; [Gorschek, Tony] Blekinge Inst Technol, Software Engn, Karlskrona, Sweden; [Gorschek, Tony] Fortiss GmbH, Munich, Germany</t>
  </si>
  <si>
    <t xml:space="preserve">Blekinge Institute Technology; Blekinge Institute Technology; Orebro University; Blekinge Institute Technology; fortiss</t>
  </si>
  <si>
    <t xml:space="preserve">Yu, L (corresponding author), Blekinge Inst Technol, Karlskrona, Sweden.</t>
  </si>
  <si>
    <t xml:space="preserve">Chatzipetrou, Panagiota/0000-0002-0311-1502; Alegroth, Emil/0000-0001-7526-3727; Yu, Liang/0000-0001-5949-1375</t>
  </si>
  <si>
    <t xml:space="preserve">10.1145/3631519</t>
  </si>
  <si>
    <t xml:space="preserve">TJ7H2</t>
  </si>
  <si>
    <t xml:space="preserve">WOS:001240956100025</t>
  </si>
  <si>
    <t xml:space="preserve">Svensson, M; Jacobsson, M</t>
  </si>
  <si>
    <t xml:space="preserve">Svensson, Martin; Jacobsson, Mattias</t>
  </si>
  <si>
    <t xml:space="preserve">Managing inconsistencies in medical decision-making: An eight-fold typology</t>
  </si>
  <si>
    <t xml:space="preserve">EUROPEAN MANAGEMENT JOURNAL</t>
  </si>
  <si>
    <t xml:space="preserve">INTUITION; RATIONALITY; JUSTIFICATION; SENSEMAKING; MANAGERIAL; EMOTIONS; DYNAMICS; JUDGMENT; DOCTORS; CARE</t>
  </si>
  <si>
    <t xml:space="preserve">This paper serves to deepen the understanding of how inconsistencies between feeling, thinking, and doing are managed by decision-makers in emergency settings. We use a practice approach and investigate the emergency physicians in an Emergency Department (ED), by means of 200 h of observations, 12 in-depth interviews, and organizational documentation. Data are analyzed using an abductive template-based approach. The configuration of three different decision-making modes, namely an experiential-based mode, an ostensive-based mode, and an action-based mode, provide an eight-fold typology of emergency physicians' decision-making praxis. Weak signals are the starting point for clinical assessment, and inconsistencies among the modes are strategically used and surprisingly often associated with positive treatment outcomes. The praxis perspective used in this article bridges literature on choice and interpretation-processes usually separated in organizational and decision-making literature. Inconsistency between the modes allow physicians to create an action space where decision-making is about more than providing the right answer. Making use of the eight-fold typology helps physicians identify blind spots, improve practice in both mundane and medically rare cases, as well as aid in revision of existing routines. This awareness also provides for high-quality care, an increased acceptance of inconsistencies by the public, with a potential to reduce litigation issues.</t>
  </si>
  <si>
    <t xml:space="preserve">[Svensson, Martin] Blekinge Inst Technol, Dept Ind Econ &amp; Management, SE-37179 Karlskrona, Sweden; [Svensson, Martin; Jacobsson, Mattias] Umea Univ, Umea Sch Business Econ &amp; Stat, Umea, Sweden; [Jacobsson, Mattias] Jonkoping Univ, Sch Engn, Jonkoping, Sweden</t>
  </si>
  <si>
    <t xml:space="preserve">Blekinge Institute Technology; Umea University; Jonkoping University</t>
  </si>
  <si>
    <t xml:space="preserve">Svensson, M (corresponding author), Blekinge Inst Technol, Dept Ind Econ &amp; Management, SE-37179 Karlskrona, Sweden.;Svensson, M (corresponding author), Umea Univ, Umea Sch Business Econ &amp; Stat, Umea, Sweden.</t>
  </si>
  <si>
    <t xml:space="preserve">martin.svensson@bth.se</t>
  </si>
  <si>
    <t xml:space="preserve">Ragnar Soderbergs stiftelse [Anslag: E54/11]</t>
  </si>
  <si>
    <t xml:space="preserve">Ragnar Soderbergs stiftelse</t>
  </si>
  <si>
    <t xml:space="preserve">The authors would like to thank Professor Markus Hallgren for his role in initiating and successfully leading the project from which this research originates. We would also like to thank Assistant Professor Daniel Newark for his contributions to the data collection process and the anonymous reviewers reviewing the study. Funding for this research was provided by Ragnar Soderbergs stiftelse (Anslag: E54/11).</t>
  </si>
  <si>
    <t xml:space="preserve">0263-2373</t>
  </si>
  <si>
    <t xml:space="preserve">1873-5681</t>
  </si>
  <si>
    <t xml:space="preserve">EUR MANAG J</t>
  </si>
  <si>
    <t xml:space="preserve">Eur. Manag. J.</t>
  </si>
  <si>
    <t xml:space="preserve">10.1016/j.emj.2022.09.008</t>
  </si>
  <si>
    <t xml:space="preserve">Business; Management</t>
  </si>
  <si>
    <t xml:space="preserve">OF4Z2</t>
  </si>
  <si>
    <t xml:space="preserve">WOS:001205850300001</t>
  </si>
  <si>
    <t xml:space="preserve">Self-perceived oral health and orofacial appearance in older adults - an 18-year follow-up study in Karlskrona, Sweden</t>
  </si>
  <si>
    <t xml:space="preserve">ACTA ODONTOLOGICA SCANDINAVICA</t>
  </si>
  <si>
    <t xml:space="preserve">Older adults; oral health; orofacial appearance; self-perception</t>
  </si>
  <si>
    <t xml:space="preserve">AGING POPULATION; CARE; SATISFACTION; DISEASE; BURDEN; NEED</t>
  </si>
  <si>
    <t xml:space="preserve">Objectives: To analyze whether self-perceived oral health and orofacial appearance change with increasing age. Methods: This longitudinal study is based on data from a questionnaire used in the Swedish National Study of Aging and Care. The sample comprises 160 participants 60 years of age at baseline 2001-2003. The same participants were re-examined at 66-, 72-, and 78 years of age. To analyze whether perceptions of oral health and orofacial appearance changed with increasing age, Cochran's Q test was conducted. Statistical significance was considered at p &lt;= 0.05, and the calculated value Q must be equal to or greater than the critical chi-square value (Q &gt;= 7.82). Significance values have been adjusted for the Bonferroni correction for multiple tests. Results: Self-perceived mouth dryness, both day (Q = 7.94) and night (Q = 23.41), increased over the 18-year follow-up. When divided by gender, significant differences were only seen for mouth dryness at nighttime. A decrease in sensitive teeth was perceived with increasing age, and an increase in self-perceived satisfaction with dental appearance, and a decrease in self-perceived problems with dental gaps between the ages of 60 and 78. These changes were, however, not statistically significant. Men experienced a higher proportion of discomfort with discolored teeth at age 78 than at 60 (Q = 9.09). Conclusions: Self-perceived oral health and orofacial appearance were relatively stable, with few changes over an 18-year follow-up.</t>
  </si>
  <si>
    <t xml:space="preserve">[Henricsson, Sara; Bengtsson, Viveca Wallin; Renvert, Stefan; Andersson, Pia] Kristianstad Univ, Fac Hlth Sci, SE-29188 Kristianstad, Sweden; [Henricsson, Sara; Lundegren, Nina] Malmo Univ, Fac Odontol, Malmo, Sweden; [Renvert, Stefan; Berglund, Johan Sanmartin] Blekinge Inst Technol, Dept Hlth, Karlskrona, Sweden</t>
  </si>
  <si>
    <t xml:space="preserve">Kristianstad University; Malmo University; Blekinge Institute Technology</t>
  </si>
  <si>
    <t xml:space="preserve">Sanmartin Berglund, Johan/HGB-0471-2022; Renvert, Stefan/AAM-2415-2020</t>
  </si>
  <si>
    <t xml:space="preserve">Wallin Bengtsson, Viveca/0000-0002-8092-665X; Renvert, Stefan/0000-0003-0992-2362; Andersson, Pia/0000-0003-0269-730X; Berglund, Johan/0000-0003-4312-2246; Lundegren, Nina/0000-0002-5798-2418; Henricsson, Sara/0000-0003-3151-105X</t>
  </si>
  <si>
    <t xml:space="preserve">The authors thank the Swedish National Study on Aging and Care project (SNAC) , Ms. Ulrika Isaksson, Blekinge Technical Institute, Sweden, for data management.</t>
  </si>
  <si>
    <t xml:space="preserve">Medical Journal Sweden AB</t>
  </si>
  <si>
    <t xml:space="preserve">Uppsala</t>
  </si>
  <si>
    <t xml:space="preserve">Kungsngsvgen 27St, Uppsala, SWEDEN</t>
  </si>
  <si>
    <t xml:space="preserve">0001-6357</t>
  </si>
  <si>
    <t xml:space="preserve">1502-3850</t>
  </si>
  <si>
    <t xml:space="preserve">ACTA ODONTOL SCAND</t>
  </si>
  <si>
    <t xml:space="preserve">Acta Odontol. Scand.</t>
  </si>
  <si>
    <t xml:space="preserve">10.2340/aos.v83.40574</t>
  </si>
  <si>
    <t xml:space="preserve">YH2E0</t>
  </si>
  <si>
    <t xml:space="preserve">WOS:001267523400009</t>
  </si>
  <si>
    <t xml:space="preserve">Fjellfeldt, M; Högström, E; Berglund-Snodgrass, L; Markström, U</t>
  </si>
  <si>
    <t xml:space="preserve">Fjellfeldt, Maria; Hogstrom, Ebba; Berglund-Snodgrass, Lina; Markstrom, Urban</t>
  </si>
  <si>
    <t xml:space="preserve">Fringe or Not Fringe? Strategies for Localizing Supported Accommodation in a Post-Deinstitutional Era</t>
  </si>
  <si>
    <t xml:space="preserve">SOCIAL INCLUSION</t>
  </si>
  <si>
    <t xml:space="preserve">municipal localization strategies; psychiatric disabilities; public facility location; social inclusion; supported accommodation</t>
  </si>
  <si>
    <t xml:space="preserve">Finding suitable locations for supported accommodations is crucial both for the wellbeing of individuals with psychiatric disabilities (PD) and to achieve the objectives of the mental health care reform in order to create opportunities for social inclusion. This article explores municipal strategies for localizing supported accommodations for people with PD. In a multiple case study, interviews with 20 municipal civil servants from social services and urban planning were conducted. Three strategies were identified and further analyzed with a public location theory approach: (1) re-use, i.e., using existing facilities for a new purpose, (2) fill-in, i.e., infilling new purpose-built facilities in existing neighborhoods, and (3) insert, i.e., inserting new premises or facilities as part of a new development. The article shows that the re-use strategy was employed primarily for pragmatic reasons, but also because re-using former care facilities was found to cause less conflicts, as residents were supposedly used to neighbors with special needs. When the fill-in and insert strategies were employed, new accommodations were more often located on the outskirts of neighborhoods. This was a way to balance potential conflicts between residents in ordinary housing and residents in supported accommodations, but also to meet alleged viewpoints of service users' need for a quiet and secluded accommodation. Furthermore, ideas associated with social services' view of social inclusion and urban planning's notion of tricky tenants significantly influenced localization strategies. Finally, this article is also a call for more empirical research on the decision-making processes, use of strategies (intended or not) and spatial outcomes, when localizing supported accommodation for people with PD and other groups in need of support and service.</t>
  </si>
  <si>
    <t xml:space="preserve">[Fjellfeldt, Maria] Dalarna Univ, Dept Hlth &amp; Welf, Falun, Sweden; [Hogstrom, Ebba; Berglund-Snodgrass, Lina] Blekinge Inst Technol, Dept Spatial Planning, Karlshamn, Sweden; [Markstrom, Urban] Umea Univ, Dept Social Work, Umea, Sweden</t>
  </si>
  <si>
    <t xml:space="preserve">Dalarna University; Blekinge Institute Technology; Umea University</t>
  </si>
  <si>
    <t xml:space="preserve">Fjellfeldt, M (corresponding author), Dalarna Univ, Dept Hlth &amp; Welf, Falun, Sweden.</t>
  </si>
  <si>
    <t xml:space="preserve">mfj@du.se; ebba.hogstrom@bth.se; lina.berglund-snodgrass@bth.se; urban.markstrom@umu.se</t>
  </si>
  <si>
    <t xml:space="preserve">Fjellfeldt, Maria/0000-0001-9836-6446; Berglund-Snodgrass, Lina/0000-0003-3003-0457; Hogstrom, Ebba/0000-0002-7725-1233; Markstrom, Urban/0000-0002-6330-5640</t>
  </si>
  <si>
    <t xml:space="preserve">Formas-Swedish Research Council [2018-00058, 2018-00192]; ForteSwedish Research Council for Health, Working Life and Welfare [2018-01325]; Forte [2018-01325] Funding Source: Forte; Formas [2018-00058, 2018-00192] Funding Source: Formas; Vinnova [2018-00058] Funding Source: Vinnova</t>
  </si>
  <si>
    <t xml:space="preserve">Formas-Swedish Research Council(Swedish Research Council Formas); ForteSwedish Research Council for Health, Working Life and Welfare; Forte(Swedish Research Council for Health Working Life &amp; Welfare (Forte)); Formas(Swedish Research Council Formas); Vinnova(Vinnova)</t>
  </si>
  <si>
    <t xml:space="preserve">The authors would like to thank Kitty Lassinannti and Anna-Lena Almqvist, as well as the three anonymous reviewers, for their valuable comments and suggestions on earlier drafts of the manuscript. We also would like to thank Andrea Gimeno Sanchez for providing the illustrations. We also thank Charles Snodgrass for excellent proofreading. This research project was funded by Formas-Swedish Research Council for Sustainable Development (2018-00058 and 2018-00192) and ForteSwedish Research Council for Health, Working Life and Welfare (2018-01325).</t>
  </si>
  <si>
    <t xml:space="preserve">COGITATIO PRESS</t>
  </si>
  <si>
    <t xml:space="preserve">LISBON</t>
  </si>
  <si>
    <t xml:space="preserve">RUA FIALHO ALMEIDA 14, 2 ESQ, LISBON, 1070-129, PORTUGAL</t>
  </si>
  <si>
    <t xml:space="preserve">2183-2803</t>
  </si>
  <si>
    <t xml:space="preserve">SOC INCL</t>
  </si>
  <si>
    <t xml:space="preserve">Soc. Incl.</t>
  </si>
  <si>
    <t xml:space="preserve">10.17645/si.v9i3.4319</t>
  </si>
  <si>
    <t xml:space="preserve">Social Issues; Social Sciences, Interdisciplinary</t>
  </si>
  <si>
    <t xml:space="preserve">Social Issues; Social Sciences - Other Topics</t>
  </si>
  <si>
    <t xml:space="preserve">UJ1OH</t>
  </si>
  <si>
    <t xml:space="preserve">WOS:000691063200004</t>
  </si>
  <si>
    <t xml:space="preserve">Fagerlin, WP; Wang, YQ</t>
  </si>
  <si>
    <t xml:space="preserve">Pan Fagerlin, Wen; Wang, Yueqi</t>
  </si>
  <si>
    <t xml:space="preserve">Top managers' communication efforts as response to tensions in product innovation: an attention-based view</t>
  </si>
  <si>
    <t xml:space="preserve">Organizational tension; Top manager; Attention-based view; Communication; Product innovation</t>
  </si>
  <si>
    <t xml:space="preserve">PERFORMANCE; PARADOX; TEAMS; FIRM; STRATEGY; FRONT</t>
  </si>
  <si>
    <t xml:space="preserve">PurposeThe purpose of this study is to map different kinds of tensions in product innovation and investigate how top managers use communication to shape subordinates' attention and thereby respond to these tensions.Design/methodology/approachThis study adopted an embedded case study of four innovation centers within a Nordic multinational firm.FindingsThis study identifies three kinds of tensions that reside in product innovation, namely dilemma, paradox and trade-off. Further, this study reveals how joint attention (among top managers and subordinates) as a response to tensions can be achieved through different aggregates of top managers' communication efforts.Originality/valueIn opening the black box of tensions in product innovation and identifying multiple tensions, this study contributes to advancing the understanding of the attention-based view. Different from previous studies that simply consider communication as channels for information processing, the findings indicate that the contents and practices of communication can help top managers to shape subordinates' attention and thereby respond to tensions. This study also extends the research focus of attention from top managers to the whole organization, by revealing the importance of building a joint pattern of attention among top managers and subordinates.</t>
  </si>
  <si>
    <t xml:space="preserve">[Pan Fagerlin, Wen] Blekinge Inst Technol, Ind Econ, Karlskrona, Sweden; [Pan Fagerlin, Wen] Hitotsubashi Univ, Management Innovat Ctr, Tokyo, Japan; [Wang, Yueqi] Dalian Univ Technol, Sch Econ &amp; Management, Innovat Management, Dalian, Peoples R China</t>
  </si>
  <si>
    <t xml:space="preserve">Blekinge Institute Technology; Hitotsubashi University; Dalian University of Technology</t>
  </si>
  <si>
    <t xml:space="preserve">Wang, YQ (corresponding author), Dalian Univ Technol, Sch Econ &amp; Management, Innovat Management, Dalian, Peoples R China.</t>
  </si>
  <si>
    <t xml:space="preserve">wen.pan.fagerlin@bth.se; yueqi_wang@dlut.edu.cn</t>
  </si>
  <si>
    <t xml:space="preserve">National Natural Science Foundation of China [71802038]</t>
  </si>
  <si>
    <t xml:space="preserve">These two authors contributed equally. This study was sponsored by National Natural Science Foundation of China [Grant number 71802038].</t>
  </si>
  <si>
    <t xml:space="preserve">10.1108/BJM-01-2020-0024</t>
  </si>
  <si>
    <t xml:space="preserve">PO6TE</t>
  </si>
  <si>
    <t xml:space="preserve">WOS:000568256500001</t>
  </si>
  <si>
    <t xml:space="preserve">Bennin, KE; Ali, NB; Börstler, J; Yu, X</t>
  </si>
  <si>
    <t xml:space="preserve">Bennin, Kwabena E.; Ali, Nauman bin; Borstler, Jurgen; Yu, Xiao</t>
  </si>
  <si>
    <t xml:space="preserve">Revisiting the Impact of Concept Drift on Just-in-Time Quality Assurance</t>
  </si>
  <si>
    <t xml:space="preserve">2020 IEEE 20TH INTERNATIONAL CONFERENCE ON SOFTWARE QUALITY, RELIABILITY, AND SECURITY (QRS 2020)</t>
  </si>
  <si>
    <t xml:space="preserve">20th IEEE International Conference on Software Quality, Reliability, and Security (QRS)</t>
  </si>
  <si>
    <t xml:space="preserve">DEC 11-14, 2020</t>
  </si>
  <si>
    <t xml:space="preserve">Macau, PEOPLES R CHINA</t>
  </si>
  <si>
    <t xml:space="preserve">IEEE,IEEE Comp Soc,IEEE Reliabil Soc</t>
  </si>
  <si>
    <t xml:space="preserve">Defect prediction; Just-in-time Quality assurance; Concept drift</t>
  </si>
  <si>
    <t xml:space="preserve">The performance of software defect prediction(SDP) models is known to be dependent on the datasets used for training the models. Evolving data in a dynamic software development environment such as significant refactoring and organizational changes introduces new concept to the prediction model, thus making improved classification performance difficult. In this study, we investigate and assess the existence and impact of concept drift on SDP performances. We empirically asses the prediction performance of five models by conducting cross-version experiments using fifty-five releases of five open-source projects. Prediction performance fluctuated as the training datasets changed over time. Our results indicate that the quality and the reliability of defect prediction models fluctuate over time and that this instability should be considered by software quality teams when using historical datasets. The performance of a static predictor constructed with data from historical versions may degrade over time due to the challenges posed by concept drift.</t>
  </si>
  <si>
    <t xml:space="preserve">[Bennin, Kwabena E.; Ali, Nauman bin; Borstler, Jurgen] Blekinge Inst Technol, Dept Software Engn, Karlskrona, Sweden; [Yu, Xiao] City Univ Hong Kong, Dept Comp Sci, Kowloon Tong, Hong Kong, Peoples R China</t>
  </si>
  <si>
    <t xml:space="preserve">Blekinge Institute Technology; City University of Hong Kong</t>
  </si>
  <si>
    <t xml:space="preserve">Bennin, KE (corresponding author), Blekinge Inst Technol, Dept Software Engn, Karlskrona, Sweden.</t>
  </si>
  <si>
    <t xml:space="preserve">kwabena.ebo.bennin@bth.se; nauman.ali@bth.se; jurgen.borstler@bth.se; xyu224-c@my.cityu.edu.hk</t>
  </si>
  <si>
    <t xml:space="preserve">Ali, Nauman bin/0000-0001-7266-5632; Borstler, Jurgen/0000-0003-0639-4234; Bennin, Kwabena/0000-0001-9140-9271</t>
  </si>
  <si>
    <t xml:space="preserve">ELLIIT, a Strategic Area within IT and Mobile Communications - Swedish Government; VITS project from the Knowledge Foundation in Sweden [20180127]</t>
  </si>
  <si>
    <t xml:space="preserve">ELLIIT, a Strategic Area within IT and Mobile Communications - Swedish Government; VITS project from the Knowledge Foundation in Sweden</t>
  </si>
  <si>
    <t xml:space="preserve">This work has been supported by ELLIIT, a Strategic Area within IT and Mobile Communications, funded by the Swedish Government. The work has also been supported by a research grant for the VITS project (reference number 20180127) from the Knowledge Foundation in Sweden.</t>
  </si>
  <si>
    <t xml:space="preserve">978-1-7281-8913-0</t>
  </si>
  <si>
    <t xml:space="preserve">10.1109/QRS51102.2020.00020</t>
  </si>
  <si>
    <t xml:space="preserve">BR3QF</t>
  </si>
  <si>
    <t xml:space="preserve">WOS:000648778000008</t>
  </si>
  <si>
    <t xml:space="preserve">Campos, AB; Molin, RD; Vu, VT; Pettersson, MI; Machado, R</t>
  </si>
  <si>
    <t xml:space="preserve">Campos, Alexandre B.; Molin, Ricardo D., Jr.; Vu, Viet T.; Pettersson, Mats, I; Machado, Renato</t>
  </si>
  <si>
    <t xml:space="preserve">UNSUPERVISED AUTOMATIC TARGET DETECTION FOR MULTITEMPORAL SAR IMAGES BASED ON ADAPTIVE K-MEANS ALGORITHM</t>
  </si>
  <si>
    <t xml:space="preserve">Automatic target detection; CARABAS-II; k-means; SAR images; unsupervised change detection</t>
  </si>
  <si>
    <t xml:space="preserve">In this paper, we present an unsupervised automatic target detection algorithm for multitemporal SAR images. The proposed two-fold method is expected to reduce processing time for large scene sizes with sparse targets while still improving detection performance. Firstly, pixel blocks are extracted from an initial change map to reduce the algorithm's search space and favor target detection. Secondly, an adaptive k-means algorithm selects the number of clusters that better separates targets from false alarms, which are discarded. Preliminary results show the advantages of the proposed method in processing time and detection performance over a recently proposed supervised method for the CARABAS-II dataset.</t>
  </si>
  <si>
    <t xml:space="preserve">[Campos, Alexandre B.; Molin, Ricardo D., Jr.; Machado, Renato] Aeronaut Inst Technol ITA, BR-12228900 Sao Jose Dos Campos, SP, Brazil; [Campos, Alexandre B.; Vu, Viet T.; Pettersson, Mats, I] Blekinge Inst Technol BTH, SE-37179 Karlskrona, Sweden; [Molin, Ricardo D., Jr.] German Aerosp Ctr DLR, D-82234 Wessling, Germany</t>
  </si>
  <si>
    <t xml:space="preserve">Blekinge Institute Technology; Helmholtz Association; German Aerospace Centre (DLR)</t>
  </si>
  <si>
    <t xml:space="preserve">Campos, AB (corresponding author), Aeronaut Inst Technol ITA, BR-12228900 Sao Jose Dos Campos, SP, Brazil.;Campos, AB (corresponding author), Blekinge Inst Technol BTH, SE-37179 Karlskrona, Sweden.</t>
  </si>
  <si>
    <t xml:space="preserve">becker@ita.br; rsddj@ita.br; viet.thuy.vu@bth.se; mats.pettersson@bth.se; rmachado@ita.br</t>
  </si>
  <si>
    <t xml:space="preserve">Vu, Viet/JDW-0738-2023; Machado, Renato/P-8515-2018; Becker Campos, Alexandre/ABC-9953-2021; Pettersson, Mats/N-1063-2016</t>
  </si>
  <si>
    <t xml:space="preserve">Brazilian National Council for Scientific and Technological Development (CNPq); Coordination for the Improvement of Higher Education Personnel (CAPES)</t>
  </si>
  <si>
    <t xml:space="preserve">Brazilian National Council for Scientific and Technological Development (CNPq)(Conselho Nacional de Desenvolvimento Cientifico e Tecnologico (CNPQ)); Coordination for the Improvement of Higher Education Personnel (CAPES)(Coordenacao de Aperfeicoamento de Pessoal de Nivel Superior (CAPES))</t>
  </si>
  <si>
    <t xml:space="preserve">The authors would like to thank: the Swedish Defence Research Agency (FOI) and SAAB AB for providing the CARABAS-II SAR data; the Brazilian National Council for Scientific and Technological Development (CNPq) and the Coordination for the Improvement of Higher Education Personnel (CAPES) for the financial support.</t>
  </si>
  <si>
    <t xml:space="preserve">10.1109/IGARSS39084.2020.9324678</t>
  </si>
  <si>
    <t xml:space="preserve">WOS:000664335300079</t>
  </si>
  <si>
    <t xml:space="preserve">Peixoto, M; Ferreira, D; Cavalcanti, M; Silva, C; Vilela, J; Araújo, J; Gorschek, T</t>
  </si>
  <si>
    <t xml:space="preserve">Madhavji, N; Pasquale, L; Ferrari, A; Gnesi, S</t>
  </si>
  <si>
    <t xml:space="preserve">Peixoto, Mariana; Ferreira, Dayse; Cavalcanti, Mateus; Silva, Carla; Vilela, Jessyka; Araujo, Joao; Gorschek, Tony</t>
  </si>
  <si>
    <t xml:space="preserve">On Understanding How Developers Perceive and Interpret Privacy Requirements Research Preview</t>
  </si>
  <si>
    <t xml:space="preserve">REQUIREMENTS ENGINEERING: FOUNDATION FOR SOFTWARE QUALITY (REFSQ 2020)</t>
  </si>
  <si>
    <t xml:space="preserve">26th International Working Conference on Requirements Engineering - Foundation for Software Quality (REFSQ)</t>
  </si>
  <si>
    <t xml:space="preserve">JUN 23-26, 2020</t>
  </si>
  <si>
    <t xml:space="preserve">Natl Res Council Italy,Lero,UCD Dublin,Western Univ,Int Requirements Engn Board,Springer,ISTI</t>
  </si>
  <si>
    <t xml:space="preserve">Privacy requirements; Software development; Qualitative study</t>
  </si>
  <si>
    <t xml:space="preserve">[Context and motivation] Ensuring privacy of users' data has become a top concern in software development, either to satisfy users' needs or to comply with privacy laws. The problem may increase by the time a new law is in the vacancy period, and companies are working to understand how to comply with it. In addition, research has shown that many developers do not have sufficient knowledge about how to develop privacy-sensitive software. [Question/problem] Motivated by this scenario, this research investigates the personal factors affecting the developers' understanding of privacy requirements during the vacancy period of a data protection law. [Principal ideas/results] We conducted thirteen interviews in six different private companies. As a result, we found nine personal factors affecting how software developers perceive and interpret privacy requirements. [Contribution] The identification of the personal factors contributes to the elaboration of effective methods for promoting proper privacy-sensitive software development.</t>
  </si>
  <si>
    <t xml:space="preserve">[Peixoto, Mariana; Ferreira, Dayse; Cavalcanti, Mateus; Silva, Carla; Vilela, Jessyka] Univ Fed Pernambuco UFPE, Recife, PE, Brazil; [Araujo, Joao] Univ Nova Lisboa UNL, Lisbon, Portugal; [Gorschek, Tony] Blekinge Inst Technol BTH, Karlskrona, Sweden</t>
  </si>
  <si>
    <t xml:space="preserve">mmp2@cin.ufpe.br; dmmf@cin.ufpe.br; mc12@cin.ufpe.br; ctlls@cin.ufpe.br; jffv@cin.ufpe.br; p191@fct.unl.pt; tony.gorschek@bth.se</t>
  </si>
  <si>
    <t xml:space="preserve">Araujo, Joao/G-2108-2011; Vilela, Jessyka/KYQ-1664-2024; Gorschek, Tony/E-3445-2013; Araujo, Joao/M-3560-2013</t>
  </si>
  <si>
    <t xml:space="preserve">Vilela, Jessyka/0000-0002-5541-5188; Araujo, Joao/0000-0001-5914-1631</t>
  </si>
  <si>
    <t xml:space="preserve">Coordenacao de Aperfeicoamento de Pessoal de Nivel Superior - Brasil (CAPES) [001]; NOVA LINCS Research Laboratory [UID/CEC/04516/2019]</t>
  </si>
  <si>
    <t xml:space="preserve">Coordenacao de Aperfeicoamento de Pessoal de Nivel Superior - Brasil (CAPES)(Coordenacao de Aperfeicoamento de Pessoal de Nivel Superior (CAPES)); NOVA LINCS Research Laboratory</t>
  </si>
  <si>
    <t xml:space="preserve">This study was financed in part by the Coordenacao de Aperfeicoamento de Pessoal de Nivel Superior - Brasil (CAPES) -Finance Code 001, supported by the S.E.R.T research profile, (see rethought.se, kks.se), and NOVA LINCS Research Laboratory (Ref. UID/CEC/04516/2019).</t>
  </si>
  <si>
    <t xml:space="preserve">978-3-030-44429-7; 978-3-030-44428-0</t>
  </si>
  <si>
    <t xml:space="preserve">10.1007/978-3-030-44429-7_8</t>
  </si>
  <si>
    <t xml:space="preserve">Computer Science, Information Systems; Computer Science, Software Engineering; Computer Science, Theory &amp; Methods</t>
  </si>
  <si>
    <t xml:space="preserve">BT0IQ</t>
  </si>
  <si>
    <t xml:space="preserve">WOS:000788011200008</t>
  </si>
  <si>
    <t xml:space="preserve">Salleh, N; Mendes, E; Mendes, F; Lekamlage, CD; Petersen, K</t>
  </si>
  <si>
    <t xml:space="preserve">Salleh, Norsaremah; Mendes, Emilia; Mendes, Fabiana; Lekamlage, Charitha Dissanayake; Petersen, Kai</t>
  </si>
  <si>
    <t xml:space="preserve">Value-based Software Engineering: A Systematic Mapping Study</t>
  </si>
  <si>
    <t xml:space="preserve">Systematic mapping; value-based software engineering; VBSE</t>
  </si>
  <si>
    <t xml:space="preserve">PRODUCT VALUE; REQUIREMENTS PRIORITIZATION; PERCEIVED VALUE; FEATURE USAGE; QUALITY; ASSURANCE; ARCHITECTURE; DECISIONS; SELECTION; MODEL</t>
  </si>
  <si>
    <t xml:space="preserve">Background: Integrating value-oriented perspectives into the principles and practices of software engineering is fundamental to ensure that software development activities address key stakeholders' views and also balance short-and long-term goals. This is put forward in the discipline of value-based software engineering (VBSE) Aim: This study aims to provide an overview of VBSE with respect to the research efforts that have been put into VBSE. Method: We conducted a systematic mapping study to classify evidence on value definitions, studies' quality, VBSE principles and practices, research topics, methods, types, contribution facets, and publication venues. Results: From 143 studies we found that the term value has not been clearly defined in many studies. VB Requirements Engineering and VB Planning and Control were the two principles mostly investigated, whereas VB Risk Management and VB People Management were the least researched. Most studies showed very good reporting and relevance quality, acceptable credibility, but poor in rigour. Main research topic was Software Requirements and case study research was the method used the most. The majority of studies contribute towards methods and processes, while very few studies have proposed metrics and tools. Conclusion: We highlighted the research gaps and implications for research and practice to support VBSE.</t>
  </si>
  <si>
    <t xml:space="preserve">[Salleh, Norsaremah] Int Islamic Univ Malaysia, Kulliyyah ICT, Dept Comp Sci, Kuala Lumpur, Malaysia; [Mendes, Emilia] Blekinge Inst Technol, Fac Comp, Karlskrona, Sweden; [Mendes, Fabiana] Univ Brasilia, Fac UnB Gama, Brasilia, DF, Brazil; [Lekamlage, Charitha Dissanayake; Petersen, Kai] Blekinge Inst Technol, Fac Comp, Karlskrona, Sweden</t>
  </si>
  <si>
    <t xml:space="preserve">International Islamic University Malaysia; Blekinge Institute Technology; Universidade de Brasilia; Blekinge Institute Technology</t>
  </si>
  <si>
    <t xml:space="preserve">Salleh, N (corresponding author), Int Islamic Univ Malaysia, Kulliyyah ICT, Dept Comp Sci, Kuala Lumpur, Malaysia.</t>
  </si>
  <si>
    <t xml:space="preserve">norsaremah@iium.edu.my; emilia@bth.se; fabianamendes@unb.br; dilukshidissanayake@yahoo.com; kai.petersen@bth.se</t>
  </si>
  <si>
    <t xml:space="preserve">Mendes, Fabiana/AAH-5593-2019; Salleh, Norsaremah/AFU-5066-2022; Mendes, Maria/B-4207-2015</t>
  </si>
  <si>
    <t xml:space="preserve">Tekes (the Finnish Funding Agency for Technology and Innovation) [40150/14]</t>
  </si>
  <si>
    <t xml:space="preserve">Tekes (the Finnish Funding Agency for Technology and Innovation)(Finnish Funding Agency for Technology &amp; Innovation (TEKES))</t>
  </si>
  <si>
    <t xml:space="preserve">This research has been carried out within the FiDiPro VALUE project number 40150/14, which is funded by Tekes (the Finnish Funding Agency for Technology and Innovation).</t>
  </si>
  <si>
    <t xml:space="preserve">10.37190/e-Inf230106</t>
  </si>
  <si>
    <t xml:space="preserve">W9OW5</t>
  </si>
  <si>
    <t xml:space="preserve">Green Accepted, gold, Green Published</t>
  </si>
  <si>
    <t xml:space="preserve">WOS:001094860300001</t>
  </si>
  <si>
    <t xml:space="preserve">Corsini, L; Jagtap, S; Moultrie, J</t>
  </si>
  <si>
    <t xml:space="preserve">Corsini, Lucia; Jagtap, Santosh; Moultrie, James</t>
  </si>
  <si>
    <t xml:space="preserve">Design with and by Marginalized People in Humanitarian Makerspaces</t>
  </si>
  <si>
    <t xml:space="preserve">INTERNATIONAL JOURNAL OF DESIGN</t>
  </si>
  <si>
    <t xml:space="preserve">Humanitarian Design; Makerspaces; Marginalized People; Co-design; User-driven Design</t>
  </si>
  <si>
    <t xml:space="preserve">RURAL ELECTRIFICATION; PARTICIPATORY DESIGN; QUALITATIVE RESEARCH; DEVELOPING-COUNTRIES; POOR PEOPLE; TOP; COMMUNITIES; CONTEXTS; POVERTY; BOTTOM</t>
  </si>
  <si>
    <t xml:space="preserve">There is a growing demand for humanitarian aid around the world as the number of displaced people has reached an unprecedented level. At the same time, the number of community-based design and fabrication makerspaces has been growing exponentially. Recently the humanitarian sector has become interested in how these spaces can help marginalized populations, including migrants, refugees, and asylum seekers. However, there have been few efforts to document what types of design projects marginalized populations develop in these spaces. More broadly, knowledge on design with and by marginalized people remains underdeveloped. This study responds to this gap in knowledge, by analyzing cases from three makerspaces that support migrants, refugees, and asylum seekers in Greece. Ethnographic studies are conducted of twenty-three design projects emerging from these spaces. These projects are analyzed using the framework of Max-Neef's fundamental needs to show how they simultaneously address functional and non-functional needs. For researchers, this study contributes to knowledge on design with and by marginalized people. For practitioners, this study helps to document the impact of humanitarian makerspaces by showing how design projects emerging from these spaces can address the needs of marginalized people.</t>
  </si>
  <si>
    <t xml:space="preserve">[Corsini, Lucia] Brunel Univ, London, England; [Jagtap, Santosh] Blekinge Inst Technol, Blekinge, Sweden; [Moultrie, James] Univ Cambridge, Cambridge, England</t>
  </si>
  <si>
    <t xml:space="preserve">Brunel University; Blekinge Institute Technology; University of Cambridge</t>
  </si>
  <si>
    <t xml:space="preserve">Corsini, L (corresponding author), Brunel Univ, London, England.</t>
  </si>
  <si>
    <t xml:space="preserve">lucia.corsini@brunel.ac.uk</t>
  </si>
  <si>
    <t xml:space="preserve">Corsini, Lucia/0000-0002-1080-960X</t>
  </si>
  <si>
    <t xml:space="preserve">UK EPSRC [EP/L504920/1]; EPSRC [NAAG/070]; School of Technology Travel Award, University of Cambridge, UK</t>
  </si>
  <si>
    <t xml:space="preserve">UK EPSRC(UK Research &amp; Innovation (UKRI)Engineering &amp; Physical Sciences Research Council (EPSRC)); EPSRC(UK Research &amp; Innovation (UKRI)Engineering &amp; Physical Sciences Research Council (EPSRC)); School of Technology Travel Award, University of Cambridge, UK</t>
  </si>
  <si>
    <t xml:space="preserve">The authors would like to thank all of the migrants, refugees and asylum seekers who contributed to this study. The authors are grateful for the opportunity to share the design projects developed by these communities. They would also like to warmly thank AstroLab, ConstACT Lab, Terres Des Hommes, and Habibi Works for hosting the lead researcher during their visits. Finally, the authors thank the anonymous reviewers for supporting and helping to improve this manuscript. This research was funded by UK EPSRC Doctoral Training Programme, grant number EP/L504920/1, EPSRC DTP Doctoral Fellowship Award grant number NAAG/070, and School of Technology Travel Award, University of Cambridge, UK.</t>
  </si>
  <si>
    <t xml:space="preserve">NATL TAIWAN UNIV SCI &amp; TECHNOL</t>
  </si>
  <si>
    <t xml:space="preserve">TAIPEI CITY</t>
  </si>
  <si>
    <t xml:space="preserve">GRADUATE INST DES, PO BOX 90-15, TAIPEI CITY, 10699, TAIWAN</t>
  </si>
  <si>
    <t xml:space="preserve">1991-3761</t>
  </si>
  <si>
    <t xml:space="preserve">1994-036X</t>
  </si>
  <si>
    <t xml:space="preserve">INT J DES</t>
  </si>
  <si>
    <t xml:space="preserve">Int. J. Des.</t>
  </si>
  <si>
    <t xml:space="preserve">10.57698/v16i2.07</t>
  </si>
  <si>
    <t xml:space="preserve">Art; Engineering, Multidisciplinary; Engineering, Manufacturing; Social Sciences, Interdisciplinary</t>
  </si>
  <si>
    <t xml:space="preserve">Science Citation Index Expanded (SCI-EXPANDED); Social Science Citation Index (SSCI); Arts &amp; Humanities Citation Index (A&amp;HCI)</t>
  </si>
  <si>
    <t xml:space="preserve">Art; Engineering; Social Sciences - Other Topics</t>
  </si>
  <si>
    <t xml:space="preserve">5B0FK</t>
  </si>
  <si>
    <t xml:space="preserve">WOS:000863252500007</t>
  </si>
  <si>
    <t xml:space="preserve">Papatheocharous, E; Wohlin, C; Badampudi, D; Carlson, J; Wnuk, K</t>
  </si>
  <si>
    <t xml:space="preserve">Papatheocharous, Efi; Wohlin, Claes; Badampudi, Deepika; Carlson, Jan; Wnuk, Krzysztof</t>
  </si>
  <si>
    <t xml:space="preserve">Context factors perceived important when looking for similar experiences in decision-making for software components: An interview study</t>
  </si>
  <si>
    <t xml:space="preserve">components off-the-shelf; context factors; decision experience; decision-making; experience source; in-house; open-source software</t>
  </si>
  <si>
    <t xml:space="preserve">INFORMATION-SEEKING BEHAVIOR; ENGINEERING RESEARCH; IMPACT; COTS</t>
  </si>
  <si>
    <t xml:space="preserve">During software evolution, decisions related to components' origin or source significantly impact the quality properties of the product and development metrics such as cost, time to market, ease of maintenance, and further evolution. Thus, such decisions should ideally be supported by evidence, i.e., using previous experiences and information from different sources, even own previous experiences. A hindering factor to such reuse of previous experiences is that these decisions are highly context-dependent and it is difficult to identify when previous experiences come from sufficiently similar contexts to be useful in a current setting. Conversely, when documenting a decision (as a decision experience), it is difficult to know which context factors will be most beneficial when reusing the experience in the future. An interview study is performed to identify a list of context factors that are perceived to be most important by practitioners when using experiences to support decision-making for component sourcing, using a specific scenario with alternative sources of experiences. We observed that the further away (from a company or an interviewee) the experience evidence is, as is the case for online experiences, the more context factors are perceived as important by practitioners to make use of the experience. Furthermore, we discuss and identify further research to make this type of decision-making more evidence-based. With this interview study, which focuses on which context factors are perceived as important by practitioners when reusing previous knowledge on software component reuse, we contribute with a listing of factors perceived to be important when reusing experiences from other prior decision-making cases of selecting among software components options. image</t>
  </si>
  <si>
    <t xml:space="preserve">[Papatheocharous, Efi] RISE Res Inst Sweden, Kista, Sweden; [Papatheocharous, Efi; Wohlin, Claes; Badampudi, Deepika; Wnuk, Krzysztof] Blekinge Inst Technol, Karlskrona, Sweden; [Carlson, Jan] Malardalen Univ, Vasteras, Sweden</t>
  </si>
  <si>
    <t xml:space="preserve">RISE Research Institutes of Sweden; Blekinge Institute Technology; Malardalen University</t>
  </si>
  <si>
    <t xml:space="preserve">Papatheocharous, E (corresponding author), RISE Res Inst Sweden, Kista, Sweden.</t>
  </si>
  <si>
    <t xml:space="preserve">efi.papatheocharous@ri.se</t>
  </si>
  <si>
    <t xml:space="preserve">Carlson, Jan/D-4717-2012</t>
  </si>
  <si>
    <t xml:space="preserve">Knowledge Foundation [20140218]; ORION project; Knowledge Foundation in Sweden</t>
  </si>
  <si>
    <t xml:space="preserve">Knowledge Foundation; ORION project; Knowledge Foundation in Sweden</t>
  </si>
  <si>
    <t xml:space="preserve">The work is supported by a research grant for the ORION project (reference number 20140218) from the Knowledge Foundation in Sweden.</t>
  </si>
  <si>
    <t xml:space="preserve">10.1002/smr.2668</t>
  </si>
  <si>
    <t xml:space="preserve">J4B0A</t>
  </si>
  <si>
    <t xml:space="preserve">WOS:001199811300001</t>
  </si>
  <si>
    <t xml:space="preserve">Campos, AB; Molin, RD; Ramos, LP; Machado, R; Vu, VT; Pettersson, MI</t>
  </si>
  <si>
    <t xml:space="preserve">Campos, Alexandre B.; Molin, Ricardo D., Jr.; Ramos, Lucas P.; Machado, Renato; Vu, Viet T.; Pettersson, Mats I.</t>
  </si>
  <si>
    <t xml:space="preserve">Adaptive Target Enhancer: Bridging the Gap between Synthetic and Measured SAR Images for Automatic Target Recognition</t>
  </si>
  <si>
    <t xml:space="preserve">Adaptive filtering; automatic target recognition (ATR); MSTAR; SAMPLE; synthetic aperture radar (SAR)</t>
  </si>
  <si>
    <t xml:space="preserve">Automatic target recognition (ATR) algorithms have been successfully used for vehicle classification in synthetic aperture radar (SAR) images over the past few decades. For this application, however, the scarcity of labeled data is often a limiting factor for supervised approaches. While the advent of computer-simulated images may result in additional data for ATR, there is still a substantial gap between synthetic and measured images. In this paper, we propose the so-called adaptive target enhancer (ATE), a tool designed to automatically delimit and weight the region of an image that contains or is affected by the presence of a target. Results for the publicly released Synthetic and Measured Paired and Labeled Experiment (SAMPLE) dataset show that, by defining regions of interest and suppressing the background, we can increase the classification accuracy from 68% to 84% while only using artificially generated images for training.</t>
  </si>
  <si>
    <t xml:space="preserve">[Campos, Alexandre B.; Molin, Ricardo D., Jr.] German Aerosp Ctr DLR, Microwaves &amp; Radar Inst, Wessling, Germany; [Ramos, Lucas P.; Machado, Renato] Aeronaut Inst Technol ITA, Dept Telecommun, Sao Jose Dos Campos, Brazil; [Vu, Viet T.; Pettersson, Mats I.] Blekinge Inst Technol BTH, Dept Math &amp; Nat Sci, Karlskrona, Sweden</t>
  </si>
  <si>
    <t xml:space="preserve">Helmholtz Association; German Aerospace Centre (DLR); Blekinge Institute Technology</t>
  </si>
  <si>
    <t xml:space="preserve">Campos, AB (corresponding author), German Aerosp Ctr DLR, Microwaves &amp; Radar Inst, Wessling, Germany.</t>
  </si>
  <si>
    <t xml:space="preserve">alexandre.campos@dlr.de; ricardo.dinizdalmolinjunior@dlr.de; lucaspr@ita.br; rmachado@ita.br; viet.thuy.vu@bth.se; mats.pettersson@bth.se</t>
  </si>
  <si>
    <t xml:space="preserve">Becker Campos, Alexandre/ABC-9953-2021; Vu, Viet/JDW-0738-2023; Ramos, Lucas/ABF-6724-2020; Pettersson, Mats/N-1063-2016</t>
  </si>
  <si>
    <t xml:space="preserve">National Council for Scientific and Technological Development (CNPq); Coordination for the Improvement of Higher Education Personnel (CAPES) [001, 2020/09838-0]; Sao Paulo Research Foundation (FAPESP)</t>
  </si>
  <si>
    <t xml:space="preserve">National Council for Scientific and Technological Development (CNPq)(Conselho Nacional de Desenvolvimento Cientifico e Tecnologico (CNPQ)); Coordination for the Improvement of Higher Education Personnel (CAPES)(Coordenacao de Aperfeicoamento de Pessoal de Nivel Superior (CAPES)); Sao Paulo Research Foundation (FAPESP)(Fundacao de Amparo a Pesquisa do Estado de Sao Paulo (FAPESP))</t>
  </si>
  <si>
    <t xml:space="preserve">This work was supported in part by the Brazilian Agencies National Council for Scientific and Technological Development (CNPq), the Coordination for the Improvement of Higher Education Personnel (CAPES) - Finance Code 001 (Pro-Defesa IV), and the BI0S - Brazilian Institute of Data Science, grant 2020/09838-0, Sao Paulo Research Foundation (FAPESP).</t>
  </si>
  <si>
    <t xml:space="preserve">10.1109/RADARCONF2351548.2023.10149739</t>
  </si>
  <si>
    <t xml:space="preserve">WOS:001031599600197</t>
  </si>
  <si>
    <t xml:space="preserve">Zepernick, HJ; Iqbal, MI; Khatibi, S; Duong, TQ; Jamil, M; Esslinger, R</t>
  </si>
  <si>
    <t xml:space="preserve">Zepernick, Hans-Jurgen; Iqbal, Muhammad Imran; Khatibi, Siamak; Duong, Trung Q.; Jamil, Momin; Esslinger, Rolf</t>
  </si>
  <si>
    <t xml:space="preserve">DMB Video Quality Enhancement Using Header Syntax Repair</t>
  </si>
  <si>
    <t xml:space="preserve">This paper studies a header syntax repair approach for quality enhancement of digital video broadcasting (DMB) videos. A sensitivity analysis of the impact of transmission errors in different parts of the header of the underlying MPEG-2 transport stream packets on DMB video quality is provided. On this basis, a header syntax repair approach is presented using header masks and bounded minimum distance decoding of the headers of the received DMB packets. Objective and subjective quality assessment show a tremendous improvement in the quality of the header syntax repaired DMB video clips. The concepts of the header syntax repair approach proposed for packets of DMB video streams may also be adapted to the syntax of packet formats of other digital video standards.</t>
  </si>
  <si>
    <t xml:space="preserve">[Zepernick, Hans-Jurgen; Khatibi, Siamak] Blekinge Inst Technol, S-37179 Karlskrona, Sweden; [Duong, Trung Q.] Queens Univ Belfast, Belfast BT7 1NN, Antrim, North Ireland; [Iqbal, Muhammad Imran] Axis Commun AB, S-22369 Lund, Sweden; [Jamil, Momin; Esslinger, Rolf] Harman Becker Automot Syst GmbH, D-76307 Karlsbad, Germany</t>
  </si>
  <si>
    <t xml:space="preserve">Zepernick, HJ (corresponding author), Blekinge Inst Technol, S-37179 Karlskrona, Sweden.</t>
  </si>
  <si>
    <t xml:space="preserve">hans-jurgen.zepernick@bth.se; Imran.Iqbal@axis.com; siamak.khatibi@bth.se; trung.q.duong@qub.ac.uk; momin.jamil@harman.com; rolf.esslinger@harman.com</t>
  </si>
  <si>
    <t xml:space="preserve">Zepernick, Hans-Jürgen/AFJ-2429-2022; Khatibi, Siamak/AAC-8824-2021; Duong, Trung Q./AAI-6708-2020</t>
  </si>
  <si>
    <t xml:space="preserve">Sandhu, Momin Jamil/0000-0003-2061-2840</t>
  </si>
  <si>
    <t xml:space="preserve">Blekinge Institute of Technology (BTH); Harman Becker Automotive GmbH [201101930]</t>
  </si>
  <si>
    <t xml:space="preserve">Blekinge Institute of Technology (BTH); Harman Becker Automotive GmbH</t>
  </si>
  <si>
    <t xml:space="preserve">This work was performed by the Blekinge Institute of Technology (BTH) and Harman Becker Automotive GmbH under Harman docket #201101930. We would like to thank Harman Becker Automotive GmbH for giving us access to the terrestrial DMB videos from their measurement campaigns in South Korea. Many thanks go to the students and staff at BTH that participated in the subjective tests. Most of the work reported in this paper was conducted while the second and fourth author were with BTH.</t>
  </si>
  <si>
    <t xml:space="preserve">10.1109/ITNAC55475.2022.9998368</t>
  </si>
  <si>
    <t xml:space="preserve">WOS:000930821700035</t>
  </si>
  <si>
    <t xml:space="preserve">Mendes, E; Wohlin, C; Felizardo, K; Kalinowski, M</t>
  </si>
  <si>
    <t xml:space="preserve">Mendes, Emilia; Wohlin, Claes; Felizardo, Katia; Kalinowski, Marcos</t>
  </si>
  <si>
    <t xml:space="preserve">When to update systematic literature reviews in software engineering</t>
  </si>
  <si>
    <t xml:space="preserve">Systematic literature review update; Systematic literature reviews; Software engineering</t>
  </si>
  <si>
    <t xml:space="preserve">HIGHLY-CITED PAPERS; EMPIRICAL-EVIDENCE; COMPUTER GAMES; ECOSYSTEMS; NEED; UML</t>
  </si>
  <si>
    <t xml:space="preserve">[Context] Systematic Literature Reviews (SLRs) have been adopted by the Software Engineering (SE) community for approximately 15 years to provide meaningful summaries of evidence on several topics. Many of these SLRs are now potentially outdated, and there are no systematic proposals on when to update SLRs in SE. [Objective] The goal of this paper is to provide recommendations on when to update SLRs in SE. [Method] We evaluated, using a three-step approach, a third-party decision framework (3PDF) employed in other fields, to decide whether SLRs need updating. First, we conducted a literature review of SLR updates in SE and contacted the authors to obtain their feedback relating to the usefulness of the 3PDF within the context of SLR updates in SE. Second, we used these authors' feedback to see whether the framework needed any adaptation; none was suggested. Third, we applied the 3PDF to the SLR updates identified in our literature review. [Results] The 3PDF showed that 14 of the 20 SLRs did not need updating. This supports the use of a decision support mechanism (such as the 3PDF) to help the SE community decide when to update SLRs. [Conclusions] We put forward that the 3PDF should be adopted by the SE community to keep relevant evidence up to date and to avoid wasting effort with unnecessary updates. (C) 2020 Elsevier Inc. All rights reserved.</t>
  </si>
  <si>
    <t xml:space="preserve">[Mendes, Emilia] Blekinge Inst Technol, Dept Comp Sci, Karlskrona, Sweden; [Wohlin, Claes] Blekinge Inst Technol, Dept Software Engn, Karlskrona, Sweden; [Felizardo, Katia] Fed Technol Univ Parana, Dept Comp, Cornelio Procopio, Brazil; [Kalinowski, Marcos] Pontifical Catholic Univ Rio de Janeiro PUC Rio, Dept Informat, Rio De Janeiro, Brazil</t>
  </si>
  <si>
    <t xml:space="preserve">Blekinge Institute Technology; Blekinge Institute Technology; Universidade Tecnologica Federal do Parana; Pontificia Universidade Catolica do Rio de Janeiro</t>
  </si>
  <si>
    <t xml:space="preserve">Mendes, E (corresponding author), Blekinge Inst Technol, Dept Comp Sci, Karlskrona, Sweden.</t>
  </si>
  <si>
    <t xml:space="preserve">emilia.mendes@bth.se; claes.wohlin@bth.se; katiascannavino@utfpr.edu.br; kalinowski@inf.puc-rio.br</t>
  </si>
  <si>
    <t xml:space="preserve">Mendes, Emilia/0000-0003-0449-5322; Kalinowski, Marcos/0000-0003-1445-3425; Wohlin, Claes/0000-0003-0460-5253</t>
  </si>
  <si>
    <t xml:space="preserve">10.1016/j.jss.2020.110607</t>
  </si>
  <si>
    <t xml:space="preserve">LX9TB</t>
  </si>
  <si>
    <t xml:space="preserve">WOS:000540166800007</t>
  </si>
  <si>
    <t xml:space="preserve">Ontological Boundaries or Contextual Borders: The Urban Ethics of the Asylum</t>
  </si>
  <si>
    <t xml:space="preserve">URBAN PLANNING</t>
  </si>
  <si>
    <t xml:space="preserve">asylum; border; boundary; built environment; hospital; stigma; urban ethics</t>
  </si>
  <si>
    <t xml:space="preserve">WALLS</t>
  </si>
  <si>
    <t xml:space="preserve">What and where is 'the asylum' today? To what extent do mental healthcare facilities stand out as clearly bounded entities in the modern urban landscape, perhaps reflecting their history as deliberately set-apart and then often stigmatised places? To what extent have they maybe become less obtrusive, more sunk into and interacting with their urban surroundings? What issues of urban ethics are at stake: concerning who/what is starkly demarcated in the city, perhaps subjected to exclusionary logics and pressures, or more sensitively integrated into the city, planned for inclusion and co-dwelling? These questions underscore our article, rooted in an in-depth case study of Gartnavel Royal Hospital, Glasgow, opened as a 'lunatic asylum' on its present, originally greenfield, site in the 1840s and remaining open today surrounded by dense urban expansion. Building from the 'voices' of patients, staff and others familiar with the site, we discuss the sense of this asylum as 'other' to, as 'outside' of, or merely 'beside' the urban fabric. Drawing from concepts of 'orientations' (Ahmed, 2006), sites as spatial constructions (Burns &amp; Kahn, 2005), the power of borders and boundaries (Haselsberger, 2014; Sennett, 2018), issues of site, stigma and related urban ethical matters will be foregrounded. Where are the boundaries that divide the hospital campus from the urban context? What are the material signifiers, the cultural associations or the emotional attachments that continue to set the boundaries? Or, in practice, do boundaries melt into messier, overlapping, intersecting border zones, textured by diverse, sometimes contradictory, bordering practices? And, if so, what are the implications?</t>
  </si>
  <si>
    <t xml:space="preserve">[Hogstrom, Ebba] Blekinge Inst Technol, Dept Spatial Planning, S-37179 Karlskrona, Sweden; [Hogstrom, Ebba; Philo, Chris] Univ Glasgow, Sch Geog &amp; Earth Sci, Glasgow G12 8QQ, Lanark, Scotland</t>
  </si>
  <si>
    <t xml:space="preserve">Högström, E (corresponding author), Blekinge Inst Technol, Dept Spatial Planning, S-37179 Karlskrona, Sweden.;Högström, E (corresponding author), Univ Glasgow, Sch Geog &amp; Earth Sci, Glasgow G12 8QQ, Lanark, Scotland.</t>
  </si>
  <si>
    <t xml:space="preserve">ebba.hogstrom@bth.se; christopher.philo@glasgow.ac.uk</t>
  </si>
  <si>
    <t xml:space="preserve">European Commission Marie Sklodowska Curie Individual Research Fellowship [706026-GART-PSYSPAC-H2020-MSCA-IF-2015]</t>
  </si>
  <si>
    <t xml:space="preserve">European Commission Marie Sklodowska Curie Individual Research Fellowship</t>
  </si>
  <si>
    <t xml:space="preserve">The research project from which this material originates was funded by the European Commission Marie Sklodowska Curie Individual Research Fellowship (706026-GART-PSYSPAC-H2020-MSCA-IF-2015). The authors thank the management of Gartnavel Royal Hospital, Glasgow, UK, for making this research project possible, especially all the participants of the project, many of them staff and patients at the hospital, and the Local Reference Group. The authors also would like to thank the two anonymous reviewers for their valuable feedback.</t>
  </si>
  <si>
    <t xml:space="preserve">2183-7635</t>
  </si>
  <si>
    <t xml:space="preserve">URBAN PLAN</t>
  </si>
  <si>
    <t xml:space="preserve">Urban Plan.</t>
  </si>
  <si>
    <t xml:space="preserve">10.17645/up.v5i4.3554</t>
  </si>
  <si>
    <t xml:space="preserve">Urban Studies</t>
  </si>
  <si>
    <t xml:space="preserve">OT6KB</t>
  </si>
  <si>
    <t xml:space="preserve">WOS:000590951900002</t>
  </si>
  <si>
    <t xml:space="preserve">Kolomvakis, N; Eriksson, T; Coldrey, M; Viberg, M</t>
  </si>
  <si>
    <t xml:space="preserve">Kolomvakis, Nikolaos; Eriksson, Thomas; Coldrey, Mikael; Viberg, Mats</t>
  </si>
  <si>
    <t xml:space="preserve">Quantized Uplink Massive MIMO Systems With Linear Receivers</t>
  </si>
  <si>
    <t xml:space="preserve">ICC 2020 - 2020 IEEE INTERNATIONAL CONFERENCE ON COMMUNICATIONS (ICC)</t>
  </si>
  <si>
    <t xml:space="preserve">IEEE International Conference on Communications</t>
  </si>
  <si>
    <t xml:space="preserve">IEEE International Conference on Communications (IEEE ICC) / Workshop on NOMA for 5G and Beyond</t>
  </si>
  <si>
    <t xml:space="preserve">JUN 07-11, 2020</t>
  </si>
  <si>
    <t xml:space="preserve">IEEE,Huawei,ZTE,Qualcomm</t>
  </si>
  <si>
    <t xml:space="preserve">This paper considers the uplink of a single-cell multi-user massive multiple-input multiple-output (MIMO) system. Each receiver antenna of the base station is assumed to be equipped with a pair of analog-to-digital converters (ADCs) to quantize the real and imaginary part of the received signal. We propose a novel Bussgang-based weighted zero-forcing (B-WZF) receiver, which distinguishes the clipping and granular distortion. Numerical results demonstrate that for sufficiently high SNR and users that do not experience deep large-scale fading, the B-WZF brings significant performance gain over existing linear receivers in the literature, when the training sequence length is higher than the number of users.</t>
  </si>
  <si>
    <t xml:space="preserve">[Kolomvakis, Nikolaos; Coldrey, Mikael] Ericsson Res &amp; Ericsson AB, Stockholm, Sweden; [Eriksson, Thomas] Chalmers Univ Technol, Dept Elect Engn, Gothenburg, Sweden; [Viberg, Mats] Blekinge Inst Technol, Karlskrona, Sweden</t>
  </si>
  <si>
    <t xml:space="preserve">Kolomvakis, N (corresponding author), Ericsson Res &amp; Ericsson AB, Stockholm, Sweden.</t>
  </si>
  <si>
    <t xml:space="preserve">nikolaos.kolomvakis@ericsson.com; thomase@chalmers.se; mikael.coldrey@ericsson.com; mats.viberg@bth.se</t>
  </si>
  <si>
    <t xml:space="preserve">Kolomvakis, Nikolaos/JZD-9465-2024; Viberg, Mats/B-6505-2016; Eriksson, Thomas/F-9362-2016</t>
  </si>
  <si>
    <t xml:space="preserve">Viberg, Mats/0000-0003-1549-419X; Coldrey, Mikael/0000-0002-0241-6371; Eriksson, Thomas/0000-0002-2087-7227</t>
  </si>
  <si>
    <t xml:space="preserve">VINNOVA; Chalmers; Ericsson; RUAG; SAAB</t>
  </si>
  <si>
    <t xml:space="preserve">VINNOVA(Vinnova); Chalmers; Ericsson(Ericsson); RUAG; SAAB</t>
  </si>
  <si>
    <t xml:space="preserve">This research has been carried out in the GigaHertz centre in a joint research project financed by VINNOVA, Chalmers, Ericsson, RUAG and SAAB.</t>
  </si>
  <si>
    <t xml:space="preserve">1550-3607</t>
  </si>
  <si>
    <t xml:space="preserve">978-1-7281-5089-5</t>
  </si>
  <si>
    <t xml:space="preserve">IEEE ICC</t>
  </si>
  <si>
    <t xml:space="preserve">10.1109/icc40277.2020.9149088</t>
  </si>
  <si>
    <t xml:space="preserve">BQ5PR</t>
  </si>
  <si>
    <t xml:space="preserve">WOS:000606970303006</t>
  </si>
  <si>
    <t xml:space="preserve">Wilson, M; Wnuk, K; Bengtsson, L</t>
  </si>
  <si>
    <t xml:space="preserve">Wilson, Magnus; Wnuk, Krzysztof; Bengtsson, Lars</t>
  </si>
  <si>
    <t xml:space="preserve">Business Model Flexibility and Software-intensive Companies: Opportunities and Challenges</t>
  </si>
  <si>
    <t xml:space="preserve">business flexibility; digital business modeling; equivocality; learning organization</t>
  </si>
  <si>
    <t xml:space="preserve">PRODUCT DEVELOPMENT; INNOVATION; EQUIVOCALITY; SYSTEMS; DIGITALIZATION; UNCERTAINTY; MANAGEMENT; DYNAMICS; STRATEGY; CREATION</t>
  </si>
  <si>
    <t xml:space="preserve">Background: Software plays an essential role in enabling digital transformation via digital services added to traditional products or fully digital business offerings. This calls for a better understanding of the relationships between the dynamic nature of business models and their realization using software engineering practices. Aim: In this paper, we synthesize the implications of digitalization on business model flexibility for software-intensive companies based on an extensive literature survey and a longitudinal case study at Ericsson AB. We analyze how software-intensive companies can better synchronize business model changes with software development processes and organizations. Method: We synthesize six propositions based on the literature review and extensive industrial experience with a large software-intensive company working in the telecommunication domain. Conclusions: Our work is designed to facilitate the cross-disciplinary analysis of business model dynamics and business model flexibility by linking value, transaction, and organizational learning to business model change. We believe that software engineering tools and methods can play a crucial role in enabling more automated synchronization between technology and business model changes.</t>
  </si>
  <si>
    <t xml:space="preserve">[Wilson, Magnus] Ericsson, Karlskrona, Sweden; [Wnuk, Krzysztof] Blekinge Inst Technol, Dept Software Engn, Karlskrona, Sweden; [Bengtsson, Lars] Lund Univ, LTH, Ind Engn &amp; Management, Lund, Sweden</t>
  </si>
  <si>
    <t xml:space="preserve">Ericsson; Blekinge Institute Technology; Lund University</t>
  </si>
  <si>
    <t xml:space="preserve">Wilson, M (corresponding author), Ericsson, Karlskrona, Sweden.</t>
  </si>
  <si>
    <t xml:space="preserve">magnus.wilson@ericsson.com; krw@bth.se; lars.bengtsson@design.lth.se</t>
  </si>
  <si>
    <t xml:space="preserve">We would like to acknowledge that this work was supported by the KKS foundation through the S.E.R.T. Research Profile project at Blekinge Institute of Technology.</t>
  </si>
  <si>
    <t xml:space="preserve">10.37190/e-Inf210109</t>
  </si>
  <si>
    <t xml:space="preserve">WW2TY</t>
  </si>
  <si>
    <t xml:space="preserve">WOS:000717776900001</t>
  </si>
  <si>
    <t xml:space="preserve">Jadallah, N; Fischbach, J; Frattini, J; Vogelsang, A</t>
  </si>
  <si>
    <t xml:space="preserve">Yue, T; Mirakhorli, M</t>
  </si>
  <si>
    <t xml:space="preserve">Jadallah, Noah; Fischbach, Jannik; Frattini, Julian; Vogelsang, Andreas</t>
  </si>
  <si>
    <t xml:space="preserve">CATE: CAusality Tree Extractor from Natural Language Requirements</t>
  </si>
  <si>
    <t xml:space="preserve">29TH IEEE INTERNATIONAL REQUIREMENTS ENGINEERING CONFERENCE WORKSHOPS (REW 2021)</t>
  </si>
  <si>
    <t xml:space="preserve">Causal relations (If A, then B) are prevalent in requirements artifacts. Automatically extracting causal relations from requirements holds great potential for various RE activities (e.g., automatic derivation of suitable test cases). However, we lack an approach capable of extracting causal relations from natural language with reasonable performance. In this paper, we present our tool CATE (CAusality Tree Extractor), which is able to parse the composition of a causal relation as a tree structure. CATE does not only provide an overview of causes and effects in a sentence, but also reveals their semantic coherence by translating the causal relation into a binary tree. We encourage fellow researchers and practitioners to use CATE at https://causalitytreeextractor.com/</t>
  </si>
  <si>
    <t xml:space="preserve">[Jadallah, Noah] Tech Univ Munich, Munich, Germany; [Fischbach, Jannik] Qualicen GmbH, Munich, Germany; [Frattini, Julian] Blekinge Inst Technol, Karlskrona, Sweden; [Vogelsang, Andreas] Univ Cologne, Cologne, Germany</t>
  </si>
  <si>
    <t xml:space="preserve">Technical University of Munich; Blekinge Institute Technology; University of Cologne</t>
  </si>
  <si>
    <t xml:space="preserve">Jadallah, N (corresponding author), Tech Univ Munich, Munich, Germany.</t>
  </si>
  <si>
    <t xml:space="preserve">noah.jadallah@tum.de; jannik.fischbach@qualicen.de; julian.frattini@bth.se; vogelsang@cs.uni-koeln.de</t>
  </si>
  <si>
    <t xml:space="preserve">Vogelsang, Andreas/0000-0003-1041-0815</t>
  </si>
  <si>
    <t xml:space="preserve">978-1-6654-1898-0</t>
  </si>
  <si>
    <t xml:space="preserve">10.1109/REW53955.2021.00018</t>
  </si>
  <si>
    <t xml:space="preserve">BT0KW</t>
  </si>
  <si>
    <t xml:space="preserve">WOS:000788547300010</t>
  </si>
  <si>
    <t xml:space="preserve">Minhas, NM; Masood, S; Petersen, K; Nadeem, A</t>
  </si>
  <si>
    <t xml:space="preserve">Minhas, Nasir Mehmood; Masood, Sohaib; Petersen, Kai; Nadeem, Aamer</t>
  </si>
  <si>
    <t xml:space="preserve">A systematic mapping of test case generation techniques using UML interaction diagrams</t>
  </si>
  <si>
    <t xml:space="preserve">interaction diagrams; model-based testing; software testing; systematic mapping; test case generation</t>
  </si>
  <si>
    <t xml:space="preserve">SEQUENCE; MODELS</t>
  </si>
  <si>
    <t xml:space="preserve">Model-based test case generation techniques provide a mechanism to derive tests systematically. This study provides a systematic mapping of test case generation techniques based on UML interaction diagrams. The study compares the test case generation techniques regarding their capabilities and limitations, and it also assesses the reporting quality of the primary studies. We can conclude that the studies presenting test case generation techniques using UML interaction diagrams were not following the guidelines for research methods (eg, case studies or experiments). Solutions were not empirically evaluated in industrial contexts. Our study revealed that better tool support is needed to introduce the UML interaction diagram-based test case generation techniques in the industry.</t>
  </si>
  <si>
    <t xml:space="preserve">[Minhas, Nasir Mehmood; Petersen, Kai] Blekinge Inst Technol, Dept Software Engn, S-37179 Karlskrona, Blekinge, Sweden; [Minhas, Nasir Mehmood; Masood, Sohaib] PMAS Arid Agr Univ, Univ Inst Informat Technol, Rawalpindi, Pakistan; [Nadeem, Aamer] Capital Univ Sci &amp; Technol, Fac Comp, Islamabad, Pakistan; [Petersen, Kai] Univ Appl Sci Flensburg, Dept Econ, Flensburg, Germany</t>
  </si>
  <si>
    <t xml:space="preserve">Blekinge Institute Technology; Arid Agriculture University; Capital University of Science &amp; Technology</t>
  </si>
  <si>
    <t xml:space="preserve">Minhas, Nasir/AAP-4624-2021; Minhas, Nasir Mehmood/G-4297-2018; Nadeem, Aamer/F-7509-2011</t>
  </si>
  <si>
    <t xml:space="preserve">Petersen, Kai/0000-0002-1532-8223; Minhas, Nasir Mehmood/0000-0001-8177-4355; Nadeem, Aamer/0000-0002-8641-8795</t>
  </si>
  <si>
    <t xml:space="preserve">VINNOVA [2015-03235]; Vinnova [2015-03235] Funding Source: Vinnova</t>
  </si>
  <si>
    <t xml:space="preserve">VINNOVA(Vinnova); Vinnova(Vinnova)</t>
  </si>
  <si>
    <t xml:space="preserve">VINNOVA, Grant/Award Number: 2015-03235</t>
  </si>
  <si>
    <t xml:space="preserve">e2235</t>
  </si>
  <si>
    <t xml:space="preserve">10.1002/smr.2235</t>
  </si>
  <si>
    <t xml:space="preserve">LY8BL</t>
  </si>
  <si>
    <t xml:space="preserve">WOS:000503853200001</t>
  </si>
  <si>
    <t xml:space="preserve">Peng, CQ; Zhao, L; Wang, S; Abbas, Z; Liang, F; Islam, MS</t>
  </si>
  <si>
    <t xml:space="preserve">Peng, Changqing; Zhao, Lun; Wang, Sen; Abbas, Zeshan; Liang, Feng; Islam, Md Shafqul</t>
  </si>
  <si>
    <t xml:space="preserve">LightFlow: Lightweight Unsupervised Defect Detection Based on 2-D Flow</t>
  </si>
  <si>
    <t xml:space="preserve">IEEE TRANSACTIONS ON INSTRUMENTATION AND MEASUREMENT</t>
  </si>
  <si>
    <t xml:space="preserve">Anomaly detection; CNN; defect detection; industrial inspection; unsupervised</t>
  </si>
  <si>
    <t xml:space="preserve">In the industrial production process, unsupervised visual inspection methods have obvious advantages over supervised visual inspection methods due to the scarcity of defect samples, annotation costs, and the uncertainty of defect generation. Currently, unsupervised defect detection and localization methods have demonstrated significant improvements in detection accuracy to find numerous applications in industrial inspection. Nonetheless, the complexity of these methods limits their practical application. In this article, we integrate the FastFlow model plugin as a probability distribution by introducing a simpler and lightweight CNN pretrained backbone. Concurrently, various training strategies are employed to optimize the 2-D Flow module within the lightweight unsupervised flow model (LightFlow). Notably, the number of model parameters in the LightFlow model is only 1/4 of the original model size of the typical vision transformer (ViT) model CaiT. Thereby, this offers heightened training efficiency and speed. Therefore, extensive experimental results on three challenging anomaly detection datasets (MVTec AD, VisA, and BTAD) using various CNN backbones and multiple current state-of-the-art vision algorithms demonstrate the effectiveness of our approach. Specifically, the existing method can achieve 99.1% and 95.2% image-level area under the receiver operating characteristic (AUROC) in MVTec anomaly detection dataset (MVTec AD) and visual anomaly dataset (VisA), respectively.</t>
  </si>
  <si>
    <t xml:space="preserve">[Peng, Changqing; Wang, Sen; Liang, Feng] Kunming Univ Sci &amp; Technol, Fac Mech &amp; Elect Engn, Kunming 650500, Peoples R China; [Peng, Changqing; Wang, Sen; Liang, Feng] Adv Equipment Intelligent Maintenance Engn Res Ctr, Kunming 650500, Peoples R China; [Zhao, Lun; Abbas, Zeshan] Shenzhen Polytech Univ, Inst Ultrason Technol, Inst Intelligent Mfg Technol, Shenzhen 518055, Peoples R China; [Islam, Md Shafqul] Blekinge Inst Technol, Dept Mech Engn, S-37179 Karlskrona, Sweden</t>
  </si>
  <si>
    <t xml:space="preserve">Kunming University of Science &amp; Technology; Shenzhen Polytechnic University; Blekinge Institute Technology</t>
  </si>
  <si>
    <t xml:space="preserve">Zhao, L (corresponding author), Shenzhen Polytech Univ, Inst Ultrason Technol, Inst Intelligent Mfg Technol, Shenzhen 518055, Peoples R China.</t>
  </si>
  <si>
    <t xml:space="preserve">pengcq5220@163.com; zhaolun@szpu.edu.cn; wangsen0401@126.com; abbasz@szpu.edu.cn; liang728885256@163.com; shafiqul.islam@bth.se</t>
  </si>
  <si>
    <t xml:space="preserve">Islam, Md Shafiqul/GLS-1837-2022; Abbas, Zeshan/MEO-8370-2025</t>
  </si>
  <si>
    <t xml:space="preserve">Wang, Sen/0000-0003-1259-8030; Lun, Zhao/0000-0001-8293-9094; Islam, Md Shafiqul/0000-0002-1162-7023; Peng, Changqing/0009-0002-5533-6006; Abbas, Zeshan/0000-0001-6850-3374</t>
  </si>
  <si>
    <t xml:space="preserve">National Natural Science Foundation of China [12104324, 52065035]; Scientific Research Start-up Fund for Shenzhen High-Caliber Personnel of Shenzhen Polytechnic University (SZPU) [6022310046K]; Ultrasonic Welding Technology Research and Development Center of SZPU-New Power [602331009PQ]; Post-doctoral Later-stage Foundation Project of Shenzhen Polytechnic University [6023271014K]</t>
  </si>
  <si>
    <t xml:space="preserve">National Natural Science Foundation of China(National Natural Science Foundation of China (NSFC)); Scientific Research Start-up Fund for Shenzhen High-Caliber Personnel of Shenzhen Polytechnic University (SZPU); Ultrasonic Welding Technology Research and Development Center of SZPU-New Power; Post-doctoral Later-stage Foundation Project of Shenzhen Polytechnic University</t>
  </si>
  <si>
    <t xml:space="preserve">This work was supported in part by the National Natural Science Foundation of China under Grant 12104324, in part by the Scientific Research Start-up Fund for Shenzhen High-Caliber Personnel of Shenzhen Polytechnic University (SZPU) under Grant 6022310046K, in part by the Ultrasonic Welding Technology Research and Development Center of SZPU-New Power under Grant 602331009PQ, and in part by the Post-doctoral Later-stage Foundation Project of Shenzhen Polytechnic University under Grant 6023271014K, and in part by the National Natural Science Foundation of China under Grant 52065035.</t>
  </si>
  <si>
    <t xml:space="preserve">0018-9456</t>
  </si>
  <si>
    <t xml:space="preserve">1557-9662</t>
  </si>
  <si>
    <t xml:space="preserve">IEEE T INSTRUM MEAS</t>
  </si>
  <si>
    <t xml:space="preserve">IEEE Trans. Instrum. Meas.</t>
  </si>
  <si>
    <t xml:space="preserve">10.1109/TIM.2024.3415769</t>
  </si>
  <si>
    <t xml:space="preserve">WS0P7</t>
  </si>
  <si>
    <t xml:space="preserve">WOS:001256748300040</t>
  </si>
  <si>
    <t xml:space="preserve">Cheddad, A; Bennour, A; Kessentini, Y</t>
  </si>
  <si>
    <t xml:space="preserve">Cheddad, Abbas; Bennour, Akram; Kessentini, Yousri</t>
  </si>
  <si>
    <t xml:space="preserve">Introduction to the special section on intelligent systems and pattern recognition (SS:ISPR20)</t>
  </si>
  <si>
    <t xml:space="preserve">PATTERN RECOGNITION LETTERS</t>
  </si>
  <si>
    <t xml:space="preserve">[Cheddad, Abbas] Blekinge Inst Technol, Karlskrona, Sweden; [Bennour, Akram] Larbi Tebessi Univ, Tebessa, Algeria; [Kessentini, Yousri] Digital Res Ctr Sfax, Sfax, Tunisia</t>
  </si>
  <si>
    <t xml:space="preserve">Blekinge Institute Technology; Echahid Cheikh Larbi Tebessi University; Centre de Recherche en Numerique de Sfax (CRNS); Universite de Sfax</t>
  </si>
  <si>
    <t xml:space="preserve">Cheddad, A (corresponding author), Blekinge Inst Technol, Karlskrona, Sweden.</t>
  </si>
  <si>
    <t xml:space="preserve">Cheddad, Abbas/0000-0002-4390-411X; bennour, Akram/0000-0002-3185-8806</t>
  </si>
  <si>
    <t xml:space="preserve">0167-8655</t>
  </si>
  <si>
    <t xml:space="preserve">1872-7344</t>
  </si>
  <si>
    <t xml:space="preserve">PATTERN RECOGN LETT</t>
  </si>
  <si>
    <t xml:space="preserve">Pattern Recognit. Lett.</t>
  </si>
  <si>
    <t xml:space="preserve">10.1016/j.patrec.2022.03.013</t>
  </si>
  <si>
    <t xml:space="preserve">1X5BP</t>
  </si>
  <si>
    <t xml:space="preserve">WOS:000807469400001</t>
  </si>
  <si>
    <t xml:space="preserve">Vieira, R; Mesquita, D; Mattos, CL; Britto, R; Rocha, L; Gomes, J</t>
  </si>
  <si>
    <t xml:space="preserve">Vieira, Renan; Mesquita, Diego; Mattos, Cesar Lincoln; Britto, Ricardo; Rocha, Lincoln; Gomes, Joao</t>
  </si>
  <si>
    <t xml:space="preserve">Bayesian Analysis of Bug-Fixing Time using Report Data</t>
  </si>
  <si>
    <t xml:space="preserve">Bug Reports; Bayesian Modeling; Open-Source; Bug Fixing Time</t>
  </si>
  <si>
    <t xml:space="preserve">CODE CHURN; PRIORITY</t>
  </si>
  <si>
    <t xml:space="preserve">Background: Bug-fixing is the crux of software maintenance. It entails tending to heaps of bug reports using limited resources. Using historical data, we can ask questions that contribute to better-informed allocation heuristics. The caveat here is that often there is not enough data to provide a sound response. This issue is especially prominent for young projects. Also, answers may vary from project to project. Consequently, it is impossible to generalize results without assuming a notion of relatedness between projects. Aims: Evaluate the independent impact of three report features in the bug-fixing time (BFT), generalizing results from many projects: bug priority, code-churn size in bug fixing commits, and existence of links to other reports (e.g., depends on or blocks other bug reports). Method: We analyze 55 projects from the Apache ecosystem using Bayesian statistics. Similar to standard random effects methodology, we assume each project's average BFT is a dispersed version of a global average BFT that we want to assess. We split the data based on feature values/range (e.g., with or without links). For each split, we compute a posterior distribution over its respective global BFT. Finally, we compare the posteriors to establish the feature's effect on the BFT. We run independent analyses for each feature. Results: Our results show that the existence of links and higher code-churn values lead to BFTs that are at least twice as long. On the other hand, considering three levels of priority (low, medium, and high), we observe no difference in the BFT. Conclusion: To the best of our knowledge, this is the first study using hierarchical Bayes to extrapolate results from multiple projects and assess the global effect of different attributes on the BFT. We use this methodology to gain insight on how links, priority, and code-churn size impact the BFT. On top of that, our posteriors can be used as a prior to analyze novel projects, potentially young and scarce on data. We also believe our methodology can be reused for other generalization studies in empirical software engineering.</t>
  </si>
  <si>
    <t xml:space="preserve">[Vieira, Renan; Mattos, Cesar Lincoln; Rocha, Lincoln; Gomes, Joao] Univ Fed Ceara, Fortaleza, Ceara, Brazil; [Mesquita, Diego] Getulio Vargas Fdn, Rio De Janeiro, RJ, Brazil; [Britto, Ricardo] Blekinge Inst Technol, Ericsson, Karlskrona, Sweden</t>
  </si>
  <si>
    <t xml:space="preserve">Universidade Federal do Ceara; Getulio Vargas Foundation; Ericsson; Blekinge Institute Technology</t>
  </si>
  <si>
    <t xml:space="preserve">Vieira, R (corresponding author), Univ Fed Ceara, Fortaleza, Ceara, Brazil.</t>
  </si>
  <si>
    <t xml:space="preserve">renan.vieira@alu.ufc.br; diego.mesquita@fgv.br; cesarlincoln@dc.ufc.br; ricardo.britto@ericsson.com; lincoln@dc.ufc.br; jpaulo@dc.ufc.br</t>
  </si>
  <si>
    <t xml:space="preserve">10.1145/3544902.3546256</t>
  </si>
  <si>
    <t xml:space="preserve">WOS:001139214400006</t>
  </si>
  <si>
    <t xml:space="preserve">Bentsson, VW; Aoki, A; Mizutani, K; Lindahl, C; Renvert, S</t>
  </si>
  <si>
    <t xml:space="preserve">Bentsson, Viveca Wallin; Aoki, Akira; Mizutani, Koji; Lindahl, Christel; Renvert, Stefan</t>
  </si>
  <si>
    <t xml:space="preserve">Treatment of peri-implant mucositis using an Er:YAG laser or an ultrasonic device: a randomized, controlled clinical trial</t>
  </si>
  <si>
    <t xml:space="preserve">INTERNATIONAL JOURNAL OF IMPLANT DENTISTRY</t>
  </si>
  <si>
    <t xml:space="preserve">Er:YAG laser; Patient-reported outcome measures; Peri-implant mucositis; Professional mechanical plaque removal; Ultrasonic scaler</t>
  </si>
  <si>
    <t xml:space="preserve">KERATINIZED MUCOSA; CONSENSUS REPORT; HEALTH; PLAQUE</t>
  </si>
  <si>
    <t xml:space="preserve">Purpose The study assessed the clinical outcomes following treatment of peri-implant mucositis using Er:YAG laser or an ultrasonic device over six months. Patients' experience of pain, aesthetics, and Quality of life were further assessed. Methods One dental implant, per included patient, diagnosed with peri-implant mucositis underwent treatment with an Er:YAG laser (test) or an ultrasonic scaler (control) randomly. Treatments were performed at baseline and months three and six. At each session, oral hygiene was instructed after plaque registration, and the patient was guided in proper cleaning technique using a toothbrush and interproximal aids as needed. Full mouth bleeding on probing (FMBoP), full mouth plaque score (FMPS), implant bleeding on probing (BoP), implant mean graded bleeding (mBI), implant probing pocket depts (PPD), implant suppuration and bone levels were assessed. Oral health-related Quality of life (OHQoL) and visual analog scales (VAS), which reflect aesthetic satisfaction and pain of the treatment, were also evaluated. Results Forty-six patients were included. FMBoP was significantly reduced from 30.1 to 21.5% (test) (p &lt; 0.001) respectively from 35.0% to 30% (control) (p &lt; 0.01). FMPS showed significant reduction from 61.5 to 32.7% (test) (p &lt; 0.001) and from 58.7 to 39.1% (control) (p &lt; 0.001). At the implant BoP reduced from 89.0 to 55.7% (test) (p &lt; 0.001) respectively from 94.9 to 63.7% (control) (p &lt; 0.001). mBI was reduced from 1.3 to 0.6 (test) (p &lt; 0.01) and from 1.9 to 0.8 (control) (p &lt; 0.001). Distribution of no bleeding increased from 13 to 61% (test) (p &lt; 0.05) and from 0 to 35% (control) (p &lt; 0.05). At month three, statistically significant intergroup differences were shown for PPD &gt;= 4 mm with 43.5% (test) respectively 73.9% (control) (p &lt; 0.05). At month six, statistically significant intergroup differences, were shown for FMBoP 21.5% (test) respectively 30% (control) (p &lt; 0.05) and for plaque score at the implant 4.0% (test) respectively 26% (control) (p &lt; 0.05). Less pain was reported in the laser group at three days 0.08 (test) respectively 0.2 (control) (p &lt; 0.05). ConclusionsTreatment of peri-implant mucositis was effective regardless of whether the treatment was performed with an Er:YAG laser or an ultrasonic scaler. Fewer diseased sites were diagnosed at six months following laser treatment.Trial registration: Registered at www.clinicaltrials.gov: study no, NCT05772299. Conclusions Treatment of peri-implant mucositis was effective regardless of whether the treatment was performed with an Er:YAG laser or an ultrasonic scaler. Fewer diseased sites were diagnosed at six months following laser treatment. Trial registration: Registered at www.clinicaltrials.gov: study no, NCT05772299.</t>
  </si>
  <si>
    <t xml:space="preserve">[Bentsson, Viveca Wallin; Lindahl, Christel; Renvert, Stefan] Kristianstad Univ, Fac Oral Hlth Sci, Dept Oral Hlth, S-29188 Kristianstad, Sweden; [Aoki, Akira; Mizutani, Koji] Inst Sci Tokyo, Grad Sch Med &amp; Dent Sci, Dept Periodontol, Bunkyo Ku, Tokyo, Japan; [Renvert, Stefan] Blekinge Inst Technol, Karlskrona, Sweden; [Renvert, Stefan] Trinity Coll Dublin, Dublin Dent Univ Hosp, Div Restorat Dent &amp; Periodontol, Dublin, Ireland</t>
  </si>
  <si>
    <t xml:space="preserve">Kristianstad University; Blekinge Institute Technology; Trinity College Dublin</t>
  </si>
  <si>
    <t xml:space="preserve">Bentsson, VW (corresponding author), Kristianstad Univ, Fac Oral Hlth Sci, Dept Oral Hlth, S-29188 Kristianstad, Sweden.</t>
  </si>
  <si>
    <t xml:space="preserve">viveca.wallin_bengtsson@hkr.se</t>
  </si>
  <si>
    <t xml:space="preserve">Renvert, Stefan/AAM-2415-2020</t>
  </si>
  <si>
    <t xml:space="preserve">Wallin Bengtsson, Viveca/0000-0002-8092-665X; Renvert, Stefan/0000-0003-0992-2362</t>
  </si>
  <si>
    <t xml:space="preserve">Morita Corporation Japan J. MORITA MFG. CORP., Japan</t>
  </si>
  <si>
    <t xml:space="preserve">Not applicable.</t>
  </si>
  <si>
    <t xml:space="preserve">2198-4034</t>
  </si>
  <si>
    <t xml:space="preserve">INT J IMPLANT DENT</t>
  </si>
  <si>
    <t xml:space="preserve">INT. J. IMPLANT. DENT.</t>
  </si>
  <si>
    <t xml:space="preserve">JAN 24</t>
  </si>
  <si>
    <t xml:space="preserve">10.1186/s40729-025-00591-0</t>
  </si>
  <si>
    <t xml:space="preserve">T6Q6B</t>
  </si>
  <si>
    <t xml:space="preserve">WOS:001406227500001</t>
  </si>
  <si>
    <t xml:space="preserve">Karlsson, L; Fallenius, E; Bergeling, C; Bernhardsson, B</t>
  </si>
  <si>
    <t xml:space="preserve">Karlsson, Linda; Fallenius, Emma; Bergeling, Carolina; Bernhardsson, Bo</t>
  </si>
  <si>
    <t xml:space="preserve">Tensor decomposition of EEG signals for transfer learning applications</t>
  </si>
  <si>
    <t xml:space="preserve">BRAIN-COMPUTER INTERFACES</t>
  </si>
  <si>
    <t xml:space="preserve">Brain-computer interface; BCI calibration; tensor decomposition; similarity measure; transfer learning</t>
  </si>
  <si>
    <t xml:space="preserve">We address the recognized person-to-person Brain-Computer Interface (BCI) calibration problem and tackle session-dependency through the use of unsupervised canonical polyadic (CP) tensor decomposition. For a motor imagery task, the approach reveals universal structures within EEG data, common between subjects and prominent for a certain task. Further, we develop a novel similarity measure that includes weighting of the decomposition's factor matrices, and argue that it is more representative than what has previously been presented in literature. The proposed similarity measure shows potential in a BCI classification task, i.e. drowsiness during simulated driving (average Pearson correlation of 0.6).</t>
  </si>
  <si>
    <t xml:space="preserve">[Karlsson, Linda; Fallenius, Emma; Bernhardsson, Bo] Lund Univ, Dept Automat Control, Lund, Sweden; [Karlsson, Linda] Lund Univ, Dept Clin Sci, Clin Memory Res Unit, Lund, Sweden; [Bergeling, Carolina] Blekinge Inst Technol, Dept Math &amp; Nat Sci, Karlskrona, Sweden</t>
  </si>
  <si>
    <t xml:space="preserve">Lund University; Lund University; Blekinge Institute Technology</t>
  </si>
  <si>
    <t xml:space="preserve">Karlsson, L (corresponding author), Lund Univ, Dept Clin Sci, Clin Memory Res Unit, Lund, Sweden.</t>
  </si>
  <si>
    <t xml:space="preserve">linda.karlsson@med.lu.se</t>
  </si>
  <si>
    <t xml:space="preserve">Karlsson, Linda/JCD-7288-2023</t>
  </si>
  <si>
    <t xml:space="preserve">Karlsson, Linda/0000-0002-0630-772X; Bernhardsson, Bo/0000-0002-6629-1889</t>
  </si>
  <si>
    <t xml:space="preserve">Swedish Research Council [2018-05973]</t>
  </si>
  <si>
    <t xml:space="preserve">Swedish Research Council(Swedish Research Council)</t>
  </si>
  <si>
    <t xml:space="preserve">Carolina Bergeling and Bo Bernhardsson are members of the ELLIIT Strategic Research Area at Lund University. The computations in this paper were enabled by resources provided by the Swedish National Infrastructure for Computing (SNIC) at Kebnekaise, partially funded by the Swedish Research Council through grant agreement no. 2018-05973. The authors report there are no competing interests to declare.</t>
  </si>
  <si>
    <t xml:space="preserve">2326-263X</t>
  </si>
  <si>
    <t xml:space="preserve">2326-2621</t>
  </si>
  <si>
    <t xml:space="preserve">BRAIN-COMPUT INTERFA</t>
  </si>
  <si>
    <t xml:space="preserve">Brain Comput. Interfaces</t>
  </si>
  <si>
    <t xml:space="preserve">2024 OCT 4</t>
  </si>
  <si>
    <t xml:space="preserve">10.1080/2326263X.2024.2401663</t>
  </si>
  <si>
    <t xml:space="preserve">Engineering, Biomedical; Neurosciences</t>
  </si>
  <si>
    <t xml:space="preserve">H8B1B</t>
  </si>
  <si>
    <t xml:space="preserve">WOS:001325628800001</t>
  </si>
  <si>
    <t xml:space="preserve">Gutierrez, V; Ploeg, P; Bajraktari, F; Thomson, G; Visseren-Hamakers, I; Roth, D</t>
  </si>
  <si>
    <t xml:space="preserve">Gutierrez, Victoria; Ploeg, Pieter; Bajraktari, Florentina; Thomson, Giles; Visseren-Hamakers, Ingrid; Roth, Dietmar</t>
  </si>
  <si>
    <t xml:space="preserve">Building bridges for inspired action: On landscape restoration and social alliances</t>
  </si>
  <si>
    <t xml:space="preserve">ECOLOGICAL SOLUTIONS AND EVIDENCE</t>
  </si>
  <si>
    <t xml:space="preserve">landscape restoration; multi-stakeholders; participatory engagement; partnerships; place-based attachment; social alliances; transformative change</t>
  </si>
  <si>
    <t xml:space="preserve">ECOLOGICAL SYSTEMS; GOVERNANCE; INSIGHTS; PLACE</t>
  </si>
  <si>
    <t xml:space="preserve">1.Participatory approaches are linked to landscape restoration (LR) success, but not all participatory approaches are created equal. Engagement approaches that invest in transformative stakeholder and governance processes can create the right conditions for long-term LR commitment.2.A large-scale LR initiative in Spain, namely AlVelAl, illustrates how collective action can be activated through inspiration, trust and hope, which, in turn, can be cultivated through the application of social schemes designed to support inclusive stakeholder engagement processes and programmes.3.Collective agency and inspiration matter for activating and sustaining LR actions and outcomes. Multi-stakeholder partnerships that speak to human agency, inclusivity and trust between actors can help create a deeper shared meaning, a place-based sense of belonging that encourages cohesive landscape stewardship.</t>
  </si>
  <si>
    <t xml:space="preserve">[Gutierrez, Victoria; Ploeg, Pieter] Commonland, Amsterdam, Netherlands; [Bajraktari, Florentina] Presencing Inst, Cambridge, MA USA; [Thomson, Giles] Blekinge Inst Technol, Dept Strateg Sustainable Dev, Karlskrona, Sweden; [Visseren-Hamakers, Ingrid] Radboud Univ Nijmegen, Inst Management Res, Nijmegen, Netherlands; [Roth, Dietmar] Asociac AlVelAl, Almeria, Spain</t>
  </si>
  <si>
    <t xml:space="preserve">Blekinge Institute Technology; Radboud University Nijmegen</t>
  </si>
  <si>
    <t xml:space="preserve">Gutierrez, V (corresponding author), Commonland, Amsterdam, Netherlands.</t>
  </si>
  <si>
    <t xml:space="preserve">victoria.gutierrez@commonland.com</t>
  </si>
  <si>
    <t xml:space="preserve">VisserenHamakers, Ingrid/KWU-4939-2024</t>
  </si>
  <si>
    <t xml:space="preserve">Gutierrez, Victoria/0000-0002-0101-2762</t>
  </si>
  <si>
    <t xml:space="preserve">2688-8319</t>
  </si>
  <si>
    <t xml:space="preserve">ECOL SOLUT EVID</t>
  </si>
  <si>
    <t xml:space="preserve">Ecol. Solut. Evid.</t>
  </si>
  <si>
    <t xml:space="preserve">e12205</t>
  </si>
  <si>
    <t xml:space="preserve">10.1002/2688-8319.12205</t>
  </si>
  <si>
    <t xml:space="preserve">Ecology</t>
  </si>
  <si>
    <t xml:space="preserve">8H9EM</t>
  </si>
  <si>
    <t xml:space="preserve">WOS:000921332200001</t>
  </si>
  <si>
    <t xml:space="preserve">Lännström, D; Lundström, P; Öinert, J; Wagner, S</t>
  </si>
  <si>
    <t xml:space="preserve">Lannstrom, Daniel; Lundstrom, Patrik; Oinert, Johan; Wagner, Stefan</t>
  </si>
  <si>
    <t xml:space="preserve">Prime group graded rings with applications to partial crossed products and Leavitt path algebras</t>
  </si>
  <si>
    <t xml:space="preserve">Group graded ring; Nearly epsilon-strongly graded ring; Prime ring; Leavitt path algebra; Partial skew group ring; Unital partial crossed product</t>
  </si>
  <si>
    <t xml:space="preserve">TWISTED PARTIAL ACTIONS; IDEAL STRUCTURE; COEFFICIENTS</t>
  </si>
  <si>
    <t xml:space="preserve">We generalize a classical result by Passman on primeness of unital strongly group graded rings to the class of nearly epsilon-strongly group graded rings which are not necessarily unital. Using this result, we obtain (i) a characterization of prime sunital strongly group graded rings, and, in particular, of infinite matrix rings and of group rings over s-unital rings, thereby generalizing a well-known result by Connell; (ii) characterizations of prime s-unital partial skew group rings and of prime unital partial crossed products; (iii) a generalization of the well-known characterizations of prime Leavitt path algebras, by Larki and by Abrams-Bell-Rangaswamy. (c) 2024 The Author(s). Published by Elsevier B.V. This is an open access article under the CC BY license (http://creativecommons .org /licenses /by /4 .0/).</t>
  </si>
  <si>
    <t xml:space="preserve">[Lannstrom, Daniel] Linkoping Univ, Dept Math, SE-58133 Linkoping, Sweden; [Lundstrom, Patrik] Univ West, Dept Engn Sci, SE-46186 Trollhattan, Sweden; [Oinert, Johan; Wagner, Stefan] Blekinge Inst Technol, Dept Math &amp; Nat Sci, SE-37179 Karlskrona, Sweden</t>
  </si>
  <si>
    <t xml:space="preserve">Linkoping University; University West - Sweden; Blekinge Institute Technology</t>
  </si>
  <si>
    <t xml:space="preserve">Lännström, D (corresponding author), Linkoping Univ, Dept Math, SE-58133 Linkoping, Sweden.</t>
  </si>
  <si>
    <t xml:space="preserve">lannstrom@posteo.net; patrik.lundstrom@hv.se; johan.oinert@bth.se; stefan.wagner@bth.se</t>
  </si>
  <si>
    <t xml:space="preserve">10.1016/j.jpaa.2024.107842</t>
  </si>
  <si>
    <t xml:space="preserve">O7M1N</t>
  </si>
  <si>
    <t xml:space="preserve">WOS:001372913300001</t>
  </si>
  <si>
    <t xml:space="preserve">Cederlund, O; Alawadi, S; Awaysheh, FM</t>
  </si>
  <si>
    <t xml:space="preserve">Cederlund, Oscar; Alawadi, Sadi; Awaysheh, Feras M.</t>
  </si>
  <si>
    <t xml:space="preserve">LLMRAG: An Optimized Digital Support Service using LLM and Retrieval-Augmented Generation</t>
  </si>
  <si>
    <t xml:space="preserve">Large language models; Retrieval-augmented generation; Digital support services</t>
  </si>
  <si>
    <t xml:space="preserve">This study investigates integrating large language models (LLMs) with retrieval-augmented generation (RAG) to automate instructional solution generation within a real-world IT service desk environment. The focus is on supporting technicians by suggesting solutions for incoming tickets. The research assesses the benefits and challenges of employing LLMs in digital support services by analyzing technician feedback and solution retention rates. A two-week controlled evaluation reveals that 38.4% of the generated solutions were retained by technicians, highlighting the significant potential of LLMs for enhancing support ticket resolution. While technician opinions regarding system usefulness varied, data indicates substantial engagement and the effectiveness of RAG in augmenting existing workflows. Key challenges identified include seamless system integration, handling unstructured data, and adapting the model to the specificities of the Swedish language context. Future research should investigate the impact on time efficiency and expand the evaluation sample size to strengthen the findings.</t>
  </si>
  <si>
    <t xml:space="preserve">[Alawadi, Sadi] Blekinge Inst Technol, Dept Comp Sci, Karlskrona, Sweden; [Awaysheh, Feras M.] Univ Tartu, Delta Res Ctr, Inst Comp Sci, Tartu, Estonia</t>
  </si>
  <si>
    <t xml:space="preserve">Blekinge Institute Technology; University of Tartu</t>
  </si>
  <si>
    <t xml:space="preserve">Alawadi, S (corresponding author), Blekinge Inst Technol, Dept Comp Sci, Karlskrona, Sweden.</t>
  </si>
  <si>
    <t xml:space="preserve">cederlund.oscar@gmail.com; sadi.alawadi@bth.se; feras.awaysheh@ut.ee</t>
  </si>
  <si>
    <t xml:space="preserve">10.1109/FMEC62297.2024.10710181</t>
  </si>
  <si>
    <t xml:space="preserve">WOS:001343069600007</t>
  </si>
  <si>
    <t xml:space="preserve">Elfsberg, J; Askling, CJ; Larsson, A; Larsson, T; Leifer, L</t>
  </si>
  <si>
    <t xml:space="preserve">Elfsberg, Jenny; Askling, Christian Johansson; Larsson, Andreas; Larsson, Tobias; Leifer, Larry</t>
  </si>
  <si>
    <t xml:space="preserve">Guiding Global Innovation Teams on their Exploration Journey: Learning from Aspiring Engineering Students</t>
  </si>
  <si>
    <t xml:space="preserve">INTERNATIONAL JOURNAL OF ENGINEERING EDUCATION</t>
  </si>
  <si>
    <t xml:space="preserve">project based learning; case based learning; engineering design</t>
  </si>
  <si>
    <t xml:space="preserve">MODEL; WORK</t>
  </si>
  <si>
    <t xml:space="preserve">This research investigates globally dispersed innovation teams involved in explorative projects within an engineering graduate course employing problem -based learning. Utilizing insights from a longitudinal study, the objective is to identify how to enhance both individual learning and team performance, thereby increasing the likelihood of a successful outcome. Initial observations revealed common patterns in learning experiences among the top -performing teams, prompting further investigation into how supporting cohorts might positively influence both team performance and students' learning experiences throughout the course. In addition to advancing comprehension of innovation team performance, the study introduces two lightweight tools designed as shared visual representations of the team's exploration journey. These tools can assist supporting cohorts in guiding teams effectively. This research augments the existing body of knowledge surrounding the achievement of breakthrough innovations. It provides understanding about how to facilitate team performance and individual learning within globally dispersed innovation teams undertaking explorative projects. The proposed lightweight tools offer practical solutions to enhance the supporting cohort's ability to guide and impact team performance and individual learning experiences. This study holds implications for academia and industry, particularly organizations reliant on radical innovation for competitiveness and future -proving. Lastly, the study's findings could inform the design and delivery of future problem -oriented, project -organized learning -based courses in education.</t>
  </si>
  <si>
    <t xml:space="preserve">[Elfsberg, Jenny; Askling, Christian Johansson; Larsson, Andreas; Larsson, Tobias] Blekinge Inst Technol, Dept Mech Engn, Campus Grasvik, S-37179 Karlskrona, Sweden; [Leifer, Larry] Stanford Univ, Ctr Design Res, Mech Engn, 424 Panama Mall, Stanford, CA 94305 USA</t>
  </si>
  <si>
    <t xml:space="preserve">Blekinge Institute Technology; Stanford University</t>
  </si>
  <si>
    <t xml:space="preserve">Elfsberg, J (corresponding author), Blekinge Inst Technol, Dept Mech Engn, Campus Grasvik, S-37179 Karlskrona, Sweden.</t>
  </si>
  <si>
    <t xml:space="preserve">jenny.elfsberg@bth.se; christian.johansson.askling@bth.se; andreas.larsson@bth.se; tobias.larsson@bth.se; leifer@stanford.edu</t>
  </si>
  <si>
    <t xml:space="preserve">elfsberg, jenny/HLG-3251-2023</t>
  </si>
  <si>
    <t xml:space="preserve">Volvo Group</t>
  </si>
  <si>
    <t xml:space="preserve">Acknowledgments - Students in the Volvo team during 2013- 2020 made this study possible. We are thankful for all that we have learned from and together with those ambitious, curious, and honest students. We are also proud of all the outstanding results we have witnessed - and bragged about. Mark Cutkosky, George Toye, and John Richardson, Stan-ford's Mechanical Engineering Design Group, were together with author Larry Leifer the Stanford side of the supporting cohort during those years, and therefore instrumental to this study. We are deeply grateful for the shared commitment to students' learning and the shared conviction to preserve ambi-guity. Volvo Group has graciously provided funding, well-formu-lated prompts, support, involvement, and generosity to the student teams. Thanks to this consistent long-view support, this study was possible. MD3S - Model Driven Development and Decision Support is a KKS-funded research profile. By being part of the research profile, long-term commitment was secured from both the academic and the industrial partner, which enabled a multiyear study.</t>
  </si>
  <si>
    <t xml:space="preserve">TEMPUS PUBLICATIONS</t>
  </si>
  <si>
    <t xml:space="preserve">DURRUS, BANTRY</t>
  </si>
  <si>
    <t xml:space="preserve">IJEE , ROSSMORE,, DURRUS, BANTRY, COUNTY CORK 00000, IRELAND</t>
  </si>
  <si>
    <t xml:space="preserve">0949-149X</t>
  </si>
  <si>
    <t xml:space="preserve">INT J ENG EDUC</t>
  </si>
  <si>
    <t xml:space="preserve">Int. J. Eng. Educ</t>
  </si>
  <si>
    <t xml:space="preserve">Education, Scientific Disciplines; Engineering, Multidisciplinary</t>
  </si>
  <si>
    <t xml:space="preserve">UH5B8</t>
  </si>
  <si>
    <t xml:space="preserve">WOS:001247168000003</t>
  </si>
  <si>
    <t xml:space="preserve">Jiang, YN; Jeusfeld, MA; Ding, JG; Sandahl, E</t>
  </si>
  <si>
    <t xml:space="preserve">Jiang, Yuning; Jeusfeld, Manfred A.; Ding, Jianguo; Sandahl, Elin</t>
  </si>
  <si>
    <t xml:space="preserve">Model-Based Cybersecurity Analysis Extending Enterprise Modeling to Critical Infrastructure Cybersecurity</t>
  </si>
  <si>
    <t xml:space="preserve">BUSINESS &amp; INFORMATION SYSTEMS ENGINEERING</t>
  </si>
  <si>
    <t xml:space="preserve">Critical infrastructure; Domain-specific language; Cybersecurity; Power grids</t>
  </si>
  <si>
    <t xml:space="preserve">CYBER-PHYSICAL SYSTEMS; ARCHITECTURE MANAGEMENT; INFORMATION SECURITY; FAILURE ANALYSIS; INTEGRATION; FUTURE</t>
  </si>
  <si>
    <t xml:space="preserve">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</si>
  <si>
    <t xml:space="preserve">[Jiang, Yuning] Nanyang Technol Univ, Singapore 639798, Singapore; [Jiang, Yuning; Jeusfeld, Manfred A.] Univ Skovde, S-54128 Skovde, Sweden; [Ding, Jianguo] Blekinge Inst Technol, S-37179 Karlskrona, Sweden; [Sandahl, Elin] Norgald AB, Langland 2B, S-41133 Gothenburg, Sweden</t>
  </si>
  <si>
    <t xml:space="preserve">Nanyang Technological University; University of Skovde; Blekinge Institute Technology</t>
  </si>
  <si>
    <t xml:space="preserve">Jiang, YN (corresponding author), Nanyang Technol Univ, Singapore 639798, Singapore.</t>
  </si>
  <si>
    <t xml:space="preserve">yuning.jiang@ntu.edu.sg</t>
  </si>
  <si>
    <t xml:space="preserve">Ding, Jianguo/B-5748-2008; Jiang, Yuning/C-2983-2018; Jeusfeld, Manfred A./KUH-1648-2024</t>
  </si>
  <si>
    <t xml:space="preserve">Jiang, Yuning/0000-0003-4791-8452; Jeusfeld, Manfred A./0000-0002-9421-8566; Ding, Jianguo/0000-0002-8927-0968</t>
  </si>
  <si>
    <t xml:space="preserve">SPRINGER VIEWEG-SPRINGER FACHMEDIEN WIESBADEN GMBH</t>
  </si>
  <si>
    <t xml:space="preserve">WIESBADEN</t>
  </si>
  <si>
    <t xml:space="preserve">ABRAHAM-LINCOLN STASSE 46, WIESBADEN, 65189, GERMANY</t>
  </si>
  <si>
    <t xml:space="preserve">2363-7005</t>
  </si>
  <si>
    <t xml:space="preserve">1867-0202</t>
  </si>
  <si>
    <t xml:space="preserve">BUS INFORM SYST ENG+</t>
  </si>
  <si>
    <t xml:space="preserve">Bus. Inf. Syst. Eng.</t>
  </si>
  <si>
    <t xml:space="preserve">10.1007/s12599-023-00811-0</t>
  </si>
  <si>
    <t xml:space="preserve">AD2F1</t>
  </si>
  <si>
    <t xml:space="preserve">WOS:000982391100001</t>
  </si>
  <si>
    <t xml:space="preserve">Chezan, AR; Atzema, EH; Pilthammar, J; Sigvant, M</t>
  </si>
  <si>
    <t xml:space="preserve">Chezan, A. R.; Atzema, E. H.; Pilthammar, J.; Sigvant, M.</t>
  </si>
  <si>
    <t xml:space="preserve">Material variability effects on automotive part production process</t>
  </si>
  <si>
    <t xml:space="preserve">The current efforts to reduce the carbon footprint throughout the chain in the automotive industry by increased use of recycled materials poses new challenges for materials production and their use. The increase of steel scrap fraction in the current primary steel making processes, used for producing steel sheet metal for automotive components, possibly affects the material properties variability beyond the limits observed in the materials produced today despite mitigating actions in steel production. In this paper material variability increase was modelled by selecting deterministic values outside the range of the material grade used to design and manufacture an automotive part. The values were selected from an experimental data set representing the cold rolled mild steels material class range. The effects were studied numerically on a reverse engineered model of an existing automotive part production process. It was found that the manufacturing feasibility in this particular case is mainly affected by the weighted average plastic strain ratio and less by the degree of planar anisotropy.</t>
  </si>
  <si>
    <t xml:space="preserve">[Chezan, A. R.; Atzema, E. H.] Tata Steel R&amp;D, POB 10-000, NL-1970 CA Ijmuiden, Netherlands; [Atzema, E. H.] Univ Twente, Fac Engn, POB 217, NL-7500 AE Enschede, Netherlands; [Pilthammar, J.; Sigvant, M.] Volvo Cars, Dept 81110 Strategy Dev, S-29380 Olofstrom, Sweden; [Pilthammar, J.; Sigvant, M.] Blekinge Inst Technol, Dept Mech Engn, Valhallavagen, S-37141 Karlskrona, Sweden</t>
  </si>
  <si>
    <t xml:space="preserve">University of Twente; Volvo; Blekinge Institute Technology</t>
  </si>
  <si>
    <t xml:space="preserve">chezan@tatasteeleurope.com</t>
  </si>
  <si>
    <t xml:space="preserve">10.1088/1757-899X/1284/1/012037</t>
  </si>
  <si>
    <t xml:space="preserve">WOS:001017824300037</t>
  </si>
  <si>
    <t xml:space="preserve">Manopulo, N; Chezan, AR; Atzema, E; Anfruns, IP; Carleer, B; Pilthammar, J; Sigvant, M</t>
  </si>
  <si>
    <t xml:space="preserve">Liewald, M; Karadogan, C</t>
  </si>
  <si>
    <t xml:space="preserve">Manopulo, N.; Chezan, A. R.; Atzema, E.; Anfruns, I. Picas; Carleer, B.; Pilthammar, J.; Sigvant, M.</t>
  </si>
  <si>
    <t xml:space="preserve">On the mechanics of edge cracking and the reliable determination of edge formability limits</t>
  </si>
  <si>
    <t xml:space="preserve">INTERNATIONAL DEEP-DRAWING RESEARCH GROUP CONFERENCE (IDDRG 2021)</t>
  </si>
  <si>
    <t xml:space="preserve">40th International Deep-Drawing Research Group Conference (IDDRG)</t>
  </si>
  <si>
    <t xml:space="preserve">JUN 21-JUL 02, 2021</t>
  </si>
  <si>
    <t xml:space="preserve">Univ Stuttgart, Inst Metal Forming Technol,AutoForm,SEyI,SCHULER,DYNAMore</t>
  </si>
  <si>
    <t xml:space="preserve">Blanked edge surfaces are rough and hardened. They therefore lead to inhomogeneous deformation on the edge, which can trigger localization within the shear affected zone (up to few mm from the edge). The size and extent of these phenomena are primarily a function of the shearing process and are only marginally coupled to the global/homogeneous deformation behavior of the blank A direct numerical simulation of such local deformation effects would require a prohibitively high resolution to capture the microgeometry of the edge and thus remains unfeasible in the current industrial practice. A predictive model can therefore only be achieved by determining limit strains on the edge, which are compatible with the homogeneous numerical framework used. The present contribution aims discussing the basic mechanics of edge cracking based on tensile tests with edges blanked with different die clearances. The local and global strain evolutions in the vicinity of the edge are analysed and a new evaluation procedure is proposed for the reliable determination of limit strains. The application of this method in industrial context is also discussed.</t>
  </si>
  <si>
    <t xml:space="preserve">[Manopulo, N.] AutoForm Dev GmbH, Technopk Str 1, CH-8005 Zurich, Switzerland; [Chezan, A. R.; Atzema, E.; Anfruns, I. Picas] Tata Steel, POB 10-000, NL-1970 CA Velsen Noord, Netherlands; [Carleer, B.] AutoForm Engn Deutschland GmbH, Joseph von Fraunhofer Str 13a, D-44227 Dortmund, Germany; [Pilthammar, J.; Sigvant, M.] Volvo Cars, Dept Strategy &amp; Concept 81110, S-29380 Olofstrom, Sweden; [Pilthammar, J.; Sigvant, M.] Blekinge Inst Technol, Valhallavagen, S-37141 Karlskrona, Sweden</t>
  </si>
  <si>
    <t xml:space="preserve">Manopulo, N (corresponding author), AutoForm Dev GmbH, Technopk Str 1, CH-8005 Zurich, Switzerland.</t>
  </si>
  <si>
    <t xml:space="preserve">niko.manopulo@autoform.ch</t>
  </si>
  <si>
    <t xml:space="preserve">Sigvant, Mats/JJG-2577-2023; Atzema, Eisso/JWO-5729-2024</t>
  </si>
  <si>
    <t xml:space="preserve">10.1088/1757-899X/1157/1/012055</t>
  </si>
  <si>
    <t xml:space="preserve">BS3CN</t>
  </si>
  <si>
    <t xml:space="preserve">WOS:000709634600055</t>
  </si>
  <si>
    <t xml:space="preserve">Frattini, J; Montgomery, L; Fucci, D; Unterkalmsteiner, M; Mendez, D; Fischbach, J</t>
  </si>
  <si>
    <t xml:space="preserve">Frattini, Julian; Montgomery, Lloyd; Fucci, Davide; Unterkalmsteiner, Michael; Mendez, Daniel; Fischbach, Jannik</t>
  </si>
  <si>
    <t xml:space="preserve">Requirements quality research artifacts: Recovery, analysis, and management guideline</t>
  </si>
  <si>
    <t xml:space="preserve">Requirements engineering; Artifact; Availability; Bayesian data analysis; Guideline</t>
  </si>
  <si>
    <t xml:space="preserve">Requirements quality research, which is dedicated to assessing and improving the quality of requirements specifications, is dependent on research artifacts like data sets (containing information about quality defects) and implementations (automatically detecting and removing these defects). However, recent research exposed that the majority of these research artifacts have become unavailable or have never been disclosed, which inhibits progress in the research domain. In this work, we aim to improve the availability of research artifacts in requirements quality research. To this end, we (1) extend an artifact recovery initiative, (2) empirically evaluate the reasons for artifact unavailability using Bayesian data analysis, and (3) compile a concise guideline for open science artifact disclosure. Our results include 10 recovered data sets and 7 recovered implementations, empirical support for artifact availability improving over time and the positive effect of public hosting services, and a pragmatic artifact management guideline open for community comments. With this work, we hope to encourage and support adherence to open science principles and improve the availability of research artifacts for the requirements research quality community.</t>
  </si>
  <si>
    <t xml:space="preserve">[Frattini, Julian; Fucci, Davide; Unterkalmsteiner, Michael; Mendez, Daniel] Blekinge Inst Technol, Valhallavagen 1, S-37141 Karlskrona, Sweden; [Montgomery, Lloyd] Univ Hamburg, D-20146 Hamburg, Germany; [Fischbach, Jannik] Netlight Consulting GmbH, Sternstr 5, D-80538 Munich, Germany; [Mendez, Daniel; Fischbach, Jannik] Fortiss GmbH, Guerickestr 25, D-80805 Munich, Germany</t>
  </si>
  <si>
    <t xml:space="preserve">julian.frattini@bth.se; lloyd.montgomery@uni-hamburg.de; davide.fucci@bth.se; michael.unterkalmsteiner@bth.se; daniel.mendez@bth.se; jannik.fischbach@netlight.com</t>
  </si>
  <si>
    <t xml:space="preserve">; Fucci, Davide/C-1463-2015</t>
  </si>
  <si>
    <t xml:space="preserve">Montgomery, Lloyd/0000-0002-8249-1418; Frattini, Julian/0000-0003-3995-6125; Fucci, Davide/0000-0002-0679-4361; Unterkalmsteiner, Michael/0000-0003-4118-0952; Mendez Fernandez, Daniel/0000-0003-0619-6027</t>
  </si>
  <si>
    <t xml:space="preserve">Acknowledgments This work was supported by the KKS foundation, the S.E.R.T. Research Profile project at Blekinge nology. We further thank the members of the NLP4RE who supported the recovery initiative, especially Eduard Berry, Fabiano Dalpiaz, and Alessio Ferrari.</t>
  </si>
  <si>
    <t xml:space="preserve">10.1016/j.jss.2024.112120</t>
  </si>
  <si>
    <t xml:space="preserve">WF2P2</t>
  </si>
  <si>
    <t xml:space="preserve">WOS:001253392200001</t>
  </si>
  <si>
    <t xml:space="preserve">Plogmark, O; Silvanius, M; Olsson, M; Hjelte, C; Ekström, M; Frånberg, O</t>
  </si>
  <si>
    <t xml:space="preserve">Plogmark, Oscar; Silvanius, Marten; Olsson, Max; Hjelte, Carl; Ekstrom, Magnus; Franberg, Oskar</t>
  </si>
  <si>
    <t xml:space="preserve">Measuring whole body inert gas wash-out</t>
  </si>
  <si>
    <t xml:space="preserve">DIVING AND HYPERBARIC MEDICINE</t>
  </si>
  <si>
    <t xml:space="preserve">Decompression sickness; Diving research; Gas kinetics; Nitrogen; Physiology; Pressure</t>
  </si>
  <si>
    <t xml:space="preserve">TISSUE NITROGEN ELIMINATION; AMBIENT-TEMPERATURE</t>
  </si>
  <si>
    <t xml:space="preserve">Introduction: Quantifying inert gas wash-out is crucial to understanding the pathophysiology of decompression sickness. In this study, we developed a portable closed-circuit device for measuring inert gas wash-out and validated its precision and accuracy both with and without human subjects. Methods: We developed an exhalate monitor with sensors for volume, temperature, water vapor and oxygen. Inert gas volume was extrapolated from these inputs using the ideal gas law. The device's ability to detect volume differences while connected to a breathing machine was analysed by injecting a given gas volume eight times. One hundred and seventy-two coupled before-and-after measurements were then compared with a paired t-test. Drift in measured inert gas volume during unlabored breathing was evaluated in three subjects at rest using multilevel linear regression. A quasi-experimental crossover study with the same subjects was conducted to evaluate the device's ability to detect inert gas changes in relation to diving interventions and simulate power. Results: The difference between the injected volume (1,996 ml) and the device's measured volume (1,986 ml) was -10 ml. The 95% confidence interval (CI) for the measured volume was 1,969 to 2,003 ml. Mean drift during a 43 min period of unlaboured breathing was -19 ml, (95% CI, -37 to -1). Our power simulation, based on a cross-over study design, determined a sample size of two subjects to detect a true mean difference of total inert gas wash-out volume of 100 ml. Conclusions: We present a portable device with acceptable precision and accuracy to measure inert gas wash-out differences that may be physiologically relevant in the pathophysiology of decompression sickness.</t>
  </si>
  <si>
    <t xml:space="preserve">[Plogmark, Oscar; Olsson, Max; Hjelte, Carl; Ekstrom, Magnus; Franberg, Oskar] Lund Univ, Dept Clin Sci Lund, Fac Med, Resp Med &amp; Allergol, Lund, Sweden; [Plogmark, Oscar; Hjelte, Carl] Swedish Armed Forces, Swedish Armed Forces Diving &amp; Naval Med Ctr, Karlskrona, Sweden; [Silvanius, Marten; Franberg, Oskar] Blekinge Inst Technol, Dept Math &amp; Nat Sci, Karlskrona, Sweden</t>
  </si>
  <si>
    <t xml:space="preserve">Plogmark, O (corresponding author), Solvegatan 19, S-22185 Lund, Sweden.</t>
  </si>
  <si>
    <t xml:space="preserve">oscar.plogmark@med.lu.se</t>
  </si>
  <si>
    <t xml:space="preserve">Ekström, Magnus/ABA-2199-2021; Silvanius, Mårten/JEF-1281-2023; Olsson, Max/AAD-2938-2022; Franberg, Oskar/KHU-8967-2024</t>
  </si>
  <si>
    <t xml:space="preserve">Plogmark, Oscar/0009-0008-3230-8807</t>
  </si>
  <si>
    <t xml:space="preserve">Swedish Defense Material Administration [430919-LB967593]; Swedish Research Council [2019-02081]</t>
  </si>
  <si>
    <t xml:space="preserve">Swedish Defense Material Administration; Swedish Research Council(Swedish Research Council)</t>
  </si>
  <si>
    <t xml:space="preserve">The project was supported by unrestricted grants from the Swedish Defense Material Administration (430919-LB967593). Magnus Ekstrom was supported by unrestricted grants from the Swedish Research Council (2019-02081). The authors reported no conflicts of interest relevant to this work.</t>
  </si>
  <si>
    <t xml:space="preserve">SOUTH PACIFIC UNDERWATER MED SOC</t>
  </si>
  <si>
    <t xml:space="preserve">MELBOURNE</t>
  </si>
  <si>
    <t xml:space="preserve">C/O AUSTRALIAN &amp; NEW ZEALAND COLL ANAESTHETISTS, 630 ST KILDA RD, MELBOURNE, VIC 3004, AUSTRALIA</t>
  </si>
  <si>
    <t xml:space="preserve">1833-3516</t>
  </si>
  <si>
    <t xml:space="preserve">DIVING HYPERB MED</t>
  </si>
  <si>
    <t xml:space="preserve">Diving Hyperb. Med.</t>
  </si>
  <si>
    <t xml:space="preserve">PMID 38091591</t>
  </si>
  <si>
    <t xml:space="preserve">10.28920/dhm53.4.321-326</t>
  </si>
  <si>
    <t xml:space="preserve">HY4A1</t>
  </si>
  <si>
    <t xml:space="preserve">WOS:001163046200005</t>
  </si>
  <si>
    <t xml:space="preserve">Lundström, P; Öinert, J; Orozco, L; Pinedo, H</t>
  </si>
  <si>
    <t xml:space="preserve">Lundstrom, Patrik; Oinert, Johan; Orozco, Laura; Pinedo, Hector</t>
  </si>
  <si>
    <t xml:space="preserve">Very good gradings on matrix rings are epsilon-strong</t>
  </si>
  <si>
    <t xml:space="preserve">LINEAR &amp; MULTILINEAR ALGEBRA</t>
  </si>
  <si>
    <t xml:space="preserve">Matrix ring; good grading; very good grading; epsilon-strongly graded ring; unital partial crossed product</t>
  </si>
  <si>
    <t xml:space="preserve">We investigate properties of group gradings on matrix rings $ M_n(R) $ Mn(R), where R is an associative unital ring and n is a positive integer. More precisely, we introduce very good gradings and show that any very good grading on $ M_n(R) $ Mn(R) is necessarily epsilon-strong. We also identify a condition that is sufficient to guarantee that $ M_n(R) $ Mn(R) is an epsilon-crossed product, i.e. isomorphic to a crossed product associated with a unital twisted partial action. In the case where R has IBN, we provide a characterization of when $ M_n(R) $ Mn(R) is an epsilon-crossed product. Our results are illustrated by several examples.</t>
  </si>
  <si>
    <t xml:space="preserve">[Lundstrom, Patrik] Univ West, Dept Engn Sci, Trollhattan, Sweden; [Oinert, Johan] Blekinge Inst Technol, Dept Math &amp; Nat Sci, SE-37179 Karlskrona, Sweden; [Orozco, Laura; Pinedo, Hector] Univ Ind Santander, Escuela Matemat, Bucaramanga, Colombia</t>
  </si>
  <si>
    <t xml:space="preserve">University West - Sweden; Blekinge Institute Technology; Universidad Industrial de Santander</t>
  </si>
  <si>
    <t xml:space="preserve">Pinedo, Hector/JUV-2585-2023</t>
  </si>
  <si>
    <t xml:space="preserve">Oinert, Johan/0000-0001-8095-0820; Pinedo, Hector/0000-0003-4432-419X</t>
  </si>
  <si>
    <t xml:space="preserve">0308-1087</t>
  </si>
  <si>
    <t xml:space="preserve">1563-5139</t>
  </si>
  <si>
    <t xml:space="preserve">LINEAR MULTILINEAR A</t>
  </si>
  <si>
    <t xml:space="preserve">Linear Multilinear Algebra</t>
  </si>
  <si>
    <t xml:space="preserve">10.1080/03081087.2024.2314205</t>
  </si>
  <si>
    <t xml:space="preserve">Q9E4M</t>
  </si>
  <si>
    <t xml:space="preserve">WOS:001206069700001</t>
  </si>
  <si>
    <t xml:space="preserve">Zotterman, AN; Skär, L; Söderberg, S</t>
  </si>
  <si>
    <t xml:space="preserve">Zotterman, Anna Nygren; Skar, Lisa; Soderberg, Siv</t>
  </si>
  <si>
    <t xml:space="preserve">Dignity encounters: the experiences of people with long-term illnesses and their close relatives within a primary healthcare setting</t>
  </si>
  <si>
    <t xml:space="preserve">PRIMARY HEALTH CARE RESEARCH AND DEVELOPMENT</t>
  </si>
  <si>
    <t xml:space="preserve">accessibility; close relatives; confirmation; dignity encounter; interviews; people with long-term illnesses; primary healthcare; thematic content analysis</t>
  </si>
  <si>
    <t xml:space="preserve">CONCEPTIONS; PERSPECTIVE; COMPLAINTS; MEANINGS; RESPECT; VALUES</t>
  </si>
  <si>
    <t xml:space="preserve">Aim: To describe the experiences of dignity encounters from the perspective of people with long-term illness and their close relatives within a primary healthcare setting. Background: The importance of dignity as a concept in nursing care is well known, and in every healthcare encounter, the patient's dignity has to be protected. Methods: A purposive sample of 10 people (5 couples) participated in this qualitative descripted study. One person in each of the couples had a long-term illness. Conjoint interviews were conducted and analyzed with an inductive qualitative content analysis. Results: The analysis resulted in three themes: i) Being supported by an encouraging contact; ii) Being listen to and understood; and iii) Being met with respect. Couples described being encountered with dignity as having accessibility to care in terms of being welcomed with their needs and receiving help. Accessibility promoted beneficial contact with healthcare personnel, who empowered the couples with guidance and support. Couples described a dignity encounter when healthcare personnel confirmed them as valuable and important persons. A dignity encounter was promoted their sense of feeling satisfied with the care they received and promoted safe care. Treated with dignity had a positive impact on the couples' health and well-being and enhanced their sense of a good impression of the healthcare personnel within the primary health care. Conclusions: Healthcare personnel must regard and consider people with long-term illnesses and their close relatives' experiences of dignity encounters to gain an understanding that enables them to support their needs and to know that the care is directed toward them.</t>
  </si>
  <si>
    <t xml:space="preserve">[Zotterman, Anna Nygren] Lulea Univ Technol, Dept Hlth Sci, Lulea, Sweden; [Skar, Lisa] Blekinge Inst Technol, Dept Hlth, Campus Grasvik, SE-37179 Karlskrona, Sweden; [Soderberg, Siv] Mid Sweden Univ, Dept Nursing Sci, Sundsvall, Sweden</t>
  </si>
  <si>
    <t xml:space="preserve">Lulea University of Technology; Blekinge Institute Technology; Mid-Sweden University</t>
  </si>
  <si>
    <t xml:space="preserve">Skär, L (corresponding author), Blekinge Inst Technol, Dept Hlth, Campus Grasvik, SE-37179 Karlskrona, Sweden.</t>
  </si>
  <si>
    <t xml:space="preserve">Soderberg, Siv/0000-0003-3915-9812; Skar, Lisa/0000-0002-5731-2799</t>
  </si>
  <si>
    <t xml:space="preserve">1463-4236</t>
  </si>
  <si>
    <t xml:space="preserve">1477-1128</t>
  </si>
  <si>
    <t xml:space="preserve">PRIM HEALTH CARE RES</t>
  </si>
  <si>
    <t xml:space="preserve">Prim. Health Care Res. Dev.</t>
  </si>
  <si>
    <t xml:space="preserve">NOV 14</t>
  </si>
  <si>
    <t xml:space="preserve">e72</t>
  </si>
  <si>
    <t xml:space="preserve">10.1017/S1463423622000603</t>
  </si>
  <si>
    <t xml:space="preserve">6D7NS</t>
  </si>
  <si>
    <t xml:space="preserve">WOS:000882873400001</t>
  </si>
  <si>
    <t xml:space="preserve">Qammar, A; Karim, A; Ning, HS; Ding, JG</t>
  </si>
  <si>
    <t xml:space="preserve">Qammar, Attia; Karim, Ahmad; Ning, Huansheng; Ding, Jianguo</t>
  </si>
  <si>
    <t xml:space="preserve">Securing federated learning with blockchain: a systematic literature review</t>
  </si>
  <si>
    <t xml:space="preserve">Federated learning; Blockchain; Security; Privacy; Blockchain-based FL; Systematic literature review</t>
  </si>
  <si>
    <t xml:space="preserve">TECHNOLOGY; CHALLENGES; FRAMEWORK; MECHANISM</t>
  </si>
  <si>
    <t xml:space="preserve">Federated learning (FL) is a promising framework for distributed machine learning that trains models without sharing local data while protecting privacy. FL exploits the concept of collaborative learning and builds privacy-preserving models. Nevertheless, the integral features of FL are fraught with problems, such as the disclosure of private information, the unreliability of uploading model parameters to the server, the communication cost, etc. Blockchain, as a decentralized technology, is able to improve the performance of FL without requiring a centralized server and also solves the above problems. In this paper, a systematic literature review on the integration of Blockchain in federated learning was considered with the analysis of the existing FL problems that can be compensated. Through carefully screening, most relevant studies are included and research questions cover the potential security and privacy attacks in traditional federated learning that can be solved by blockchain as well as the characteristics of Blockchain-based FL. In addition, the latest Blockchain-based approaches to federated learning have been studied in-depth in terms of security and privacy, records and rewards, and verification and accountability. Furthermore, open issues related to the combination of Blockchain and FL are discussed. Finally, future research directions for the robust development of Blockchain-based FL systems are proposed.</t>
  </si>
  <si>
    <t xml:space="preserve">[Qammar, Attia; Ning, Huansheng] Univ Sci &amp; Technol Beijing, Sch Comp &amp; Commun Engn, Beijing, Peoples R China; [Karim, Ahmad] Bahauddin Zakariya Univ, Dept Informat Technol, Multan, Pakistan; [Ding, Jianguo] Blekinge Inst Technol, Dept Comp Sci, Karlskrona, Sweden</t>
  </si>
  <si>
    <t xml:space="preserve">University of Science &amp; Technology Beijing; Bahauddin Zakariya University; Blekinge Institute Technology</t>
  </si>
  <si>
    <t xml:space="preserve">ahmadkarim@bzu.edu.pk; ninghuansheng@ustb.edu.cn; jianguo.ding@bth.se</t>
  </si>
  <si>
    <t xml:space="preserve">10.1007/s10462-022-10271-9</t>
  </si>
  <si>
    <t xml:space="preserve">F7ZI5</t>
  </si>
  <si>
    <t xml:space="preserve">WOS:000854393600001</t>
  </si>
  <si>
    <t xml:space="preserve">Andersson, M; Kusetogullari, A; Wernberg, J</t>
  </si>
  <si>
    <t xml:space="preserve">Andersson, Martin; Kusetogullari, Anna; Wernberg, Joakim</t>
  </si>
  <si>
    <t xml:space="preserve">Software development and innovation: Exploring the software shift in innovation in Swedish firms</t>
  </si>
  <si>
    <t xml:space="preserve">TECHNOLOGICAL FORECASTING AND SOCIAL CHANGE</t>
  </si>
  <si>
    <t xml:space="preserve">Innovation; Software; Software development; Digitalization; Human capital; Software bias; Digital technology; Absorptive capacity</t>
  </si>
  <si>
    <t xml:space="preserve">RESEARCH-AND-DEVELOPMENT; INFORMATION TECHNOLOGY; ENTERPRISE SOFTWARE; PRODUCTIVITY; ORGANIZATION; ICT; KNOWLEDGE; PATTERNS; BEHAVIOR; GROWTH</t>
  </si>
  <si>
    <t xml:space="preserve">A number of scholars and industry professionals have claimed that there has been a 'software-biased shift' in the nature and direction of innovation, in that software development is a core part of innovation activities in firms across a wide array of industries. Empirical firm-level evidence of such a shift is still scant. In this paper, we employ new and unique firm-level survey data on the frequency and nature of software development among firms in Sweden, matched with the Community Innovation Survey (CIS). We find robust evidence supporting a software bias in innovation, in that software development is associated with a higher likelihood of introducing innovations, as well as higher innovation sales among firms in both manufacturing and service industries. Furthermore, this positive relationship is stronger for firms that employ in-house software developers than for those that only use external developers, suggesting that there is a hierarchy but possibly also a complementarity between in-house and external software development. We also find support for complementarity between software-based technology and human capital; the estimated marginal effect of software development on innovation is particularly strong for firms that combine in-house software development with a highly educated workforce in both STEM and other disciplines.</t>
  </si>
  <si>
    <t xml:space="preserve">[Andersson, Martin; Kusetogullari, Anna] Blekinge Inst Technol BTH, Dept Ind Econ, Karlskrona, Sweden; [Andersson, Martin] Lund Univ, Swedish Entrepreneurship Forum, Stockholm, Sweden; [Andersson, Martin] Res Inst Ind Econ IFN, Stockholm, Sweden; [Andersson, Martin; Wernberg, Joakim] Swedish Entrepreneurship Forum, Stockholm, Sweden</t>
  </si>
  <si>
    <t xml:space="preserve">Blekinge Institute Technology; Lund University; Research Institute of Industrial Economics (IFN)</t>
  </si>
  <si>
    <t xml:space="preserve">Andersson, M (corresponding author), Blekinge Inst Technol BTH, Dept Ind Econ, Karlskrona, Sweden.;Andersson, M (corresponding author), Lund Univ, Swedish Entrepreneurship Forum, Stockholm, Sweden.;Andersson, M (corresponding author), Res Inst Ind Econ IFN, Stockholm, Sweden.;Andersson, M (corresponding author), Swedish Entrepreneurship Forum, Stockholm, Sweden.</t>
  </si>
  <si>
    <t xml:space="preserve">martin.andersson@bth.se; anna.kusetogullari@bth.se; joakim.wernberg@entreprenorskapsforum.se</t>
  </si>
  <si>
    <t xml:space="preserve">0040-1625</t>
  </si>
  <si>
    <t xml:space="preserve">1873-5509</t>
  </si>
  <si>
    <t xml:space="preserve">TECHNOL FORECAST SOC</t>
  </si>
  <si>
    <t xml:space="preserve">Technol. Forecast. Soc. Chang.</t>
  </si>
  <si>
    <t xml:space="preserve">10.1016/j.techfore.2021.120695</t>
  </si>
  <si>
    <t xml:space="preserve">Business; Regional &amp; Urban Planning</t>
  </si>
  <si>
    <t xml:space="preserve">RJ7JF</t>
  </si>
  <si>
    <t xml:space="preserve">WOS:000637776500002</t>
  </si>
  <si>
    <t xml:space="preserve">Braunerhjelm, P; Eklund, JE; Thulin, P</t>
  </si>
  <si>
    <t xml:space="preserve">Braunerhjelm, Pontus; Eklund, Johan E.; Thulin, Per</t>
  </si>
  <si>
    <t xml:space="preserve">Taxes, the tax administrative burden and the entrepreneurial life cycle</t>
  </si>
  <si>
    <t xml:space="preserve">Tax complexity; Tax administrative burden; Entrepreneurship; Life cycle</t>
  </si>
  <si>
    <t xml:space="preserve">We present a modified version of the entrepreneurial choice model, where it is shown that the expected utility of becoming an entrepreneur is decreasing in both the levels of taxes and the tax administrative burden. We extend previous empirical findings by examining how these variables influence entrepreneurs at different stages in the entrepreneurial life cycle. Our findings imply that the effect of the tax administrative burden varies over the entrepreneurial life cycle from strongly negative to insignificant. The most pronounced negative effects appear in the early stages of entrepreneurship. We conclude that a 10% reduction in the tax administrative burden increases the propensity for new business establishments by 4%. Our findings support the idea that tax simplification is one way to encourage entrepreneurship, without any reduction in tax revenues.</t>
  </si>
  <si>
    <t xml:space="preserve">[Braunerhjelm, Pontus] Blekinge Inst Technol, Swedish Entrepreneurship Forum, SE-10044 Stockholm, Sweden; [Braunerhjelm, Pontus] KTH Royal Inst Technol, SE-10044 Stockholm, Sweden; [Eklund, Johan E.] Swedish Entrepreneurship Forum, Jonkoping Int Business Sch, Stockholm, Sweden; [Eklund, Johan E.] Blekinge Inst Technol, Stockholm, Sweden; [Thulin, Per] KTH Royal Inst Technol, Swedish Entrepreneurship Forum, Stockholm, Sweden</t>
  </si>
  <si>
    <t xml:space="preserve">Blekinge Institute Technology; Royal Institute of Technology; Jonkoping University; Blekinge Institute Technology; Royal Institute of Technology</t>
  </si>
  <si>
    <t xml:space="preserve">Braunerhjelm, P (corresponding author), Blekinge Inst Technol, Swedish Entrepreneurship Forum, SE-10044 Stockholm, Sweden.;Braunerhjelm, P (corresponding author), KTH Royal Inst Technol, SE-10044 Stockholm, Sweden.</t>
  </si>
  <si>
    <t xml:space="preserve">pontus.braunerhjelm@indek.kth.se; johan.eklund@bth.se</t>
  </si>
  <si>
    <t xml:space="preserve">Eklund, Johan/HPC-9141-2023</t>
  </si>
  <si>
    <t xml:space="preserve">10.1007/s11187-019-00195-0</t>
  </si>
  <si>
    <t xml:space="preserve">QX4HA</t>
  </si>
  <si>
    <t xml:space="preserve">WOS:000629304500009</t>
  </si>
  <si>
    <t xml:space="preserve">Peixoto, M; Gorschek, T; Mendez, D; Fucci, D; Silva, C</t>
  </si>
  <si>
    <t xml:space="preserve">Peixoto, Mariana; Gorschek, Tony; Mendez, Daniel; Fucci, Davide; Silva, Carla</t>
  </si>
  <si>
    <t xml:space="preserve">A natural language-based method to specify privacy requirements: an evaluation with practitioners</t>
  </si>
  <si>
    <t xml:space="preserve">Privacy criteria method; Privacy requirements specification; Empirical study; Software development</t>
  </si>
  <si>
    <t xml:space="preserve">SECURITY; QUALITY</t>
  </si>
  <si>
    <t xml:space="preserve">Organisations are becoming concerned with effectively dealing with privacy-related requirements. Existing Requirements Engineering methods based on structured natural language suffer from several limitations both in eliciting and specifying privacy requirements. In our previous study, we proposed a structured natural-language approach called the Privacy Criteria Method (PCM), which demonstrates potential advantages over user stories. Our goal is to present a PCM evaluation that focused on the opinions of software practitioners from different companies on PCM's ability to support the specification of privacy requirements and the quality of the privacy requirements specifications produced by these software practitioners. We conducted a multiple case study to evaluate PCM in four different industrial contexts. We gathered and analysed the opinions of 21 practitioners on PCM usage regarding Coverage, Applicability, Usefulness, and Scalability. Moreover, we assessed the syntactic and semantic quality of the PCM artifacts produced by these practitioners. PCM can aid developers in elaborating requirements specifications focused on privacy with good quality. The practitioners found PCM to be useful for their companies' development processes. PCM is considered a promising method for specifying privacy requirements. Some slight extensions of PCM may be required to tailor the method to the characteristics of the company.</t>
  </si>
  <si>
    <t xml:space="preserve">[Peixoto, Mariana] Univ Pernambuco UPE, Garanhuns, Pe, Brazil; [Peixoto, Mariana; Silva, Carla] Univ Fed Pernambuco UFPE, Ctr Informat, Recife, Pe, Brazil; [Gorschek, Tony; Mendez, Daniel; Fucci, Davide] Blekinge Inst Technol BTH, Dept Software Engn, Karlskrona, Sweden</t>
  </si>
  <si>
    <t xml:space="preserve">Universidade de Pernambuco (UPE); Universidade Federal de Pernambuco; Blekinge Institute Technology</t>
  </si>
  <si>
    <t xml:space="preserve">Peixoto, M (corresponding author), Univ Pernambuco UPE, Garanhuns, Pe, Brazil.;Peixoto, M (corresponding author), Univ Fed Pernambuco UFPE, Ctr Informat, Recife, Pe, Brazil.</t>
  </si>
  <si>
    <t xml:space="preserve">mariana.peixoto@upe.br; tony.gorschek@bth.se; daniel.mendez@bth.se; davide.fucci@bth.se; ctlls@cin.ufpe.br</t>
  </si>
  <si>
    <t xml:space="preserve">Gorschek, Tony/E-3445-2013; Fucci, Davide/C-1463-2015</t>
  </si>
  <si>
    <t xml:space="preserve">Peixoto, Mariana/0000-0002-5399-4155</t>
  </si>
  <si>
    <t xml:space="preserve">Coordenaco de Aperfeicoamento de Pessoal de Nivel Superior - Brasil (CAPES) [001]; KKS foundation through the S.E.R.T. Research Profile project at Blekinge Institute of Technology</t>
  </si>
  <si>
    <t xml:space="preserve">Coordenaco de Aperfeicoamento de Pessoal de Nivel Superior - Brasil (CAPES)(Coordenacao de Aperfeicoamento de Pessoal de Nivel Superior (CAPES)); KKS foundation through the S.E.R.T. Research Profile project at Blekinge Institute of Technology</t>
  </si>
  <si>
    <t xml:space="preserve">Part of this study was funded by the Coordenac &amp; atilde;o de Aperfeicoamento de Pessoal de Nivel Superior - Brasil (CAPES) (Finance Code 001), and the KKS foundation through the S.E.R.T. Research Profile project at Blekinge Institute of Technology.</t>
  </si>
  <si>
    <t xml:space="preserve">10.1007/s00766-024-00428-z</t>
  </si>
  <si>
    <t xml:space="preserve">D8X9U</t>
  </si>
  <si>
    <t xml:space="preserve">WOS:001272283700001</t>
  </si>
  <si>
    <t xml:space="preserve">El-Awad, Z; Gabrielsson, J; Pocek, J; Politis, D</t>
  </si>
  <si>
    <t xml:space="preserve">El-Awad, Ziad; Gabrielsson, Jonas; Pocek, Jasna; Politis, Diamanto</t>
  </si>
  <si>
    <t xml:space="preserve">Unpacking the early alumni engagement of entrepreneurship graduates</t>
  </si>
  <si>
    <t xml:space="preserve">JOURNAL OF SMALL BUSINESS MANAGEMENT</t>
  </si>
  <si>
    <t xml:space="preserve">University-based entrepreneurial ecosystem; alumni engagement; enterprising behaviors</t>
  </si>
  <si>
    <t xml:space="preserve">UNIVERSITY; EDUCATION; INNOVATION; STUDENTS; ECOSYSTEMS; FACULTY; ROLES</t>
  </si>
  <si>
    <t xml:space="preserve">Alumni engagement plays a crucial role in driving innovation in university-based entrepreneurship ecosystems. We employ an inductive, informant-centric research design to explore the processual dynamics surrounding the early alumni engagement of entrepreneurship graduates and how these translate into enterprising behaviors that foster technology transfer and knowledge-intensive entrepreneurship. Our inductive analysis advances the theoretical understanding of the beginning phases of the alumni engagement process among entrepreneurship graduates, the key drivers that make them gravitate toward different forms of alumni engagement, and the role and impact of their engagement in the surrounding ecosystem.</t>
  </si>
  <si>
    <t xml:space="preserve">[El-Awad, Ziad; Pocek, Jasna; Politis, Diamanto] Lund Univ, Sten K Johnson Ctr Entrepreneurship, Scheelevagen 15B, S-22363 Lund, Sweden; [Gabrielsson, Jonas] Halmstad Univ, Sch Business Innovat &amp; Sustainabil, Halmstad, Sweden; [Pocek, Jasna] Free Univ Bozen Bolzano, Fac Econ &amp; Management, Jonkoping, Sweden; [Pocek, Jasna] Blekinge Inst Technol, Karlskrona, Sweden</t>
  </si>
  <si>
    <t xml:space="preserve">Lund University; Halmstad University; Blekinge Institute Technology</t>
  </si>
  <si>
    <t xml:space="preserve">El-Awad, Z (corresponding author), Lund Univ, Sten K Johnson Ctr Entrepreneurship, Scheelevagen 15B, S-22363 Lund, Sweden.</t>
  </si>
  <si>
    <t xml:space="preserve">Ziad.el-awad@fek.lu.se</t>
  </si>
  <si>
    <t xml:space="preserve">Politis, Diamanto/A-4763-2017; El-Awad, Ziad/AAH-6705-2019; Gabrielsson, Jonas/O-9327-2016</t>
  </si>
  <si>
    <t xml:space="preserve">Pocek, Jasna/0000-0002-6362-2320</t>
  </si>
  <si>
    <t xml:space="preserve">ENGAGE centre</t>
  </si>
  <si>
    <t xml:space="preserve">We are grateful for the helpful suggestions and comments of this journal's editor and three anonymous reviewers. The first author appreciates the support from the Foundation Entrepreneurship in Lund. The fourth author appreciates the support from the ENGAGE centre.</t>
  </si>
  <si>
    <t xml:space="preserve">0047-2778</t>
  </si>
  <si>
    <t xml:space="preserve">1540-627X</t>
  </si>
  <si>
    <t xml:space="preserve">J SMALL BUS MANAGE</t>
  </si>
  <si>
    <t xml:space="preserve">J. Small Bus. Manag.</t>
  </si>
  <si>
    <t xml:space="preserve">10.1080/00472778.2022.2125979</t>
  </si>
  <si>
    <t xml:space="preserve">OG4J6</t>
  </si>
  <si>
    <t xml:space="preserve">WOS:000870579000001</t>
  </si>
  <si>
    <t xml:space="preserve">Garousi, V; Cutting, D; Felderer, M</t>
  </si>
  <si>
    <t xml:space="preserve">Garousi, Vahid; Cutting, David; Felderer, Michael</t>
  </si>
  <si>
    <t xml:space="preserve">What Users Think of COVID-19 Contact-Tracing Apps: An Analysis of Eight European Apps</t>
  </si>
  <si>
    <t xml:space="preserve">We mine insights from the user reviews of COVID-19 contact-tracing apps from eight European countries to determine what end users think of the apps and the main problems that have been reported.</t>
  </si>
  <si>
    <t xml:space="preserve">[Garousi, Vahid] Queens Univ Belfast, Software Engn, Belfast BT9 5BN, Antrim, North Ireland; [Cutting, David] Bahar Software Engn Consulting Corp, Belfast 8T9 5BN, Antrim, North Ireland; [Cutting, David] Queens Univ Belfast, Belfast BT9 5BN, Antrim, North Ireland; [Felderer, Michael] Univ Innsbruck, A-6020 Innsbruck, Austria; [Felderer, Michael] Blekinge Inst Technol, S-37150 Karlskrona, Sweden</t>
  </si>
  <si>
    <t xml:space="preserve">Queens University Belfast; Queens University Belfast; University of Innsbruck; Blekinge Institute Technology</t>
  </si>
  <si>
    <t xml:space="preserve">Garousi, V (corresponding author), Queens Univ Belfast, Software Engn, Belfast BT9 5BN, Antrim, North Ireland.</t>
  </si>
  <si>
    <t xml:space="preserve">v.garousi@qub.ac.uk; d.cutting@qub.ac.uk; michael.felderer@uibk.ac.at</t>
  </si>
  <si>
    <t xml:space="preserve">Garousi, Vahid/0000-0001-6590-7576; Cutting, David/0000-0002-1088-4749</t>
  </si>
  <si>
    <t xml:space="preserve">10.1109/MS.2021.3097284</t>
  </si>
  <si>
    <t xml:space="preserve">2D4TX</t>
  </si>
  <si>
    <t xml:space="preserve">WOS:000811542700006</t>
  </si>
  <si>
    <t xml:space="preserve">Fischbach, J; Frattini, J; Mendez, D; Unterkalmsteiner, M; Femmer, H; Vogelsang, A</t>
  </si>
  <si>
    <t xml:space="preserve">Ardito, L; Jedlitschka, A; Morisio, M; Torchiano, M</t>
  </si>
  <si>
    <t xml:space="preserve">Fischbach, Jannik; Frattini, Julian; Mendez, Daniel; Unterkalmsteiner, Michael; Femmer, Henning; Vogelsang, Andreas</t>
  </si>
  <si>
    <t xml:space="preserve">How Do Practitioners Interpret Conditionals in Requirements?</t>
  </si>
  <si>
    <t xml:space="preserve">PRODUCT-FOCUSED SOFTWARE PROCESS IMPROVEMENT (PROFES 2021)</t>
  </si>
  <si>
    <t xml:space="preserve">22nd International Conference on Product-Focused Software Process Improvement (PROFES)</t>
  </si>
  <si>
    <t xml:space="preserve">NOV 26, 2021</t>
  </si>
  <si>
    <t xml:space="preserve">Logical interpretation; Requirements engineering; Descriptive survey; Formalization</t>
  </si>
  <si>
    <t xml:space="preserve">AGREEMENT</t>
  </si>
  <si>
    <t xml:space="preserve">Context: Conditional statements like If A and B then C are core elements for describing software requirements. However, there are many ways to express such conditionals in natural language and also many ways how they can be interpreted. We hypothesize that conditional statements in requirements are a source of ambiguity, potentially affecting downstream activities such as test case generation negatively. Objective: Our goal is to understand how specific conditionals are interpreted by readers who work with requirements. Method: We conduct a descriptive survey with 104 RE practitioners and ask how they interpret 12 different conditional clauses. We map their interpretations to logical formulas written in Propositional (Temporal) Logic and discuss the implications. Results: The conditionals in our tested requirements were interpreted ambiguously. We found that practitioners disagree on whether an antecedent is only sufficient or also necessary for the consequent. Interestingly, the disagreement persists even when the system behavior is known to the practitioners. We also found that certain cue phrases are associated with specific interpretations. Conclusion: Conditionals in requirements are a source of ambiguity and there is not just one way to interpret them formally. This affects any analysis that builds upon formalized requirements (e.g., inconsistency checking, test-case generation). Our results may also influence guidelines for writing requirements.</t>
  </si>
  <si>
    <t xml:space="preserve">[Fischbach, Jannik; Femmer, Henning] Qualicen GmbH, Garching, Germany; [Frattini, Julian; Mendez, Daniel; Unterkalmsteiner, Michael] Blekinge Inst Technol, Karlskrona, Sweden; [Mendez, Daniel] Fortiss GmbH, Munich, Germany; [Vogelsang, Andreas] Univ Cologne, Cologne, Germany</t>
  </si>
  <si>
    <t xml:space="preserve">Blekinge Institute Technology; fortiss; University of Cologne</t>
  </si>
  <si>
    <t xml:space="preserve">Fischbach, J (corresponding author), Qualicen GmbH, Garching, Germany.</t>
  </si>
  <si>
    <t xml:space="preserve">jannik.fischbach@qualicen.de; julian.frattini@bth.se; daniel.mendez@bth.se; michael.unterkalmsteiner@bth.se; henning.femmer@qualicen.de; vogelsang@cs.uni-koeln.de</t>
  </si>
  <si>
    <t xml:space="preserve">978-3-030-91452-3; 978-3-030-91451-6</t>
  </si>
  <si>
    <t xml:space="preserve">10.1007/978-3-030-91452-3_6</t>
  </si>
  <si>
    <t xml:space="preserve">BS7NE</t>
  </si>
  <si>
    <t xml:space="preserve">WOS:000765223700006</t>
  </si>
  <si>
    <t xml:space="preserve">Alexandre, RCJ; Martins, LEG; Gorschek, T</t>
  </si>
  <si>
    <t xml:space="preserve">Alexandre, Rui Carlos Josino; Martins, Luiz Eduardo Galvao; Gorschek, Tony</t>
  </si>
  <si>
    <t xml:space="preserve">Cybersecurity Risk Assessment for Medium-Risk Drones: A Systematic Literature Review</t>
  </si>
  <si>
    <t xml:space="preserve">IEEE AEROSPACE AND ELECTRONIC SYSTEMS MAGAZINE</t>
  </si>
  <si>
    <t xml:space="preserve">Drones; Remotely piloted aircraft; Computer security; Aircraft; Safety; Regulation; Visualization; Airworthiness; BVLOS; cybersecurity; ConOps; drones; risk assessment; RPAS; software engineering; UAS; vulnerabilities</t>
  </si>
  <si>
    <t xml:space="preserve">SECURITY; VEHICLES; SAFETY</t>
  </si>
  <si>
    <t xml:space="preserve">The increased demand for remotely piloted aircraft systems (RPAS) beyond visual line-of-sight operations gives rise to a set of concerns regarding cybersecurity that, if not addressed, can lead to the unsafe operation of RPASs. To assist the airworthiness evaluation that is performed by civil aviation authorities, we identified several processes that are used to evaluate the cybersecurity of RPAS. We conducted a systematic literature review (SLR) by selecting 30 papers (out of 211 screened) that were published during the past five years. The results of our SLR indicate the importance of cybersecurity to the safe operation of RPAS. It is evident that there is a lack of a systematic process to enable a cybersecurity review of RPAS. We observe that common cyber threats to RPAS are related to jamming, spoofing, and denial of service/distributed denial of service. Processes relevant to the assessment of RPAS cybersecurity exist, however, they differ in safety concerns from our perspective. In addition, with only one exception, the methods have not been used, and/or the use has not been reported as pertaining to industrial application. The most frequently cited vulnerabilities are those related to GPS and datalinks.</t>
  </si>
  <si>
    <t xml:space="preserve">[Alexandre, Rui Carlos Josino] Civil Aviat Natl Agcy, BR-12246190 Sao Jose Dos Campos, SP, Brazil; [Martins, Luiz Eduardo Galvao] UNIFESP Univ Fed Sao Paulo, Dept Sci &amp; Technol, BR-12247014 Sao Jose Dos Campos, SP, Brazil; [Gorschek, Tony] Blekinge Inst Technol, Software Engn Res Lab, S-37141 Karlskrona, Sweden; [Gorschek, Tony] Fortiss GmbH, D-80805 Munich, Germany</t>
  </si>
  <si>
    <t xml:space="preserve">Universidade Federal de Sao Paulo (UNIFESP); Blekinge Institute Technology; fortiss</t>
  </si>
  <si>
    <t xml:space="preserve">Alexandre, RCJ (corresponding author), Civil Aviat Natl Agcy, BR-12246190 Sao Jose Dos Campos, SP, Brazil.</t>
  </si>
  <si>
    <t xml:space="preserve">rui.carlos@anac.gov.br; legmartins@unifesp.br; tony.gorschek@bth.se</t>
  </si>
  <si>
    <t xml:space="preserve">Martins, Luiz/AAL-7679-2020; Gorschek, Tony/E-3445-2013</t>
  </si>
  <si>
    <t xml:space="preserve">Josino Alexandre, Rui Carlos/0000-0003-2670-1457</t>
  </si>
  <si>
    <t xml:space="preserve">Sao Paulo Research Foundation (FAPESP) [2019/09396-0]; CNPq-Conselho Nacional de DesenvolvimentoCientifico e Tecnologico [315130/2018-0]; KKS foundation Profile at SERL Sweden, BTH</t>
  </si>
  <si>
    <t xml:space="preserve">Sao Paulo Research Foundation (FAPESP)(Fundacao de Amparo a Pesquisa do Estado de Sao Paulo (FAPESP)); CNPq-Conselho Nacional de DesenvolvimentoCientifico e Tecnologico(Conselho Nacional de Desenvolvimento Cientifico e Tecnologico (CNPQ)); KKS foundation Profile at SERL Sweden, BTH</t>
  </si>
  <si>
    <t xml:space="preserve">This work was supported in part by Sao Paulo Research Foundation (FAPESP) under Grant 2019/09396-0, in partby CNPq-Conselho Nacional de DesenvolvimentoCientifico e Tecnologico-under Grant 315130/2018-0,and in part by the KKS foundation Profile grant SERT at SERL Sweden, BTH.</t>
  </si>
  <si>
    <t xml:space="preserve">0885-8985</t>
  </si>
  <si>
    <t xml:space="preserve">1557-959X</t>
  </si>
  <si>
    <t xml:space="preserve">IEEE AERO EL SYS MAG</t>
  </si>
  <si>
    <t xml:space="preserve">IEEE Aerosp. Electron. Syst. Mag.</t>
  </si>
  <si>
    <t xml:space="preserve">JUN 1</t>
  </si>
  <si>
    <t xml:space="preserve">10.1109/MAES.2023.3251969</t>
  </si>
  <si>
    <t xml:space="preserve">Engineering, Aerospace; Engineering, Electrical &amp; Electronic</t>
  </si>
  <si>
    <t xml:space="preserve">I7KN4</t>
  </si>
  <si>
    <t xml:space="preserve">WOS:001004539500003</t>
  </si>
  <si>
    <t xml:space="preserve">Gkikas, G; McLaughlin, M; Renvert, S; Polyzois, I</t>
  </si>
  <si>
    <t xml:space="preserve">Gkikas, Georgios; McLaughlin, Mark; Renvert, Stefan; Polyzois, Ioannis</t>
  </si>
  <si>
    <t xml:space="preserve">A Prospective Study Comparing the Effect of L-PRF and Porous Titanium Granules on the Preservation of the Buccal Bone Plate Following Immediate Implant Placement</t>
  </si>
  <si>
    <t xml:space="preserve">INTERNATIONAL JOURNAL OF PERIODONTICS &amp; RESTORATIVE DENTISTRY</t>
  </si>
  <si>
    <t xml:space="preserve">ALTERATIONS POST-EXTRACTION; AESTHETIC ZONE; SOCKETS; SITES</t>
  </si>
  <si>
    <t xml:space="preserve">The aim of this study was to compare the effect of an autogenous blood concentrate (L-PRF) with the effect of white porous titanium granules (WPTG) on buccal bone remodeling. These materials were used to graft the void between the implant and the buccal bone following immediate implant placement. Clinical measurements were made at two time points, and the mean buccal bone horizontal dimension at placement was 2.94 +/- 0.59 mm for L-PRF and 3.49 +/- 0.99 mm for WPTG. At reentry, the values were 1.19 +/- 0.90 mm and 2.12 +/- 0.87 mm, respectively. Overall, there was no difference observed in the performance of the two materials regarding buccal bone resorption.</t>
  </si>
  <si>
    <t xml:space="preserve">[Gkikas, Georgios; McLaughlin, Mark; Renvert, Stefan; Polyzois, Ioannis] Dublin Dent Univ Hosp, Trinity Coll, Dublin, Ireland; [Renvert, Stefan] Kristianstad Univ, Dept Hlth Sci, Kristianstad, Sweden; [Renvert, Stefan] Blekinge Inst Technol, Karlskrona, Sweden</t>
  </si>
  <si>
    <t xml:space="preserve">Polyzois, I (corresponding author), Dublin Dent Univ Hosp, Trinity Coll, Dublin, Ireland.;Polyzois, I (corresponding author), Dept Restorat Dent &amp; Periodontol, Lincoln Pl, Dublin D02 F859 2, Ireland.</t>
  </si>
  <si>
    <t xml:space="preserve">ioannis.polyzois@dental.tcd.ie</t>
  </si>
  <si>
    <t xml:space="preserve">Polyzois, Ioannis/H-8129-2019; Renvert, Stefan/AAM-2415-2020</t>
  </si>
  <si>
    <t xml:space="preserve">Polyzois, Ioannis/0000-0002-0921-0843</t>
  </si>
  <si>
    <t xml:space="preserve">0198-7569</t>
  </si>
  <si>
    <t xml:space="preserve">1945-3388</t>
  </si>
  <si>
    <t xml:space="preserve">INT J PERIODONT REST</t>
  </si>
  <si>
    <t xml:space="preserve">Int. J. Periodontics Restor. Dent.</t>
  </si>
  <si>
    <t xml:space="preserve">SEP-OCT</t>
  </si>
  <si>
    <t xml:space="preserve">10.11607/prd.4299</t>
  </si>
  <si>
    <t xml:space="preserve">NM5OX</t>
  </si>
  <si>
    <t xml:space="preserve">WOS:000568147300020</t>
  </si>
  <si>
    <t xml:space="preserve">Petersen, K; Carlson, J; Papatheocharous, E; Wnuk, K</t>
  </si>
  <si>
    <t xml:space="preserve">Petersen, Kai; Carlson, Jan; Papatheocharous, Efi; Wnuk, Krzysztof</t>
  </si>
  <si>
    <t xml:space="preserve">Context checklist for industrial software engineering research and practice</t>
  </si>
  <si>
    <t xml:space="preserve">Context; Software engineering; Evidence-based software engineering; Empirical; Checklist</t>
  </si>
  <si>
    <t xml:space="preserve">DRIVEN</t>
  </si>
  <si>
    <t xml:space="preserve">The relevance of context is particularly stressed in case studies, where it is said that case study is an empirical method aimed at investigating contemporary phenomena in their context. In this research, we classify context information and provide a context checklist for industrial software engineering. The checklist serves the purpose of (a) supporting researchers and practitioners in characterizing the context in which they are working; (b) supporting researchers with a checklist to identify relevant contextual information to elicit and report during primary and secondary studies. We utilized a systematic approach for constructing the classification of context information and provided a detailed definition for each item. We collected feedback from researchers as well as practitioners. The usefulness of the checklist was perceived more positively by researchers than practitioners, though they highlighted benefits (raising awareness of the importance of context and usefulness for management). The understandability was perceived positively by both practitioners and researchers. The checklist may serve as a meta-model, forming the basis for specific adaptations for different research areas, and as input for researchers deciding which context information to extract in systematic reviews. The checklist may also help researchers in reporting context in research papers.</t>
  </si>
  <si>
    <t xml:space="preserve">[Petersen, Kai; Wnuk, Krzysztof] Blekinge Inst Technol, Karlskrona, Sweden; [Papatheocharous, Efi] RISE Res Inst Sweden AB, Kista, Sweden; [Carlson, Jan] Malardalen Univ, Vasteras, Sweden; [Petersen, Kai] Univ Appl Sci Flensburg, Flensburg, Germany</t>
  </si>
  <si>
    <t xml:space="preserve">Blekinge Institute Technology; RISE Research Institutes of Sweden; Malardalen University</t>
  </si>
  <si>
    <t xml:space="preserve">Petersen, K (corresponding author), Blekinge Inst Technol, Karlskrona, Sweden.;Petersen, K (corresponding author), Univ Appl Sci Flensburg, Flensburg, Germany.</t>
  </si>
  <si>
    <t xml:space="preserve">; Carlson, Jan/D-4717-2012</t>
  </si>
  <si>
    <t xml:space="preserve">Papatheocharous, Efi/0000-0002-5157-8131; Carlson, Jan/0000-0002-8461-0230</t>
  </si>
  <si>
    <t xml:space="preserve">10.1016/j.csi.2021.103541</t>
  </si>
  <si>
    <t xml:space="preserve">WOS:000670669600010</t>
  </si>
  <si>
    <t xml:space="preserve">Zhang, JL; Hu, Y; Wang, ZL; Wang, M; Dong, GH</t>
  </si>
  <si>
    <t xml:space="preserve">Zhang, Jialin; Hu, Yan; Wang, Ziliang; Wang, Min; Dong, Guang-Heng</t>
  </si>
  <si>
    <t xml:space="preserve">Males are more sensitive to reward and less sensitive to loss than females among people with internet gaming disorder: fMRI evidence from a card-guessing task</t>
  </si>
  <si>
    <t xml:space="preserve">BMC PSYCHIATRY</t>
  </si>
  <si>
    <t xml:space="preserve">Internet gaming disorder; Gender; Reward processing; Loss processing</t>
  </si>
  <si>
    <t xml:space="preserve">DECISION-MAKING; NEURAL REPRESENTATION; ANTERIOR CINGULATE; GENDER-DIFFERENCES; SEX-DIFFERENCES; ADDICTION; ADOLESCENTS; ACTIVATION; PUNISHMENT; ALCOHOL</t>
  </si>
  <si>
    <t xml:space="preserve">Background Many studies have found an interesting issue in the Internet gaming disorder (IGD): males are always observed to be the majority. However, there are little research to exploring the differences in the neural mechanisms between males and females in decision-making process among people with IGD. Therefore, explore the reward/loss processing between different gender with IGD could help in understanding the underlying neural mechanism of IGD. Methods Data from functional magnetic resonance imaging (fMRI) were collected from 111 subjects (IGD: 29 males, 25 females; recreational internet game user (RGU): 36 males, 21 females) while they were performing a card-guessing task. We collected and compared their brain features when facing the win and loss conditions in different groups. Results For winning conditions, IGD group showed hypoactivity in the lingual gyrus than RGU group, male players showed hyperactivity in the left caudate nucleus, bilateral cingulate gyrus, right middle frontal gyrus (MFG), right precuneus and inferior parietal lobule relative to the females. And significant sex-by-group interactions results showed higher brain activities in the thalamus, parahippocampal gyrus and lower brain activities in Inferior frontal gyrus (IFG) were observed in males with IGD than females. For losing conditions, IGD group showed hypoactivity in the left lingual gyrus, parahippocampal gyrus and right anterior cingulate cortex (ACC) compared to the RGU group, male players showed hyperactive left caudate nucleus and hypoactive right middle occipital gyrus relative to females. And significant sex-by-group interactions results showed that compared to females with IGD, males with IGD showed decreased brain activities in the IFG and lingual gyrus. Conclusions First, there appeared to be no difference in reward processing between the IGD and RGU group, but IGD showed less sensitivity to loss. Secondly, male players showed more sensitivity to rewards and less sensitivity to losses. Last but not least, males and females showed opposite activation patterns in IGD degree and rewards/losses processing. And male IGD subjects are more sensitive to reward and less sensitive to loss than females, which might be the reason for the gender different rates on IGD.</t>
  </si>
  <si>
    <t xml:space="preserve">[Zhang, Jialin; Wang, Min; Dong, Guang-Heng] Hangzhou Normal Univ, Inst Psychol Res, Ctr Cognit &amp; Brain Disorders, Hangzhou 311121, Zhejiang, Peoples R China; [Hu, Yan] Blekinge Inst Technol, Dept Creat Technol, SE-37179 Karlskrona, Sweden; [Wang, Ziliang] State Key Lab Cognit Neurosci &amp; Learning, Beijing, Peoples R China; [Wang, Ziliang] IDG McGovern Inst Brain Res, Beijing, Peoples R China; [Dong, Guang-Heng] Zhejiang Key Lab Res Assessment Cognit Impairment, Hangzhou, Zhejiang, Peoples R China</t>
  </si>
  <si>
    <t xml:space="preserve">Hangzhou Normal University; Blekinge Institute Technology</t>
  </si>
  <si>
    <t xml:space="preserve">Dong, GH (corresponding author), Hangzhou Normal Univ, Inst Psychol Res, Ctr Cognit &amp; Brain Disorders, Hangzhou 311121, Zhejiang, Peoples R China.;Dong, GH (corresponding author), Zhejiang Key Lab Res Assessment Cognit Impairment, Hangzhou, Zhejiang, Peoples R China.</t>
  </si>
  <si>
    <t xml:space="preserve">dongguangheng@hznu.edu.cn</t>
  </si>
  <si>
    <t xml:space="preserve">Hu, Yan/ABO-0679-2022; Wang, Ziliang/JPX-1492-2023</t>
  </si>
  <si>
    <t xml:space="preserve">Dong, Guang-Heng/0000-0001-8813-8730</t>
  </si>
  <si>
    <t xml:space="preserve">Zhejiang Natural Science Foundation [LY20C090005]</t>
  </si>
  <si>
    <t xml:space="preserve">Zhejiang Natural Science Foundation(Natural Science Foundation of Zhejiang Province)</t>
  </si>
  <si>
    <t xml:space="preserve">This research was supported by Zhejiang Natural Science Foundation (LY20C090005). The funding agencies did not contribute to the experimental design or conclusions, and the views presented in the manuscript are those of the authors and may not reflect those of the funding agencies.</t>
  </si>
  <si>
    <t xml:space="preserve">1471-244X</t>
  </si>
  <si>
    <t xml:space="preserve">BMC Psychiatry</t>
  </si>
  <si>
    <t xml:space="preserve">JUL 7</t>
  </si>
  <si>
    <t xml:space="preserve">10.1186/s12888-020-02771-1</t>
  </si>
  <si>
    <t xml:space="preserve">Psychiatry</t>
  </si>
  <si>
    <t xml:space="preserve">MP0LW</t>
  </si>
  <si>
    <t xml:space="preserve">WOS:000551906300002</t>
  </si>
  <si>
    <t xml:space="preserve">Parsian, A; Eynian, M; Magnevall, M; Beno, T</t>
  </si>
  <si>
    <t xml:space="preserve">Parsian, Amir; Eynian, Mahdi; Magnevall, Martin; Beno, Tomas</t>
  </si>
  <si>
    <t xml:space="preserve">Minimizing the Negative Effects of Coolant Channels on the Torsional and Torsional-Axial Stiffness of Drills</t>
  </si>
  <si>
    <t xml:space="preserve">drilling; dynamics; stress function; torsional stiffness; torsional-axial stiffness</t>
  </si>
  <si>
    <t xml:space="preserve">TIME-DOMAIN SIMULATION; PRETWISTED BEAMS; VIBRATIONS; STABILITY; CHATTER</t>
  </si>
  <si>
    <t xml:space="preserve">Coolant channels allow internal coolant delivery to the cutting region and significantly improve drilling, but these channels also reduce the torsional and torsional-axial stiffness of the drills. Such a reduction in stiffness can degrade the quality of the drilled holes. The evacuation of cutting chips and the delivery of the cutting fluid put strict geometrical restrictions on the cross-section design of the drill. This necessitates careful selection and optimization of features such as the geometry of the coolant channels. This paper presents a new method that uses Prandtl's stress function to predict the torsional and torsional-axial stiffness values. Using this method drills with one central channel are compared to those with two eccentric coolant channels, which shows that with the same cross-section area, the reduction of axial and torsional-axial stiffness is notably smaller for the design with two eccentric channels compared to a single central channel. The stress function method is further used to select the appropriate location of the eccentric coolant channels to minimize the loss of torsional and torsional-axial stiffness. These results are verified by comparison to the results of three-dimensional finite element analyses.</t>
  </si>
  <si>
    <t xml:space="preserve">[Parsian, Amir] AB Sandvik Coromant, S-81134 Sandviken, Sweden; [Eynian, Mahdi; Beno, Tomas] Univ West, Dept Engn Sci, S-46186 Trollhattan, Sweden; [Magnevall, Martin] Blekinge Inst Technol, Dept Mech Engn, S-37179 Karlskrona, Sweden</t>
  </si>
  <si>
    <t xml:space="preserve">Sandvik AB; University West - Sweden; Blekinge Institute Technology</t>
  </si>
  <si>
    <t xml:space="preserve">Eynian, M (corresponding author), Univ West, Dept Engn Sci, S-46186 Trollhattan, Sweden.</t>
  </si>
  <si>
    <t xml:space="preserve">amir.parsian@sandvik.com; mahdi.eynian@hv.se; martin.magnevall@bth.se; tomas.beno@hv.se</t>
  </si>
  <si>
    <t xml:space="preserve">Eynian, Mahdi/L-2045-2015</t>
  </si>
  <si>
    <t xml:space="preserve">Eynian, Mahdi/0000-0001-9331-7354</t>
  </si>
  <si>
    <t xml:space="preserve">Stiftelsen for Kunskaps- och Kompetensutveckling; Sandvik Coromant; Research School of Simulation and Control of Material affecting Processes (SiCoMaP) at University West, Sweden</t>
  </si>
  <si>
    <t xml:space="preserve">This research was funded by Stiftelsen for Kunskaps- och Kompetensutveckling and Sandvik Coromant. Further support from the Research School of Simulation and Control of Material affecting Processes (SiCoMaP) at University West, Sweden is greatly appreciated.</t>
  </si>
  <si>
    <t xml:space="preserve">10.3390/met11091473</t>
  </si>
  <si>
    <t xml:space="preserve">UY2ZW</t>
  </si>
  <si>
    <t xml:space="preserve">WOS:000701398500001</t>
  </si>
  <si>
    <t xml:space="preserve">Ulfsnes, R; Stray, V; Moe, NB; Smite, D</t>
  </si>
  <si>
    <t xml:space="preserve">Gregory, P; Kruchten, P</t>
  </si>
  <si>
    <t xml:space="preserve">Ulfsnes, Rasmus; Stray, Viktoria; Moe, Nils Brede; Smite, Darja</t>
  </si>
  <si>
    <t xml:space="preserve">Innovation in Large-Scale Agile - Benefits and Challenges of Hackathons When Hacking from Home</t>
  </si>
  <si>
    <t xml:space="preserve">AGILE PROCESSES IN SOFTWARE ENGINEERING AND EXTREME PROGRAMMING - WORKSHOPS (XP 2021)</t>
  </si>
  <si>
    <t xml:space="preserve">22nd International Conference on Agile Software Development (XP)</t>
  </si>
  <si>
    <t xml:space="preserve">JUN 14-18, 2021</t>
  </si>
  <si>
    <t xml:space="preserve">Agile Alliance</t>
  </si>
  <si>
    <t xml:space="preserve">Large-scale software development; Work-from-anywhere; Innovation; Hackathon</t>
  </si>
  <si>
    <t xml:space="preserve">Hackathons are events in which diverse teams work together to explore and develop solutions, software, or even ideas. Hackathons have been recognized not only as public events for hacking but also as a corporate mechanism for innovation. Hackathons are a way for established large-scale agile organizations to achieve increased employee wellbeing as well as being a curator for innovation and developing new products. The sudden transition to the work-from-home mode caused by the COVID-19 pandemic first put many corporate events requiring collocation, such as hackathons, temporarily on hold and then motivated companies to find ways to hold these events virtually. In this paper, we report our findings from investigating hackathons in the context of a large agile company by first exploring the general benefits and challenges of hackathons and then trying to understand how they were affected by the virtual setup. We conducted nine interviews, surveyed 23 employees, and analyzed a hackathon demo. We found that hackathons provide both individual and organizational benefits of innovation, personal interests, and acquiring new skills and competencies. However, several challenges such as added stress due to stopping the regular work, employees fearing not having enough contribution to deliver, and potential mismatch between individual and organizational goals were also found. With respect to the virtual setup, we found that virtual hackathons are not diminishing the innovation benefits. However, some negative effects surfaced on the social and networking side.</t>
  </si>
  <si>
    <t xml:space="preserve">[Ulfsnes, Rasmus; Stray, Viktoria; Moe, Nils Brede; Smite, Darja] SINTEF, Trondheim, Norway; [Stray, Viktoria] Univ Oslo, Dept Informat, Oslo, Norway; [Smite, Darja] Blekinge Inst Technol, Karlskrona, Sweden</t>
  </si>
  <si>
    <t xml:space="preserve">SINTEF; University of Oslo; Blekinge Institute Technology</t>
  </si>
  <si>
    <t xml:space="preserve">Ulfsnes, R (corresponding author), SINTEF, Trondheim, Norway.</t>
  </si>
  <si>
    <t xml:space="preserve">rasmus.ulfsnes@sintef.no; stray@ifi.uio.no; nils.b.moe@sintef.no; darja.smite@bth.se</t>
  </si>
  <si>
    <t xml:space="preserve">Moe, Nils/AAD-8183-2021; Stray, Viktoria/E-9563-2016; Ulfsnes, Rasmus/JXY-8254-2024</t>
  </si>
  <si>
    <t xml:space="preserve">Moe, Nils Brede/0000-0003-2669-0778; Ulfsnes, Rasmus/0000-0002-4966-8242; Stray, Viktoria/0000-0002-6032-2074</t>
  </si>
  <si>
    <t xml:space="preserve">978-3-030-88583-0; 978-3-030-88582-3</t>
  </si>
  <si>
    <t xml:space="preserve">10.1007/978-3-030-88583-0_3</t>
  </si>
  <si>
    <t xml:space="preserve">BS4HB</t>
  </si>
  <si>
    <t xml:space="preserve">WOS:000719308400003</t>
  </si>
  <si>
    <t xml:space="preserve">Eklund, J; Levratto, N; Ramello, GB</t>
  </si>
  <si>
    <t xml:space="preserve">Eklund, Johan; Levratto, Nadine; Ramello, Giovanni B.</t>
  </si>
  <si>
    <t xml:space="preserve">Entrepreneurship and failure: two sides of the same coin?</t>
  </si>
  <si>
    <t xml:space="preserve">Entrepreneurship; Failure; Bankruptcy; Insolvency; Firms</t>
  </si>
  <si>
    <t xml:space="preserve">BANKRUPTCY LAWS; PREDICTION</t>
  </si>
  <si>
    <t xml:space="preserve">This paper attempts to shed light on the nexus of relationships existing between failure, bankruptcy, institutional context, and local characteristics on one hand and entrepreneurship, firm survival, and performance on the other. The aim is to provide a larger vantage point from which to read the research included in this issue with the overall ambition to contribute to a better understanding of our entrepreneurial societies and the role of failure within markets. In this respect, the focus here is mainly on the institutions governing the bankruptcy procedures which do much more than simply regulating the exit of insolvent firms and protecting creditors' investments, minimizing the social cost of failures. They set up the revolving doors through which creditors can reinvest the recovered capital in new entrepreneurial projects and failed entrepreneurs can bring back to the market their skills and their entrepreneurial spirit for fostering new and hopefully successful ventures. Therefore, by managing bankruptcy, the institutions are not only protecting the economy. Instead, they have become a tool of economic policy, devoted to the delicate issue of regulating a physiological event to the market while avoiding too much waste of resources. In a more positive perspective, managing insolvency and failure is also a mean to strengthen competitiveness and growth, making it possible to stimulate the market in reshuffling skills and resources into new activities. A deeper understanding can in turn contribute to the implementation of better and more efficient policies by integrating bankruptcy as a natural component of firm and market life.</t>
  </si>
  <si>
    <t xml:space="preserve">[Eklund, Johan] Swedish Entrepreneurship Forum, Grevgatan 34, SE-11453 Stockholm, Sweden; [Eklund, Johan] Blekinge Inst Technol, Grevgatan 34, SE-11453 Stockholm, Sweden; [Levratto, Nadine] Univ Paris Nanterre, Ctr Etud Emploi &amp; Travail, Econ, CNRS, F-92000 Nanterre, France; [Ramello, Giovanni B.] Univ Piemonte Orientale, Dept DiGSPES, V Cavour 84, I-15121 Alessandria, Italy</t>
  </si>
  <si>
    <t xml:space="preserve">Blekinge Institute Technology; Centre National de la Recherche Scientifique (CNRS); University of Eastern Piedmont Amedeo Avogadro</t>
  </si>
  <si>
    <t xml:space="preserve">Eklund, J (corresponding author), Swedish Entrepreneurship Forum, Grevgatan 34, SE-11453 Stockholm, Sweden.;Eklund, J (corresponding author), Blekinge Inst Technol, Grevgatan 34, SE-11453 Stockholm, Sweden.;Ramello, GB (corresponding author), Univ Piemonte Orientale, Dept DiGSPES, V Cavour 84, I-15121 Alessandria, Italy.</t>
  </si>
  <si>
    <t xml:space="preserve">johan.eklund@bth.se; nadine.levratto@parisnanterre.fr; giovanni.ramello@uniupo.it</t>
  </si>
  <si>
    <t xml:space="preserve">10.1007/s11187-018-0039-z</t>
  </si>
  <si>
    <t xml:space="preserve">KS7SD</t>
  </si>
  <si>
    <t xml:space="preserve">WOS:000518505800001</t>
  </si>
  <si>
    <t xml:space="preserve">Duszkiewicz, AG; Sorensen, JG; Johansen, N; Edison, H; Silva, TR</t>
  </si>
  <si>
    <t xml:space="preserve">Jedlitschka, A; Janes, A; Lenarduzzi, V; Kadgien, R; Li, X</t>
  </si>
  <si>
    <t xml:space="preserve">Duszkiewicz, Aleksander G.; Sorensen, Jacob G.; Johansen, Niclas; Edison, Henry; Silva, Thiago Rocha</t>
  </si>
  <si>
    <t xml:space="preserve">Leveraging Historical Data to Support User Story Estimation</t>
  </si>
  <si>
    <t xml:space="preserve">PRODUCT-FOCUSED SOFTWARE PROCESS IMPROVEMENT, PROFES 2023, PT I</t>
  </si>
  <si>
    <t xml:space="preserve">24th International Conference on Product-Focused Software Process Improvement (PROFES)</t>
  </si>
  <si>
    <t xml:space="preserve">DEC 10-13, 2023</t>
  </si>
  <si>
    <t xml:space="preserve">Dornbirn, AUSTRIA</t>
  </si>
  <si>
    <t xml:space="preserve">User Stories; Agile Estimation; Natural Language Processing</t>
  </si>
  <si>
    <t xml:space="preserve">PLANNING POKER</t>
  </si>
  <si>
    <t xml:space="preserve">Accurate and reliable effort and cost estimation are still challenging for agile teams in the industry. It is argued that leveraging historical data regarding the actual time spent on similar past projects could be very helpful to support such an activity before companies embark upon a new project. In this paper, we investigate to what extent user story information retrieved from past projects can help developers estimate the effort needed to develop new similar projects. In close collaboration with a software development company, we applied design science and action research principles to develop and evaluate a tool that employs Natural Language Processing (NLP) algorithms to find past similar user stories and retrieve the actual time spent on them. The tool was then used to estimate a real project that was about to start in the company. A focus group with a team of six developers was conducted to evaluate the tool's efficacy in estimating similar projects. The results of the focus group with the developers revealed that the tool has the potential to complement the existing estimation process and help different interested parties in the company. Our results contribute both towards a new tool-supported approach to help user story estimation based on historical data and with our lessons learned on why, when, and where such a tool and the estimations provided may play a role in agile projects in the industry.</t>
  </si>
  <si>
    <t xml:space="preserve">[Duszkiewicz, Aleksander G.; Johansen, Niclas] Morningtrain ApS, Odense, Denmark; [Sorensen, Jacob G.; Silva, Thiago Rocha] Univ Southern Denmark, Maersk McKinney Moller Inst, Odense, Denmark; [Edison, Henry] Blekinge Inst Technol, Karlskrona, Sweden</t>
  </si>
  <si>
    <t xml:space="preserve">University of Southern Denmark; Blekinge Institute Technology</t>
  </si>
  <si>
    <t xml:space="preserve">Silva, TR (corresponding author), Univ Southern Denmark, Maersk McKinney Moller Inst, Odense, Denmark.</t>
  </si>
  <si>
    <t xml:space="preserve">alek@morningtrain.dk; jacso18@student.sdu.dk; nj@morningtrain.dk; henry.edison@bth.se; thiago@mmmi.sdu.dk</t>
  </si>
  <si>
    <t xml:space="preserve">Silva, Thiago/Z-1061-2018; Edison, Henry/AAA-9989-2020</t>
  </si>
  <si>
    <t xml:space="preserve">Rocha Silva, Thiago/0000-0001-8961-4663; Edison, Henry/0000-0002-9494-8059</t>
  </si>
  <si>
    <t xml:space="preserve">University of Southern Denmark's Internal Strategic Fund; ELLIIT: the Swedish Strategic Research Area in IT and Mobile Communications</t>
  </si>
  <si>
    <t xml:space="preserve">This work was supported by the University of Southern Denmark's Internal Strategic Fund and ELLIIT: the Swedish Strategic Research Area in IT and Mobile Communications.</t>
  </si>
  <si>
    <t xml:space="preserve">978-3-031-49265-5; 978-3-031-49266-2</t>
  </si>
  <si>
    <t xml:space="preserve">10.1007/978-3-031-49266-2_20</t>
  </si>
  <si>
    <t xml:space="preserve">BW5AD</t>
  </si>
  <si>
    <t xml:space="preserve">WOS:001157572800020</t>
  </si>
  <si>
    <t xml:space="preserve">Braunerhjelm, P; Svensson, R</t>
  </si>
  <si>
    <t xml:space="preserve">Braunerhjelm, Pontus; Svensson, Roger</t>
  </si>
  <si>
    <t xml:space="preserve">Inventions, commercialization strategies, and knowledge spillovers in SMEs</t>
  </si>
  <si>
    <t xml:space="preserve">Patents; Commercialization mode; Knowledge spillovers; Start-ups; Licensing; SMEs; M13; O32; O33; O34</t>
  </si>
  <si>
    <t xml:space="preserve">Despite the comprehensive previous research on different aspects of inventions and externalities spanning both the micro- and macrolevels, no prior studies have, to our knowledge, examined the relationship between the commercialization strategies of inventions/patents and social knowledge spillovers. To bridge this gap in the literature, we examine how such spillovers, measured as forward citations, covary with four commercialization modes: (1) setting up a new firm, (2) commercialization within an existing firm where the inventor either is employed or (3) has an ownership stake, and (4) licensing/selling patents to other firms. Alternatively, an inventor may refrain from commercialization. Utilizing unique survey data on patents owned by small- and medium-sized enterprises and individuals, we provide evidence that commercialization through licensing/selling is the most efficient way of generating knowledge diffusion. We also find some support for new ventures being an important source of knowledge spillovers. New inventions and discoveries, here defined as patents, are instrumental in promoting growth and increasing societal prosperity. To contribute to a benevolent development of societies, it is imperative that new findings and new knowledge also is disseminated to a large group of users and producers. We investigate how such diffusion is affected by the chosen strategy to commercialize patents: through a new firm, within an existing firm, or licensing/selling patents to other firms. We provide evidence that commercialization through licensing/selling, closely followed by setting up a new firm, appears to be the most efficient way to generate knowledge diffusion. Policymakers should therefore not only support technological development and encourage new firms but also facilitate for firms to interact and enhance their networks.</t>
  </si>
  <si>
    <t xml:space="preserve">[Braunerhjelm, Pontus] KTH Royal Inst Technol, Lindstedtsvagen 30, SE-10044 Stockholm, Sweden; [Braunerhjelm, Pontus] Swedish Entrepreneurship Forum, Saltmatargatan 9, SE-11359 Stockholm, Sweden; [Braunerhjelm, Pontus] Blekinge Inst Technol, S-37179 Karlskrona, Sweden; [Svensson, Roger] Res Inst Ind Econ IFN, POB 55665, SE-10215 Stockholm, Sweden</t>
  </si>
  <si>
    <t xml:space="preserve">Royal Institute of Technology; Blekinge Institute Technology; Research Institute of Industrial Economics (IFN)</t>
  </si>
  <si>
    <t xml:space="preserve">Svensson, R (corresponding author), Res Inst Ind Econ IFN, POB 55665, SE-10215 Stockholm, Sweden.</t>
  </si>
  <si>
    <t xml:space="preserve">roger.svensson@ifn.se</t>
  </si>
  <si>
    <t xml:space="preserve">Svensson, Roger/0000-0003-3377-8460</t>
  </si>
  <si>
    <t xml:space="preserve">Johan och Jakob Sderbergs stiftelse</t>
  </si>
  <si>
    <t xml:space="preserve">The authors would like to thank two anonymous referees and Per Thulin for his constructive comments. Data used for the estimations in this article is available from the corresponding author on request.</t>
  </si>
  <si>
    <t xml:space="preserve">10.1007/s11187-023-00812-z</t>
  </si>
  <si>
    <t xml:space="preserve">TB2C9</t>
  </si>
  <si>
    <t xml:space="preserve">WOS:001059985100001</t>
  </si>
  <si>
    <t xml:space="preserve">Smite, D; Moe, NB; Floryan, M; Levinta, G; Chatzipetrou, P</t>
  </si>
  <si>
    <t xml:space="preserve">Smite, Darja; Moe, Nils Brede; Floryan, Marcin; Levinta, Georgiana; Chatzipetrou, Panagiota</t>
  </si>
  <si>
    <t xml:space="preserve">Spotify Guilds</t>
  </si>
  <si>
    <t xml:space="preserve">[Smite, Darja] Blekinge Inst Technol, Software Engn, Karlskrona, Sweden; [Smite, Darja] SINTEF ICT, Trondheim, Norway; [Moe, Nils Brede] SINTEF, Trondheim, Norway; [Floryan, Marcin] Spotify, Engn, Stockholm, Sweden; [Levinta, Georgiana] Spotify, Stockholm, Sweden; [Chatzipetrou, Panagiota] Orebro Univ, Orebro, Sweden</t>
  </si>
  <si>
    <t xml:space="preserve">Blekinge Institute Technology; SINTEF; SINTEF; Spotify; Spotify; Orebro University</t>
  </si>
  <si>
    <t xml:space="preserve">Smite, D (corresponding author), Blekinge Inst Technol, Software Engn, Karlskrona, Sweden.;Smite, D (corresponding author), SINTEF ICT, Trondheim, Norway.</t>
  </si>
  <si>
    <t xml:space="preserve">darja.smite@bth.se; Nils.B.Moo@sintel.no; mfloryan@spotify.com; georgiana@spotify.com; pchatzip@gmail.com</t>
  </si>
  <si>
    <t xml:space="preserve">Floryan, Marcin/0000-0001-6136-229X</t>
  </si>
  <si>
    <t xml:space="preserve">10.1145/3343146</t>
  </si>
  <si>
    <t xml:space="preserve">OH4YT</t>
  </si>
  <si>
    <t xml:space="preserve">WOS:000582584200021</t>
  </si>
  <si>
    <t xml:space="preserve">Ding, JG; Qammar, A; Zhang, ZM; Karim, A; Ning, HS</t>
  </si>
  <si>
    <t xml:space="preserve">Ding, Jianguo; Qammar, Attia; Zhang, Zhimin; Karim, Ahmad; Ning, Huansheng</t>
  </si>
  <si>
    <t xml:space="preserve">Cyber Threats to Smart Grids: Review, Taxonomy, Potential Solutions, and Future Directions</t>
  </si>
  <si>
    <t xml:space="preserve">smart grids; cybersecurity; vulnerabilities; cyberattacks; blockchain; artificial intelligence</t>
  </si>
  <si>
    <t xml:space="preserve">DATA INJECTION ATTACKS; LOAD-ALTERING ATTACK; CLASSIFICATION APPROACH; INTRUSION DETECTION; ANOMALY DETECTION; POWER-SYSTEMS; SECURITY; DEEP; AUTHENTICATION; IDENTIFICATION</t>
  </si>
  <si>
    <t xml:space="preserve">Smart Grids (SGs) are governed by advanced computing, control technologies, and networking infrastructure. However, compromised cybersecurity of the smart grid not only affects the security of existing energy systems but also directly impacts national security. The increasing number of cyberattacks against the smart grid urgently necessitates more robust security protection technologies to maintain the security of the grid system and its operations. The purpose of this review paper is to provide a thorough understanding of the incumbent cyberattacks' influence on the entire smart grid ecosystem. In this paper, we review the various threats in the smart grid, which have two core domains: the intrinsic vulnerability of the system and the external cyberattacks. Similarly, we analyze the vulnerabilities of all components of the smart grid (hardware, software, and data communication), data management, services and applications, running environment, and evolving and complex smart grids. A structured smart grid architecture and global smart grid cyberattacks with their impact from 2010 to July 2022 are presented. Then, we investigated the the thematic taxonomy of cyberattacks on smart grids to highlight the attack strategies, consequences, and related studies analyzed. In addition, potential cybersecurity solutions to smart grids are explained in the context of the implementation of blockchain and Artificial Intelligence (AI) techniques. Finally, technical future directions based on the analysis are provided against cyberattacks on SGs.</t>
  </si>
  <si>
    <t xml:space="preserve">[Ding, Jianguo] Blekinge Inst Technol, Dept Comp Sci, S-37179 Karlskrona, Sweden; [Qammar, Attia; Zhang, Zhimin; Ning, Huansheng] Univ Sci &amp; Technol Beijing, Sch Comp &amp; Commun Engn, Beijing 100083, Peoples R China; [Karim, Ahmad] Bahauddin Zakariya Univ, Dept Informat Technol, Multan 60000, Pakistan</t>
  </si>
  <si>
    <t xml:space="preserve">Blekinge Institute Technology; University of Science &amp; Technology Beijing; Bahauddin Zakariya University</t>
  </si>
  <si>
    <t xml:space="preserve">jianguo.ding@bth.se</t>
  </si>
  <si>
    <t xml:space="preserve">Ding, Jianguo/0000-0002-8927-0968; Ning, Huansheng/0000-0001-6413-193X; Zhang, Zhimin/0000-0002-9065-8724</t>
  </si>
  <si>
    <t xml:space="preserve">European Union-The Internal Security Fund (ISF) [A431.678/2016]</t>
  </si>
  <si>
    <t xml:space="preserve">European Union-The Internal Security Fund (ISF)</t>
  </si>
  <si>
    <t xml:space="preserve">These materials are a result of research supported by The European Union-The Internal Security Fund (ISF), A431.678/2016.</t>
  </si>
  <si>
    <t xml:space="preserve">10.3390/en15186799</t>
  </si>
  <si>
    <t xml:space="preserve">4T6KW</t>
  </si>
  <si>
    <t xml:space="preserve">WOS:000858224500001</t>
  </si>
  <si>
    <t xml:space="preserve">Flyborg, J; Renvert, S; Berglund, JS; Anderberg, P</t>
  </si>
  <si>
    <t xml:space="preserve">Flyborg, Johan; Renvert, Stefan; Berglund, Johan Sanmartin; Anderberg, Peter</t>
  </si>
  <si>
    <t xml:space="preserve">Use of a powered toothbrush to improve oral health in individuals with mild cognitive impairment</t>
  </si>
  <si>
    <t xml:space="preserve">GERODONTOLOGY</t>
  </si>
  <si>
    <t xml:space="preserve">QUALITY-OF-LIFE; GLOBAL PREVALENCE; DENTAL-HEALTH; DEMENTIA; PLAQUE; DENTITION; PEOPLE</t>
  </si>
  <si>
    <t xml:space="preserve">Objectives The aim of the study is to investigate whether the use of a powered toothbrush could maintain oral health by reducing the dental plaque (PI), bleeding on probing (BOP), and periodontal pocket depth (PPD) &gt;= 4 mm in a group of individuals with MCI and also if changes in oral health affect various aspects of quality of life. Background People with cognitive impairment tend to have poor oral hygiene and poorer Quality of life. In the present study, the participants were asked to use a powered toothbrush for at least 2 min morning and evening and no restrictions were given against the use of other oral care products. The participant survey conducted at each examination demonstrated that 61.2% of participants at baseline claimed to have experience of using a powered toothbrush, 95.4% at 6 months and 95% after 12 months. At the same time, the use of manual toothbrushes dropped from 73.3% to 44.7% from baseline to the 12-month check-up. This shows that several participants continue to use the manual toothbrush in parallel with the powered toothbrush, but that there is a shift towards increased use of the powered toothbrush. Removal of dental biofilm is essential for maintaining good oral health. We investigated whether using a powered toothbrush reduces the presence of dental plaque, bleeding on probing and periodontal pockets &gt;= 4 mm in a group of older individuals with mild cognitive impairment. Materials and methods Two hundred and thirteen individuals with the mean age of 75.3 years living without official home care and with a Mini-Mental State Examination (MMSE) score between 20 and 28 and a history of memory problems in the previous six months were recruited from the Swedish site of a multicenter project, Support Monitoring And Reminder Technology for Mild Dementia (SMART4MD) and screened for the study. The individuals received a powered toothbrush and thorough instructions on how to use it. Clinical oral examinations and MMSE tests were conducted at baseline, 6 and 12 months. Results One hundred seventy participants, 36.5% women and 63.5% men, completed a 12-month follow-up. The use of a powered toothbrush resulted, for the entire group, in a significant decrease in plaque index from 41% at baseline to 31.5% after 12 months (P &lt; .000). Within the same time frame, the values for bleeding on probing changed from 15.1% to 9.9% (P &lt; .000) and the percentage of probing pocket depths &gt;= 4 mm from 11.5% to 8.2% (P &lt; .004). The observed improvements in the Oral Health Impact Profile 14 correlate with the clinical improvements of oral health. Conclusion The use of a powered toothbrush was associated with a reduction of PI, BOP and PPD over 12 months even among individuals with low or declining MMSE score. An adequately used powered toothbrush maintain factors that affect oral health and oral health-related Quality of Life in people with mild cognitive impairment.</t>
  </si>
  <si>
    <t xml:space="preserve">[Flyborg, Johan; Renvert, Stefan; Berglund, Johan Sanmartin; Anderberg, Peter] Blekinge Inst Technol, Dept Hlth, Karlskrona, Sweden; [Renvert, Stefan] Univ Kristianstad, Dept Oral Hlth Sci, Kristianstad, Sweden; [Anderberg, Peter] Univ Skovde, Sch Hlth Sci, Skovde, Sweden</t>
  </si>
  <si>
    <t xml:space="preserve">Blekinge Institute Technology; Kristianstad University; University of Skovde</t>
  </si>
  <si>
    <t xml:space="preserve">Renvert, Stefan/AAM-2415-2020; Sanmartin Berglund, Johan/HGB-0471-2022; Flyborg, Johan/AFD-8306-2022; Anderberg, Peter/B-5541-2012</t>
  </si>
  <si>
    <t xml:space="preserve">This study was supported with grants from the Blekinge Institute of Technology and Kristianstad University. The powered toothbrushes were generously provided by Proctor &amp; Gamble.</t>
  </si>
  <si>
    <t xml:space="preserve">0734-0664</t>
  </si>
  <si>
    <t xml:space="preserve">1741-2358</t>
  </si>
  <si>
    <t xml:space="preserve">Gerodontology</t>
  </si>
  <si>
    <t xml:space="preserve">2022 JAN 22</t>
  </si>
  <si>
    <t xml:space="preserve">10.1111/ger.12619</t>
  </si>
  <si>
    <t xml:space="preserve">Dentistry, Oral Surgery &amp; Medicine; Geriatrics &amp; Gerontology</t>
  </si>
  <si>
    <t xml:space="preserve">YK8PH</t>
  </si>
  <si>
    <t xml:space="preserve">WOS:000745467500001</t>
  </si>
  <si>
    <t xml:space="preserve">Ramos, LP; Campos, AB; Schwartz, C; Duarte, LT; Alves, DI; Pettersson, MI; Vu, VT; Machado, R</t>
  </si>
  <si>
    <t xml:space="preserve">Ramos, Lucas P.; Campos, Alexandre B.; Schwartz, Christofer; Duarte, Leonardo T.; Alves, Dimas I.; Pettersson, Mats I.; Vu, Viet T.; Machado, Renato</t>
  </si>
  <si>
    <t xml:space="preserve">A Wavelength-Resolution SAR Change Detection Method Based on Image Stack through Robust Principal Component Analysis</t>
  </si>
  <si>
    <t xml:space="preserve">synthetic aperture radar; CARABAS-II; change detection; blind source separation; robust principal component analysis</t>
  </si>
  <si>
    <t xml:space="preserve">Recently, it was demonstrated that low-frequency wavelength-resolution synthetic aperture radar (SAR) images could be considered to follow an additive mixing model due to their backscatter characteristics. This simplification allows for the use of source separation methods, such as robust principal component analysis (RPCA) via principal component pursuit (PCP), for detecting changes in those images. In this manuscript, a change detection method for wavelength-resolution SAR images based on image stack through RPCA is proposed. The method aims to explore both the temporal and flight heading diversity of a set of wavelength-resolution multitemporal SAR images in order to detect concealed targets in forestry areas. A heuristic based on three rules for better exploring the RPCA results is introduced, and a new configurable parameter for false alarm reduction based on the analysis of image windows is proposed. The method is evaluated using real data obtained from measurements of the ultrawideband (UWB) very high-frequency (VHF) SAR system CARABAS-II. Experiments for stacks of four and seven reference images are conducted, and the use of reference images acquired with different flight headings is explored. The results indicate that a gain in performance can be achieved by using large image stacks containing, at least, one image of each possible flight heading of the data set, which can result in a probability of detection (PD) above 99% for a false alarm rate (FAR) as low as one false alarm per three square kilometers. Furthermore, it is demonstrated that high PD and low FAR can be achieved, also considering images from similar flight headings as reference images.</t>
  </si>
  <si>
    <t xml:space="preserve">[Ramos, Lucas P.; Campos, Alexandre B.; Schwartz, Christofer; Machado, Renato] Aeronaut Inst Technol ITA, Div Elect Engn, BR-12228900 Sao Jose Dos Campos, SP, Brazil; [Duarte, Leonardo T.] Univ Campinas UNICAMP, Sch Appl Sci FCA, BR-13484350 Limeira, SP, Brazil; [Alves, Dimas I.] Fed Univ Pampa UNIPAMPA, BR-97546550 Alegrete, RS, Brazil; [Pettersson, Mats I.; Vu, Viet T.] Blekinge Inst Technol BTH, Dept Math &amp; Nat Sci, S-37179 Karlskrona, Sweden</t>
  </si>
  <si>
    <t xml:space="preserve">Universidade Estadual de Campinas; Universidade Federal do Pampa; Blekinge Institute Technology</t>
  </si>
  <si>
    <t xml:space="preserve">Ramos, LP (corresponding author), Aeronaut Inst Technol ITA, Div Elect Engn, BR-12228900 Sao Jose Dos Campos, SP, Brazil.</t>
  </si>
  <si>
    <t xml:space="preserve">lucaspr@ieee.org; beckercampos@ieee.org; christofer@ieee.org; leonardo.duarte@fca.unicamp.br; dimasalves@unipampa.edu.br; mats.pettersson@bth.se; viet.thuy.vu@bth.se; rmachado@ita.br</t>
  </si>
  <si>
    <t xml:space="preserve">Tomazeli Duarte, Leonardo/N-4806-2015; Irion Alves, Dimas/AAY-4651-2021; Machado, Renato/P-8515-2018; Vu, Viet/JDW-0738-2023; Ramos, Lucas/ABF-6724-2020; Becker Campos, Alexandre/ABC-9953-2021; Pettersson, Mats/N-1063-2016</t>
  </si>
  <si>
    <t xml:space="preserve">Schwartz, Christofer/0000-0002-1405-4718; Irion Alves, Dimas/0000-0002-5443-6446; Pedroso Ramos, Lucas/0000-0001-9267-6718; Tomazeli Duarte, Leonardo/0000-0003-0290-0080; Becker Campos, Alexandre/0000-0001-6860-8272; Pettersson, Mats/0000-0002-6643-312X; Machado, Renato/0000-0003-0856-5391</t>
  </si>
  <si>
    <t xml:space="preserve">Coordenacao de Aperfeicoamento de Pessoal de Nivel Superior-Brazil (CAPES-Brazil) [001, 88887.474585/2020-00]; Conselho Nacional de Desenvolvimento Cientifico e Tecnologico (CNPq-Brazil) [311357/2017-2]</t>
  </si>
  <si>
    <t xml:space="preserve">Coordenacao de Aperfeicoamento de Pessoal de Nivel Superior-Brazil (CAPES-Brazil)(Coordenacao de Aperfeicoamento de Pessoal de Nivel Superior (CAPES)); Conselho Nacional de Desenvolvimento Cientifico e Tecnologico (CNPq-Brazil)(Conselho Nacional de Desenvolvimento Cientifico e Tecnologico (CNPQ))</t>
  </si>
  <si>
    <t xml:space="preserve">This study was financed in part by the Coordenacao de Aperfeicoamento de Pessoal de Nivel Superior-Brazil (CAPES-Brazil)-Finance Code 001 (Pro-Defesa IV) and through the scholarship grant 88887.474585/2020-00. The authors also thank the Conselho Nacional de Desenvolvimento Cientifico e Tecnologico (CNPq-Brazil) for partial financial support, grant 311357/2017-2 (Corresponding author L.T.D.).</t>
  </si>
  <si>
    <t xml:space="preserve">10.3390/rs13050833</t>
  </si>
  <si>
    <t xml:space="preserve">QW2QL</t>
  </si>
  <si>
    <t xml:space="preserve">WOS:000628499600001</t>
  </si>
  <si>
    <t xml:space="preserve">Smite, D; Mikalsen, M; Moe, NB; Stray, V; Klotins, E</t>
  </si>
  <si>
    <t xml:space="preserve">Gregory, P; Lassenius, C; Wang, X; Kruchten, P</t>
  </si>
  <si>
    <t xml:space="preserve">Smite, Darja; Mikalsen, Marius; Moe, Nils Brede; Stray, Viktoria; Klotins, Eriks</t>
  </si>
  <si>
    <t xml:space="preserve">From Collaboration to Solitude and Back: Remote Pair Programming During COVID-19</t>
  </si>
  <si>
    <t xml:space="preserve">AGILE PROCESSES IN SOFTWARE ENGINEERING AND EXTREME PROGRAMMING (XP 2021)</t>
  </si>
  <si>
    <t xml:space="preserve">COVID-19; WFH; Remote; Distributed; Pair programming; Agile</t>
  </si>
  <si>
    <t xml:space="preserve">Along with the increasing popularity of agile software development, software work has become much more social than ever. Contemporary software teams rely on a variety of collaborative practices, such as pair programming, the topic of our study. Many agilists advocated the importance of collocation, face-to-face interaction, and physical artefacts incorporated in the shared workspace, which the COVID-19 pandemic made unavailable; most software companies around the world were forced to send their engineers to work from home. As software projects and teams overnight turned into distributed collaborations, we question what happened to the pair programming practice in the work-from-home mode. This paper reports on a longitudinal study of remote pair programming in two companies. We conducted 38 interviews with 30 engineers from Norway, Sweden, and the USA, and used the results of a survey in one of the case companies. Our study is unique as we collected the data longitudinally in April/May 2020, Sep/Oct 2020, and Jan/Feb 2021. We found that pair programming has decreased and some interviewees report not pairing at all for almost a full year. The experiences of those who paired vary from actively co-editing the code by using special tools to more passively co-reading and discussing the code and solutions by sharing the screen. Finally, we found that the interest in and the use of PP over time, since the first months of the forced work from home to early 2021, has admittedly increased, also as a social practice.</t>
  </si>
  <si>
    <t xml:space="preserve">[Smite, Darja; Moe, Nils Brede; Klotins, Eriks] Blekinge Inst Technol, Karlskrona, Sweden; [Smite, Darja; Mikalsen, Marius; Moe, Nils Brede; Stray, Viktoria] SINTEF, Trondheim, Norway; [Mikalsen, Marius] Norwegian Univ Sci &amp; Technol, Trondheim, Norway; [Stray, Viktoria] Univ Oslo, Oslo, Norway</t>
  </si>
  <si>
    <t xml:space="preserve">Blekinge Institute Technology; SINTEF; Norwegian University of Science &amp; Technology (NTNU); University of Oslo</t>
  </si>
  <si>
    <t xml:space="preserve">darja.smite@bth.se; marius.mikalsen@sintef.no; nils.b.moe@bth.se; viktoria.stray@sintef.no; eriks.klotins@bth.se</t>
  </si>
  <si>
    <t xml:space="preserve">Moe, Nils/AAD-8183-2021; Stray, Viktoria/E-9563-2016; Mikalsen, Marius/AAR-1025-2020</t>
  </si>
  <si>
    <t xml:space="preserve">Swedish Knowledge Foundation [2019/0087]; Research Council of Norway [309344]</t>
  </si>
  <si>
    <t xml:space="preserve">This research is funded by the Swedish Knowledge Foundation within the ScaleWise project (KK-Hog grant 2019/0087) and the S.E.R.T. research profile project, and the Research Council of Norway through the 10xTeams project (grant 309344).</t>
  </si>
  <si>
    <t xml:space="preserve">978-3-030-78098-2; 978-3-030-78097-5</t>
  </si>
  <si>
    <t xml:space="preserve">10.1007/978-3-030-78098-2_1</t>
  </si>
  <si>
    <t xml:space="preserve">BS4ZT</t>
  </si>
  <si>
    <t xml:space="preserve">WOS:000724675400001</t>
  </si>
  <si>
    <t xml:space="preserve">Ramos, LP; Alves, DI; Duarte, LT; Machado, R; Pettersson, MI; Vu, VT; Dammert, P</t>
  </si>
  <si>
    <t xml:space="preserve">Ramos, Lucas P.; Alves, Dimas I.; Duarte, Leonardo T.; Machado, Renato; Pettersson, Mats I.; Vu, Viet T.; Dammert, Patrik</t>
  </si>
  <si>
    <t xml:space="preserve">Change Detection in Wavelength-Resolution SAR Image Stack Based on Tensor Robust PCA</t>
  </si>
  <si>
    <t xml:space="preserve">Tensors; Radar polarimetry; Synthetic aperture radar; Principal component analysis; Surveillance; Electron tubes; Convex functions; Change detection (CD); coherent all radio band sensing (CARABAS)-II; synthetic aperture radar (SAR); tensor robust PCA</t>
  </si>
  <si>
    <t xml:space="preserve">Wavelength-resolution (WR) synthetic aperture radar (SAR) change detection (CD) has been used to detect concealed targets in forestry areas. However, most proposed methods are generally based on matrix or vector analyses and, therefore, do not exploit information embedded in multidimensional data. In this letter, a CD method for WR SAR image stacks based on tensor robust principal component analysis (TRPCA) is proposed. The proposed CD method used the new tensor nuclear norm (TNN) induced by the definition of the tensor-tensor product to exploit temporal and spatial information contained in the image stack. To assess the performance of the proposed method, we considered SAR images obtained by the very high-frequency (VHF) WR coherent all radio band sensing (CARABAS)-II SAR system. Experiments for three different stack sizes show that a significant performance gain can be achieved when large image stacks are considered. The proposed CD method performs better in terms of probability of detection (PD) and false alarm rate (FAR) than the other five CD methods in VHF WR SAR images, including one based on matrix robust principal component analysis (RPCA). In a particular setting, it achieves a PD of 99% and an FAR of 0.028 false alarms (FAs) per km2.</t>
  </si>
  <si>
    <t xml:space="preserve">[Ramos, Lucas P.] Aeronaut Inst Technol, Dept Telecommun, BR-12228900 Sao Jose Dos Campos, Brazil; [Ramos, Lucas P.] Blekinge Inst Technol, Dept Math &amp; Nat Sci, S-37179 Karlskrona, Sweden; [Alves, Dimas I.; Machado, Renato] Aeronaut Inst Technol, Dept Telecommun, BR-12228900 Sao Jose Dos Campos, Brazil; [Duarte, Leonardo T.] Univ Estadual Campinas, Sch Appl Sci, BR-13484350 Limeira, Brazil; [Pettersson, Mats I.; Vu, Viet T.] Blekinge Inst Technol, Dept Math &amp; Nat Sci, S-37179 Karlskrona, Sweden; [Dammert, Patrik] Saab AB, Saab Surveillance, S-41289 Gothenburg, Sweden</t>
  </si>
  <si>
    <t xml:space="preserve">Blekinge Institute Technology; Universidade Estadual de Campinas; Blekinge Institute Technology; Saab Group</t>
  </si>
  <si>
    <t xml:space="preserve">Ramos, LP (corresponding author), Aeronaut Inst Technol, Dept Telecommun, BR-12228900 Sao Jose Dos Campos, Brazil.</t>
  </si>
  <si>
    <t xml:space="preserve">lucaspr@ita.br; dimasirion@ita.br; leonardo.duarte@fca.unicamp.br; rmachado@ita.br; mats.pettersson@bth.se; viet.thuy.vu@bth.se; patrik.dammert@saabgroup.com</t>
  </si>
  <si>
    <t xml:space="preserve">Machado, Renato/0000-0003-0856-5391; Dammert, Patrik/0000-0002-7339-849X; Tomazeli Duarte, Leonardo/0000-0003-0290-0080; Irion Alves, Dimas/0000-0002-5443-6446; Pedroso Ramos, Lucas/0000-0001-9267-6718; Pettersson, Mats/0000-0002-6643-312X</t>
  </si>
  <si>
    <t xml:space="preserve">Brazilian National Council for Scientific and Technological Development (CNPq); Ministry of Science, Technology and Innovation (MCTI); Swedish-Brazilian Research and Innovation Centre (CISB); Saab AB; Coordination for the Improvement of HigherEducation Personnel (CAPES); Sao Paulo Research Foundation (FAPESP) (BI0S-Brazilian Institute of Data Science) [2020/09838-0]</t>
  </si>
  <si>
    <t xml:space="preserve">Brazilian National Council for Scientific and Technological Development (CNPq)(Conselho Nacional de Desenvolvimento Cientifico e Tecnologico (CNPQ)); Ministry of Science, Technology and Innovation (MCTI); Swedish-Brazilian Research and Innovation Centre (CISB); Saab AB; Coordination for the Improvement of HigherEducation Personnel (CAPES)(Coordenacao de Aperfeicoamento de Pessoal de Nivel Superior (CAPES)); Sao Paulo Research Foundation (FAPESP) (BI0S-Brazilian Institute of Data Science)(Fundacao de Amparo a Pesquisa do Estado de Sao Paulo (FAPESP))</t>
  </si>
  <si>
    <t xml:space="preserve">This work was supported in part by the Brazilian National Council for Scientific and Technological Development (CNPq),in part by the Ministry of Science, Technology and Innovation (MCTI), in part by the Swedish-Brazilian Research and Innovation Centre (CISB), in part by Saab AB, in part by the Coordination for the Improvement of HigherEducation Personnel (CAPES) (Pro-Defesa IV), and in part by Sao Paulo Research Foundation (FAPESP) (BI0S-Brazilian Institute of Data Science) under Grant 2020/09838-0.</t>
  </si>
  <si>
    <t xml:space="preserve">10.1109/LGRS.2024.3431683</t>
  </si>
  <si>
    <t xml:space="preserve">E1X5A</t>
  </si>
  <si>
    <t xml:space="preserve">WOS:001301004100001</t>
  </si>
  <si>
    <t xml:space="preserve">Skär, L; Borg, C; Emtner, M; Ekström, M</t>
  </si>
  <si>
    <t xml:space="preserve">Skar, Lisa; Borg, Christel; Emtner, Margareta; Ekstrom, Magnus</t>
  </si>
  <si>
    <t xml:space="preserve">Thoughts on the end of life in patients with oxygen-dependent chronic obstructive pulmonary disease: A qualitative interview study</t>
  </si>
  <si>
    <t xml:space="preserve">PALLIATIVE CARE; COPD; EXPERIENCES; ENCOUNTERS; SYMPTOMS; THERAPY; DEATH</t>
  </si>
  <si>
    <t xml:space="preserve">Aim: The aim of the study was to deepen the current knowledge of how patients with chronic obstructive pulmonary disease and long-term oxygen treatment think about and expect end-of-life. Design: A qualitative design was used. Methods: A purposeful sample of 19 patients with oxygen-dependent chronic obstructive pulmonary disease was obtained from the Swedish National Registry on Respiratory Failure (Swedevox). Data was collected with semi-structured interviews and analysed using a hermeneutic approach. Results: The analysis revealed three themes: Living in the present without a future; difficulty talking about the uncertainty; and feeling anxious about leaving family behind. Participants indicated that healthcare professionals should invite them to mutual discussions as it was easier to reject an invitation if they could not talk right then, than to initiate a discussion themselves. Start of home oxygen or a deteriorating health status may be an important time to clinically address existential and end-of-life issues.</t>
  </si>
  <si>
    <t xml:space="preserve">[Skar, Lisa; Borg, Christel] Blekinge Inst Technol, Dept Hlth, SE-37179 Karlskrona, Sweden; [Emtner, Margareta] Uppsala Univ, Dept Med Sci Resp Allergy &amp; Sleep Res, Uppsala, Sweden; [Ekstrom, Magnus] Lund Univ, Fac Med, Dept Clin Sci Lund, Resp Med &amp; Allergol, Lund, Sweden</t>
  </si>
  <si>
    <t xml:space="preserve">Emtner, Margareta/0000-0003-1308-105X; Ekstrom, Magnus/0000-0002-7227-5113; Skar, Lisa/0000-0002-5731-2799</t>
  </si>
  <si>
    <t xml:space="preserve">10.1002/nop2.1463</t>
  </si>
  <si>
    <t xml:space="preserve">9T8RE</t>
  </si>
  <si>
    <t xml:space="preserve">WOS:000879079900001</t>
  </si>
  <si>
    <t xml:space="preserve">Juuso, P; Skär, L; Söderberg, S</t>
  </si>
  <si>
    <t xml:space="preserve">Juuso, Paeivi; Skar, Lisa; Soderberg, Siv</t>
  </si>
  <si>
    <t xml:space="preserve">Recovery despite everyday pain: Women's experiences of living with whiplash-associated disorder</t>
  </si>
  <si>
    <t xml:space="preserve">MUSCULOSKELETAL CARE</t>
  </si>
  <si>
    <t xml:space="preserve">nursing; qualitative research; whiplash-associated disorder; women's health</t>
  </si>
  <si>
    <t xml:space="preserve">SAMPLE-SIZE; TASK-FORCE; NECK PAIN; LIFE; SYMPTOMS; MEANINGS; BELIEFS; FAMILY; INJURY; NEEDS</t>
  </si>
  <si>
    <t xml:space="preserve">Introduction Living with whiplash-associated disorders (WAD) means living every day under the influence of pain and limitations. As the incidence of WAD and the related intensity of pain are somewhat higher among women than men, the aim of the present study was to describe women's experiences of living with WAD. Methods A purposive sample of seven women participated in individual in-depth qualitative interviews, the transcripts of which were subjected to qualitative content analysis. Results The results of the analysis suggested six themes of women's experiences with WAD: living with unpredictable pain; trying to manage the pain; living with limitations; being unable to work as before; needing support and understanding; and learning to live with limitations. The findings showed that unpredictable pain limited women's strength to engage in activities of daily life and be as active as before. Support and understanding were important for their ability to manage changes in their daily lives. Conclusions Pain considerably affects the daily lives of women with WAD, particularly by limiting their ability to perform activities and to enjoy their professional and social lives. As women with WAD need support with managing their daily lives, nurses and other healthcare personnel should adopt a person-centred approach, in order to support such women according to their individual needs and circumstances.</t>
  </si>
  <si>
    <t xml:space="preserve">[Juuso, Paeivi] Lulea Univ Technol, Dept Hlth Sci, Div Nursing, SE-97187 Lulea, Sweden; [Skar, Lisa] Blekinge Inst Technol, Dept Hlth, Karlskrona, Sweden; [Soderberg, Siv] Mid Sweden Univ, Dept Nursing Sci, Ostersund, Sweden</t>
  </si>
  <si>
    <t xml:space="preserve">Juuso, P (corresponding author), Lulea Univ Technol, Dept Hlth Sci, Div Nursing, SE-97187 Lulea, Sweden.</t>
  </si>
  <si>
    <t xml:space="preserve">paivi.juuso@ltu.se</t>
  </si>
  <si>
    <t xml:space="preserve">Juuso, Paivi/0000-0002-7388-069X</t>
  </si>
  <si>
    <t xml:space="preserve">1478-2189</t>
  </si>
  <si>
    <t xml:space="preserve">1557-0681</t>
  </si>
  <si>
    <t xml:space="preserve">MUSCULOSKELET CARE</t>
  </si>
  <si>
    <t xml:space="preserve">Musculoskelet. Care</t>
  </si>
  <si>
    <t xml:space="preserve">10.1002/msc.1434</t>
  </si>
  <si>
    <t xml:space="preserve">Rheumatology</t>
  </si>
  <si>
    <t xml:space="preserve">KS5GS</t>
  </si>
  <si>
    <t xml:space="preserve">WOS:000506259700001</t>
  </si>
  <si>
    <t xml:space="preserve">Javeed, A; Anderberg, P; Saleem, MA; Ghazi, AN; Berglund, JS</t>
  </si>
  <si>
    <t xml:space="preserve">Javeed, Ashir; Anderberg, Peter; Saleem, Muhammad Asim; Ghazi, Ahmad Nauman; Berglund, Johan Sanmartin</t>
  </si>
  <si>
    <t xml:space="preserve">Unveiling Cancer: A Data-Driven Approach for Early Identification and Prediction Using F-RUS-RF Model</t>
  </si>
  <si>
    <t xml:space="preserve">INTERNATIONAL JOURNAL OF IMAGING SYSTEMS AND TECHNOLOGY</t>
  </si>
  <si>
    <t xml:space="preserve">artificial intelligence; cancer; convolutional neural network; deep learning; medical imaging</t>
  </si>
  <si>
    <t xml:space="preserve">CARE; POPULATION; RECORDS</t>
  </si>
  <si>
    <t xml:space="preserve">Globally, cancer is the second-leading cause of death after cardiovascular disease. To improve survival rates, risk factors and cancer predictors must be identified early. From the literature, researchers have developed several kinds of machine learning-based diagnostic systems for early cancer prediction. This study presented a diagnostic system that can identify the risk factors linked to the onset of cancer in order to anticipate cancer early. The newly constructed diagnostic system consists of two modules: the first module relies on a statistical F-score method to rank the variables in the dataset, and the second module deploys the random forest (RF) model for classification. Using a genetic algorithm, the hyperparameters of the RF model were optimized for improved accuracy. A dataset including 10 765 samples with 74 variables per sample was gathered from the Swedish National Study on Aging and Care (SNAC). The acquired dataset has a bias issue due to the extreme imbalance between the classes. In order to address this issue and prevent bias in the newly constructed model, we balanced the classes using a random undersampling strategy. The model's components are integrated into a single unit called F-RUS-RF. With a sensitivity of 92.25% and a specificity of 85.14%, the F-RUS-RF model achieved the highest accuracy of 86.15%, utilizing only six highly ranked variables according to the statistical F-score approach. We can lower the incidence of cancer in the aging population by addressing the risk factors for cancer that the F-RUS-RF model found.</t>
  </si>
  <si>
    <t xml:space="preserve">[Javeed, Ashir; Anderberg, Peter; Berglund, Johan Sanmartin] Blekinge Inst Technol, Dept Hlth, Karlskrona, Blekinge, Sweden; [Anderberg, Peter] Univ Skovde, Sch Hlth Sci, Skovde, Sweden; [Saleem, Muhammad Asim] Chulalongkorn Univ, Ctr Excellence Artificial Intelligence Machine Lea, Bangkok, Thailand; [Ghazi, Ahmad Nauman] Blekinge Inst Technol, Dept Software Engn, Karlskrona, Blekinge, Sweden</t>
  </si>
  <si>
    <t xml:space="preserve">Blekinge Institute Technology; University of Skovde; Chulalongkorn University; Blekinge Institute Technology</t>
  </si>
  <si>
    <t xml:space="preserve">Javeed, A; Anderberg, P (corresponding author), Blekinge Inst Technol, Dept Hlth, Karlskrona, Blekinge, Sweden.;Anderberg, P (corresponding author), Univ Skovde, Sch Hlth Sci, Skovde, Sweden.</t>
  </si>
  <si>
    <t xml:space="preserve">ashir.javeed@bth.se; peter.anderberg@bth.se</t>
  </si>
  <si>
    <t xml:space="preserve">Sanmartin Berglund, Johan/HGB-0471-2022; Anderberg, Peter/B-5541-2012; Saleem, Dr. Muhammad Asim/W-5210-2019; Ghazi, Ahmad Nauman/R-1982-2016</t>
  </si>
  <si>
    <t xml:space="preserve">Anderberg, Peter/0000-0001-9870-8477; Saleem, Dr. Muhammad Asim/0000-0003-2709-5508; Ghazi, Ahmad Nauman/0000-0001-9336-4361; javeed, ashir/0000-0003-4190-3532; Berglund, Johan/0000-0003-4312-2246</t>
  </si>
  <si>
    <t xml:space="preserve">Blekinge Tekniska Hgskola; Swedish National Study on Aging and Care</t>
  </si>
  <si>
    <t xml:space="preserve">This research is being carried out with the assistance of the Swedish National Study on Aging and Care. SNAC contributed the electronic health record (EHR) data for this study. This study is being conducted at the Blekinge Institute of Technology's Health Department.</t>
  </si>
  <si>
    <t xml:space="preserve">0899-9457</t>
  </si>
  <si>
    <t xml:space="preserve">1098-1098</t>
  </si>
  <si>
    <t xml:space="preserve">INT J IMAG SYST TECH</t>
  </si>
  <si>
    <t xml:space="preserve">Int. J. Imaging Syst. Technol.</t>
  </si>
  <si>
    <t xml:space="preserve">e23221</t>
  </si>
  <si>
    <t xml:space="preserve">10.1002/ima.23221</t>
  </si>
  <si>
    <t xml:space="preserve">Engineering, Electrical &amp; Electronic; Optics; Imaging Science &amp; Photographic Technology</t>
  </si>
  <si>
    <t xml:space="preserve">Engineering; Optics; Imaging Science &amp; Photographic Technology</t>
  </si>
  <si>
    <t xml:space="preserve">O3N0K</t>
  </si>
  <si>
    <t xml:space="preserve">WOS:001370225400001</t>
  </si>
  <si>
    <t xml:space="preserve">Moe, NB; Stray, V; Smite, D; Mikalsen, M</t>
  </si>
  <si>
    <t xml:space="preserve">Moe, Nils Brede; Stray, Viktoria; Smite, Darja; Mikalsen, Marius</t>
  </si>
  <si>
    <t xml:space="preserve">Attractive Workplaces: What Are Engineers Looking for?</t>
  </si>
  <si>
    <t xml:space="preserve">Companies; Software; Market research; Teamwork; Remote working; Surveys; Pandemics</t>
  </si>
  <si>
    <t xml:space="preserve">Competing for talents requires a conscious effort to offer an attractive workplace, which, until recently, involved increasing employee empowerment and engagement and offering opportunities for bottom-up innovation. Today, this is not sufficient, pushing tech companies to harmonize existing strategies with remote work.</t>
  </si>
  <si>
    <t xml:space="preserve">[Moe, Nils Brede; Stray, Viktoria; Smite, Darja; Mikalsen, Marius] SINTEF, N-9008 Tromso, Norway; [Stray, Viktoria] Univ Oslo, Software Engn &amp; Grp Leader, N-0317 Oslo, Norway; [Smite, Darja] Blekinge Inst Technol, SE-37179 Karlskrona, Sweden; [Mikalsen, Marius] Norwegian Univ Sci &amp; Technol, Informat Syst, N-9008 Tromso, Norway</t>
  </si>
  <si>
    <t xml:space="preserve">SINTEF; University of Oslo; Blekinge Institute Technology; Norwegian University of Science &amp; Technology (NTNU)</t>
  </si>
  <si>
    <t xml:space="preserve">Moe, NB (corresponding author), SINTEF, N-9008 Tromso, Norway.</t>
  </si>
  <si>
    <t xml:space="preserve">nilsm@sintef.no; stray@uio.no; darja.smite@bth.se; marius.mikalsen@ntnu.no</t>
  </si>
  <si>
    <t xml:space="preserve">Moe, Nils/AAD-8183-2021; Mikalsen, Marius/AAR-1025-2020; Stray, Viktoria/E-9563-2016</t>
  </si>
  <si>
    <t xml:space="preserve">Moe, Nils Brede/0000-0003-2669-0778; Stray, Viktoria/0000-0002-6032-2074; Mikalsen, Marius/0000-0003-0882-7427</t>
  </si>
  <si>
    <t xml:space="preserve">Research Council of Norway [309344]; companies Iterate, Zedge, and SpareBank 1 Utvikling</t>
  </si>
  <si>
    <t xml:space="preserve">Research Council of Norway(Research Council of Norway); companies Iterate, Zedge, and SpareBank 1 Utvikling</t>
  </si>
  <si>
    <t xml:space="preserve">This work was partially supported by the Research Council of Norway through the 10xTeams project (Grant 309344), and the companies Iterate, Zedge, and SpareBank 1 Utvikling.</t>
  </si>
  <si>
    <t xml:space="preserve">10.1109/MS.2023.3276929</t>
  </si>
  <si>
    <t xml:space="preserve">U5OQ1</t>
  </si>
  <si>
    <t xml:space="preserve">WOS:001085299800010</t>
  </si>
  <si>
    <t xml:space="preserve">Sillaber, C; Waltl, B; Treiblmaier, H; Gallersdörfer, U; Felderer, M</t>
  </si>
  <si>
    <t xml:space="preserve">Sillaber, Christian; Waltl, Bernhard; Treiblmaier, Horst; Gallersdoerfer, Ulrich; Felderer, Michael</t>
  </si>
  <si>
    <t xml:space="preserve">Laying the foundation for smart contract development: an integrated engineering process model</t>
  </si>
  <si>
    <t xml:space="preserve">INFORMATION SYSTEMS AND E-BUSINESS MANAGEMENT</t>
  </si>
  <si>
    <t xml:space="preserve">Smart contract; Development process model; Software engineering; Blockchain; Distributed ledger technology; Survey; Design science; Trustless append-only decentralized digital ledgers (TADDL)</t>
  </si>
  <si>
    <t xml:space="preserve">INFORMATION-SYSTEMS; SCIENCE RESEARCH; DESIGN SCIENCE; BLOCKCHAIN; BITCOIN; AGILE</t>
  </si>
  <si>
    <t xml:space="preserve">Smart contracts are seen as the major building blocks for future autonomous blockchain- and Distributed Ledger Technology (DLT)-based applications. Engineering such contracts for trustless, append-only, and decentralized digital ledgers allows mutually distrustful parties to transform legal requirements into immutable and formalized rules. Previous experience shows this to be a challenging task due to demanding socio-technical ecosystems and the specificities of decentralized ledger technology. In this paper, we therefore develop an integrated process model for engineering DLT-based smart contracts that accounts for the specificities of DLT. This model was iteratively refined with the support of industry experts. The model explicitly accounts for the immutability of the trustless, append-only, and decentralized DLT ecosystem, and thereby overcomes certain limitations of traditional software engineering process models. More specifically, it consists of five successive and closely intertwined phases: conceptualization, implementation, approval, execution, and finalization. For each phase, the respective activities, roles, and artifacts are identified and discussed in detail. Applying such a model when engineering smart contracts will help software engineers and developers to better understand and streamline the engineering process of DLTs in general and blockchain in particular. Furthermore, this model serves as a generic framework which will support application development in all fields in which DLT can be applied.</t>
  </si>
  <si>
    <t xml:space="preserve">[Sillaber, Christian; Felderer, Michael] Univ Innsbruck, Innsbruck, Austria; [Waltl, Bernhard; Gallersdoerfer, Ulrich] Tech Univ Munich, Munich, Germany; [Treiblmaier, Horst] MODUL Univ Vienna, Kahlenberg 1, A-1190 Vienna, Austria; [Felderer, Michael] Blekinge Inst Technol, Karlskrona, Sweden</t>
  </si>
  <si>
    <t xml:space="preserve">University of Innsbruck; Technical University of Munich; Blekinge Institute Technology</t>
  </si>
  <si>
    <t xml:space="preserve">Felderer, M (corresponding author), Univ Innsbruck, Innsbruck, Austria.;Felderer, M (corresponding author), Blekinge Inst Technol, Karlskrona, Sweden.</t>
  </si>
  <si>
    <t xml:space="preserve">horst.treiblmaier@modul.ac.at; michael.felderer@uibk.ac.at</t>
  </si>
  <si>
    <t xml:space="preserve">Treiblmaier, Horst/X-1282-2019; Felderer, Michael/AAF-4909-2020</t>
  </si>
  <si>
    <t xml:space="preserve">Treiblmaier, Horst/0000-0002-0755-5223</t>
  </si>
  <si>
    <t xml:space="preserve">Open access funding provided by University of Innsbruck and Medical University of Innsbruck.</t>
  </si>
  <si>
    <t xml:space="preserve">1617-9846</t>
  </si>
  <si>
    <t xml:space="preserve">1617-9854</t>
  </si>
  <si>
    <t xml:space="preserve">INF SYST E-BUS MANAG</t>
  </si>
  <si>
    <t xml:space="preserve">Inf. Syst. E-Bus. Manag.</t>
  </si>
  <si>
    <t xml:space="preserve">10.1007/s10257-020-00465-5</t>
  </si>
  <si>
    <t xml:space="preserve">XF4YU</t>
  </si>
  <si>
    <t xml:space="preserve">WOS:000516000200001</t>
  </si>
  <si>
    <t xml:space="preserve">Frattini, J; Montgomery, L; Fischbach, J; Unterkalmsteiner, M; Mendez, D; Fucci, D</t>
  </si>
  <si>
    <t xml:space="preserve">Knauss, E; Mussbacher, G; Arora, C; Bano, M; Schneider, JG</t>
  </si>
  <si>
    <t xml:space="preserve">Frattini, Julian; Montgomery, Lloyd; Fischbach, Jannik; Unterkalmsteiner, Michael; Mendez, Daniel; Fucci, Davide</t>
  </si>
  <si>
    <t xml:space="preserve">A Live Extensible Ontology of Quality Factors for Textual Requirements</t>
  </si>
  <si>
    <t xml:space="preserve">2022 30TH IEEE INTERNATIONAL REQUIREMENTS ENGINEERING CONFERENCE (RE 2022)</t>
  </si>
  <si>
    <t xml:space="preserve">30th IEEE International Requirements Engineering Conference (RE)</t>
  </si>
  <si>
    <t xml:space="preserve">AUG 15-19, 2022</t>
  </si>
  <si>
    <t xml:space="preserve">requirements engineering; requirements quality; quality factor; ontology</t>
  </si>
  <si>
    <t xml:space="preserve">Quality factors like passive voice or sentence length are commonly used in research and practice to evaluate the quality of natural language requirements since they indicate defects in requirements artifacts that potentially propagate to later stages in the development life cycle. However, as a research community, we still lack a holistic perspective on quality factors. This inhibits not only a comprehensive understanding of the existing body of knowledge but also the effective use and evolution of these factors. To this end, we propose an ontology of quality factors for textual requirements, which includes (1) a structure framing quality factors and related elements and (2) a central repository and web interface making these factors publicly accessible and usable. We contribute the first version of both by applying a rigorous ontology development method to 105 eligible primary studies and construct a first version of the repository and interface. We illustrate the usability of the ontology and invite fellow researchers to a joint community effort to complete and maintain this knowledge repository. We envision our ontology to reflect the community's harmonized perception of requirements quality factors, guide reporting of new quality factors, and provide central access to the current body of knowledge.</t>
  </si>
  <si>
    <t xml:space="preserve">[Frattini, Julian; Unterkalmsteiner, Michael; Fucci, Davide] Blekinge Inst Technol, Karlskrona, Sweden; [Montgomery, Lloyd] Univ Hamburg, Hamburg, Germany; [Fischbach, Jannik] Netlight Consulting GmbH, Munich, Germany; [Mendez, Daniel] Fortiss GmbH, Munich, Germany</t>
  </si>
  <si>
    <t xml:space="preserve">julian.frattini@bth.se; lloyd.montgomery@uni-hamburg.de; jannik.fischbach@netlight.com; michael.unterkalmsteiner@bth.se; daniel.mendez@bth.se; davide.fucci@bth.se</t>
  </si>
  <si>
    <t xml:space="preserve">Fucci, Davide/C-1463-2015; Mendez, Daniel/ABA-4579-2021</t>
  </si>
  <si>
    <t xml:space="preserve">978-1-6654-7000-1</t>
  </si>
  <si>
    <t xml:space="preserve">10.1109/RE54965.2022.00041</t>
  </si>
  <si>
    <t xml:space="preserve">Computer Science, Interdisciplinary Applications; Engineering, Multidisciplinary</t>
  </si>
  <si>
    <t xml:space="preserve">BU6XT</t>
  </si>
  <si>
    <t xml:space="preserve">WOS:000931050900034</t>
  </si>
  <si>
    <t xml:space="preserve">Karlsson, C; Hammarfelt, B</t>
  </si>
  <si>
    <t xml:space="preserve">Karlsson, Charlie; Hammarfelt, Bjoern</t>
  </si>
  <si>
    <t xml:space="preserve">A bibliometric portrait of a regional science scholar: in memory of professor Borje Johansson</t>
  </si>
  <si>
    <t xml:space="preserve">ANNALS OF REGIONAL SCIENCE</t>
  </si>
  <si>
    <t xml:space="preserve">B31; R10; R40; O31; L13</t>
  </si>
  <si>
    <t xml:space="preserve">TRADE-FLOWS; INNOVATION; DYNAMICS; ENTREPRENEURSHIP; RIGIDITIES; NETWORKS</t>
  </si>
  <si>
    <t xml:space="preserve">This paper pays homage to Professor Borje Johansson's scientific contributions in general and to the field of regional science particularly through a bibliometric approach, highlighting his publishing and citation record, co-authors and co-editors, as well as his theoretical inspirators, fellow researchers and often cited researchers.</t>
  </si>
  <si>
    <t xml:space="preserve">[Karlsson, Charlie] Jonkoping Int Business Sch, Jonkoping, Sweden; [Karlsson, Charlie] Blekinge Inst Technol, Karlskrona, Sweden; [Hammarfelt, Bjoern] Univ Boras, Swedish Sch Lib &amp; Informat Sci, Boras, Sweden</t>
  </si>
  <si>
    <t xml:space="preserve">Jonkoping University; Blekinge Institute Technology; University of Boras</t>
  </si>
  <si>
    <t xml:space="preserve">Karlsson, C (corresponding author), Jonkoping Int Business Sch, Jonkoping, Sweden.;Karlsson, C (corresponding author), Blekinge Inst Technol, Karlskrona, Sweden.</t>
  </si>
  <si>
    <t xml:space="preserve">charlie.karlsson@ju.se; bjorn.hammarfelt@hb.se</t>
  </si>
  <si>
    <t xml:space="preserve">Hammarfelt, Björn/KLD-7716-2024; Karlsson, Charlie/JQP-0947-2023</t>
  </si>
  <si>
    <t xml:space="preserve">Jonkoping University</t>
  </si>
  <si>
    <t xml:space="preserve">Open access funding provided by Jonkoping University.</t>
  </si>
  <si>
    <t xml:space="preserve">0570-1864</t>
  </si>
  <si>
    <t xml:space="preserve">1432-0592</t>
  </si>
  <si>
    <t xml:space="preserve">ANN REGIONAL SCI</t>
  </si>
  <si>
    <t xml:space="preserve">Ann. Reg. Sci.</t>
  </si>
  <si>
    <t xml:space="preserve">10.1007/s00168-024-01297-8</t>
  </si>
  <si>
    <t xml:space="preserve">O5F8P</t>
  </si>
  <si>
    <t xml:space="preserve">WOS:001295682000002</t>
  </si>
  <si>
    <t xml:space="preserve">Flyborg, J; Renvert, S; Anderberg, P; Larsson, T; Sanmartin-Berglund, J</t>
  </si>
  <si>
    <t xml:space="preserve">Flyborg, Johan; Renvert, Stefan; Anderberg, Peter; Larsson, Tobias; Sanmartin-Berglund, Johan</t>
  </si>
  <si>
    <t xml:space="preserve">Results of objective brushing data recorded from a powered toothbrush used by elderly individuals with mild cognitive impairment related to values for oral health</t>
  </si>
  <si>
    <t xml:space="preserve">Powered toothbrush; Oral health; Mild cognitive impairment; Elderly individuals</t>
  </si>
  <si>
    <t xml:space="preserve">DEMENTIA; HYGIENE</t>
  </si>
  <si>
    <t xml:space="preserve">ObjectivesThe study aimed to investigate how the objective use of a powered toothbrush in frequency and duration affects plaque index, bleeding on probing, and periodontal pocket depth &gt;= 4 mm in elderly individuals with MCI. A second aim was to compare the objective results with the participants' self-estimated brush use.Materials and methodsObjective brush usage data was extracted from the participants' powered toothbrushes and related to the oral health variables plaque index, bleeding on probing, and periodontal pocket depth &gt;= 4 mm. Furthermore, the objective usage data was compared with the participants' self-reported brush usage reported in a questionnaire at baseline and 6- and 12-month examination.ResultsOut of a screened sample of 213 individuals, 170 fulfilled the 12-month visit. The principal findings are that despite the objective values registered for frequency and duration being lower than the recommended and less than the instructed, using powered toothbrushes after instruction and information led to improved values for PI, BOP, and PPD &gt;= 4 mm in the group of elderly with MIC.ConclusionsDespite lower brush frequency and duration than the generally recommended, using a powered toothbrush improved oral health. The objective brush data recorded from the powered toothbrush correlates poorly with the self-estimated brush use.Clinical relevanceUsing objective brush data can become one of the factors in the collaboration to preserve and improve oral health in older people with mild cognitive impairment.Trial registrationClinicalTrials.gov Identifier: NCT05941611, retrospectively registered 11/07/2023.</t>
  </si>
  <si>
    <t xml:space="preserve">[Flyborg, Johan; Renvert, Stefan; Anderberg, Peter; Larsson, Tobias; Sanmartin-Berglund, Johan] Blekinge Inst Technol, Dept Hlth, S-37179 Karlskrona, Sweden; [Renvert, Stefan] Kristianstad Univ, Fac Hlth Sci, S-29188 Kristianstad, Sweden; [Anderberg, Peter] Univ Skovde, Sch Hlth Sci, S-54128 Skovde, Sweden</t>
  </si>
  <si>
    <t xml:space="preserve">Larsson, Tobias/A-6795-2008; Renvert, Stefan/AAM-2415-2020; Flyborg, Johan/AFD-8306-2022; Anderberg, Peter/B-5541-2012</t>
  </si>
  <si>
    <t xml:space="preserve">Blekinge Tekniska Hgskola</t>
  </si>
  <si>
    <t xml:space="preserve">The authors thank licensed dental hygienist Christina Karlsson for data collection and registration work.</t>
  </si>
  <si>
    <t xml:space="preserve">DEC 21</t>
  </si>
  <si>
    <t xml:space="preserve">10.1007/s00784-023-05407-2</t>
  </si>
  <si>
    <t xml:space="preserve">DN1V2</t>
  </si>
  <si>
    <t xml:space="preserve">WOS:001132641500001</t>
  </si>
  <si>
    <t xml:space="preserve">Mining user reviews of COVID contact-tracing apps: An exploratory analysis of nine European apps</t>
  </si>
  <si>
    <t xml:space="preserve">Mobile apps; COVID; Contact-tracing; User reviews; Software engineering; Software in society; Data mining</t>
  </si>
  <si>
    <t xml:space="preserve">Context: More than 78 countries have developed COVID contact-tracing apps to limit the spread of coronavirus. However, many experts and scientists cast doubt on the effectiveness of those apps. For each app, a large number of reviews have been entered by end-users in app stores. Objective: Our goal is to gain insights into the user reviews of those apps, and to find out the main problems that users have reported. Our focus is to assess the software in society aspects of the apps, based on user reviews. Method: We selected nine European national apps for our analysis and used a commercial app-review analytics tool to extract and mine the user reviews. For all the apps combined, our dataset includes 39,425 user reviews. Results: Results show that users are generally dissatisfied with the nine apps under study, except the Scottish (Protect Scotland) app. Some of the major issues that users have complained about are high battery drainage and doubts on whether apps are really working. Conclusion: Our results show that more work is needed by the stakeholders behind the apps (e.g., app developers, decision-makers, public health experts) to improve the public adoption, software quality and public perception of these apps. (C) 2021 Elsevier Inc. All rights reserved.</t>
  </si>
  <si>
    <t xml:space="preserve">[Garousi, Vahid; Cutting, David] Queens Univ Belfast, Belfast, Antrim, North Ireland; [Garousi, Vahid] Bahar Software Engn Consulting Corp, Belfast, Antrim, North Ireland; [Felderer, Michael] Univ Innsbruck, Innsbruck, Austria; [Felderer, Michael] Blekinge Inst Technol, Blekinge, Sweden</t>
  </si>
  <si>
    <t xml:space="preserve">10.1016/j.jss.2021.111136</t>
  </si>
  <si>
    <t xml:space="preserve">XC7WF</t>
  </si>
  <si>
    <t xml:space="preserve">Green Accepted, Green Published, Green Submitted</t>
  </si>
  <si>
    <t xml:space="preserve">WOS:000722219800001</t>
  </si>
  <si>
    <t xml:space="preserve">Ning, HS; Wang, H; Wang, WX; Ye, XZ; Ding, JG; Backlund, P</t>
  </si>
  <si>
    <t xml:space="preserve">Ning, Huansheng; Wang, Hang; Wang, Wenxi; Ye, Xiaozhen; Ding, Jianguo; Backlund, Per</t>
  </si>
  <si>
    <t xml:space="preserve">A Review on Serious Games in E-learning</t>
  </si>
  <si>
    <t xml:space="preserve">2021 IEEE SYMPOSIUM SERIES ON COMPUTATIONAL INTELLIGENCE (IEEE SSCI 2021)</t>
  </si>
  <si>
    <t xml:space="preserve">IEEE Symposium Series on Computational Intelligence (IEEE SSCI)</t>
  </si>
  <si>
    <t xml:space="preserve">DEC 05-07, 2021</t>
  </si>
  <si>
    <t xml:space="preserve">IEEE,IEEE Computat Intelligence Soc</t>
  </si>
  <si>
    <t xml:space="preserve">Serious games; educational games; E-learning; educational goals; game design; the revised Bloom's Taxonomy</t>
  </si>
  <si>
    <t xml:space="preserve">E-learning is a widely used learning method, but with the development of society, traditional E-learning method has exposed some shortcomings, such as the boring way of teaching, so that it is difficult to increase the enthusiasm of students and raise their attention in class. The application of serious games in E-learning can make up for these shortcomings and effectively improve the quality of teaching. When applying serious games to E-learning, there are two main considerations: educational goals and game design. A successful serious game should organically combine the two aspects and balance the educational and entertaining nature of serious games. This paper mainly discusses the role of serious games in E-learning, various elements of game design, the classification of the educational goals of serious games and the relationship between educational goals and game design. In addition, we try to classify serious games and match educational goals with game types to provide guidance and assistance in the design of serious games. This paper also summarizes some shortcomings that serious games may have in the application of E-learning.</t>
  </si>
  <si>
    <t xml:space="preserve">[Ning, Huansheng; Wang, Hang; Wang, Wenxi; Ye, Xiaozhen] Univ Sci &amp; Technol Beijing, Sch Comp &amp; Commun Engn, Beijing 100083, Peoples R China; [Ding, Jianguo] Blekinge Inst Technol, Dept Comp Sci, S-37179 Karlskrona, Sweden; [Backlund, Per] Univ Skovde, Skovde, Sweden</t>
  </si>
  <si>
    <t xml:space="preserve">University of Science &amp; Technology Beijing; Blekinge Institute Technology; University of Skovde</t>
  </si>
  <si>
    <t xml:space="preserve">ninghuansheng@ustb.edu.cn</t>
  </si>
  <si>
    <t xml:space="preserve">Wang, Wenxi/LQJ-8686-2024</t>
  </si>
  <si>
    <t xml:space="preserve">Wang, Wenxi/0000-0001-8943-2296</t>
  </si>
  <si>
    <t xml:space="preserve">978-1-7281-9048-8</t>
  </si>
  <si>
    <t xml:space="preserve">10.1109/SSCI50451.2021.9659885</t>
  </si>
  <si>
    <t xml:space="preserve">Computer Science, Artificial Intelligence; Engineering, Electrical &amp; Electronic; Operations Research &amp; Management Science; Mathematics, Applied</t>
  </si>
  <si>
    <t xml:space="preserve">Computer Science; Engineering; Operations Research &amp; Management Science; Mathematics</t>
  </si>
  <si>
    <t xml:space="preserve">BT3XG</t>
  </si>
  <si>
    <t xml:space="preserve">WOS:000824464300066</t>
  </si>
  <si>
    <t xml:space="preserve">Shahid, S; Andreasson, E; Petersson, V; Gukhool, W; Kang, YC; Kao-Walter, S</t>
  </si>
  <si>
    <t xml:space="preserve">Shahid, Sharlin; Andreasson, Eskil; Petersson, Viktor; Gukhool, Widaad; Kang, Yuchi; Kao-Walter, Sharon</t>
  </si>
  <si>
    <t xml:space="preserve">Simplified Characterization of Anisotropic Yield Criteria for an Injection-Molded Polymer Material</t>
  </si>
  <si>
    <t xml:space="preserve">POLYMERS</t>
  </si>
  <si>
    <t xml:space="preserve">polyethylene; anisotropic yield criteria; finite element model; injection molding</t>
  </si>
  <si>
    <t xml:space="preserve">Injection-molded polyethylene plates exhibit highly anisotropic mechanical behavior due to, e.g., the uneven orientation of the polymer chains during the molding process and the differential cooling, especially in the thickness direction. Elastoplastic finite element modeling of these plates in particular is used with isotropic yield criteria like von Mises, trading off accuracy in favor of simpler constitutive characterization and faster solution. This article studies three different anisotropic yield criteria, namely, Hill 1948, Barlat Yld91, and Barlat Yld2004-18P, for the finite element modeling of low-density polyethylene (LDPE) at large uniaxial tensile deformation and compares the accuracy and computation time with von Mises. A simplified calibration technique is investigated to identify the constitutive parameters of the studied Barlat group yield criteria. The calibration process is simplified in the sense that only uniaxial tensile tests with digital image correlation measurements are used for the calibration of all the yield criteria studied in this article, although a standard calibration procedure for the Barlat group yield criteria requires additional material testing using more demanding test setups. It is concluded that both Barlat Yld91 and Barlat Yld2004-18P yield criteria can be calibrated with only a few tensile tests and still capture anisotropy in deformation-stress-strain at different levels of accuracy.</t>
  </si>
  <si>
    <t xml:space="preserve">[Shahid, Sharlin; Gukhool, Widaad] Blekinge Inst Technol, Dept Mech Engn, S-37179 Karlskrona, Sweden; [Andreasson, Eskil; Petersson, Viktor] Tetra Pak, S-22355 Lund, Sweden; [Kang, Yuchi] Kunming Univ Sci &amp; Technol, Fac Mech &amp; Elect Engn, Kunmming 650500, Peoples R China; [Kao-Walter, Sharon] Blekinge Inst Technol, Dept Math &amp; Nat Sci, S-37179 Karlskrona, Sweden; [Kao-Walter, Sharon] Shanghai Polytech Univ, Coll Engn, Shanghai 201209, Peoples R China</t>
  </si>
  <si>
    <t xml:space="preserve">Blekinge Institute Technology; Kunming University of Science &amp; Technology; Blekinge Institute Technology; Shanghai Polytechnic University</t>
  </si>
  <si>
    <t xml:space="preserve">sharlin.shahid@gmail.com; eskil.andreasson@tetrapak.com; viktor.petersson@tetrapak.com; widaad.gukhool@gmail.com; yuchi.kang@kust.edu.cn; sharon.kao-walter@bth.se</t>
  </si>
  <si>
    <t xml:space="preserve">Andreasson, Eskil/0000-0001-8325-9226; shahid, sharlin/0000-0002-9421-1372</t>
  </si>
  <si>
    <t xml:space="preserve">PREDICT</t>
  </si>
  <si>
    <t xml:space="preserve">2073-4360</t>
  </si>
  <si>
    <t xml:space="preserve">POLYMERS-BASEL</t>
  </si>
  <si>
    <t xml:space="preserve">Polymers</t>
  </si>
  <si>
    <t xml:space="preserve">10.3390/polym15234520</t>
  </si>
  <si>
    <t xml:space="preserve">AE0H3</t>
  </si>
  <si>
    <t xml:space="preserve">WOS:001116663400001</t>
  </si>
  <si>
    <t xml:space="preserve">Lun, Z; Pan, YL; Wang, S; Abbas, Z; Islam, MS; Yin, SF</t>
  </si>
  <si>
    <t xml:space="preserve">Lun, Zhao; Pan, Yunlong; Wang, Sen; Abbas, Zeshan; Islam, Md Shafiqul; Yin, Sufeng</t>
  </si>
  <si>
    <t xml:space="preserve">Skip-YOLO: Domestic Garbage Detection Using Deep Learning Method in Complex Multi-scenes</t>
  </si>
  <si>
    <t xml:space="preserve">INTERNATIONAL JOURNAL OF COMPUTATIONAL INTELLIGENCE SYSTEMS</t>
  </si>
  <si>
    <t xml:space="preserve">Image procession; Garbage detection; Feature mappings; Dense convolution block; YOLOv3</t>
  </si>
  <si>
    <t xml:space="preserve">WASTE COLLECTION; SYSTEM</t>
  </si>
  <si>
    <t xml:space="preserve">It is of great significance to identify all types of domestic garbage quickly and intelligently to improve people's quality of life. Based on the visual analysis of feature map changes in different neural networks, a Skip-YOLO model is proposed for real-life garbage detection, targeting the problem of recognizing garbage with similar features. First, the receptive field of the model is enlarged through the large-size convolution kernel which enhanced the shallow information of images. Second, the high-dimensional features of the garbage maps are extracted by dense convolutional blocks. The sensitivity of similar features in the same type of garbage increases by strengthening the sharing of shallow low semantics and deep high semantics information. Finally, multiscale high-dimensional feature maps are integrated and routed to the YOLO layer for predicting garbage type and location. The overall detection accuracy is increased by 22.5% and the average recall rate is increased by 18.6% comparing the experimental results with the YOLOv3 analysis. In qualitative comparison, it successfully detects domestic garbage in complex multi-scenes. In addition, this approach alleviates the overfitting problem of deep residual blocks. The application case of waste sorting production line is used to further highlight the model generalization performance of the method.</t>
  </si>
  <si>
    <t xml:space="preserve">[Lun, Zhao; Pan, Yunlong; Abbas, Zeshan] Shenzhen Polytech, Inst Intelligent Mfg Technol, Shenzhen 518055, Peoples R China; [Pan, Yunlong; Wang, Sen] Kunming Univ Sci &amp; Technol, Fac Mech &amp; Elect Engn, Kunming 650500, Peoples R China; [Islam, Md Shafiqul] Blekinge Inst Technol, Fac Engn, Dept Mech Engn, S-37179 Karlskrona, Sweden; [Yin, Sufeng] Guangdong Songshan Polytech, Sch Mech Engn, Shaoguan 512026, Peoples R China</t>
  </si>
  <si>
    <t xml:space="preserve">Shenzhen Polytechnic University; Kunming University of Science &amp; Technology; Blekinge Institute Technology</t>
  </si>
  <si>
    <t xml:space="preserve">Wang, S (corresponding author), Kunming Univ Sci &amp; Technol, Fac Mech &amp; Elect Engn, Kunming 650500, Peoples R China.</t>
  </si>
  <si>
    <t xml:space="preserve">wangsen0401@126.com</t>
  </si>
  <si>
    <t xml:space="preserve">Islam, Shafiqul/AAA-7809-2021; Abbas, Zeshan/MEO-8370-2025</t>
  </si>
  <si>
    <t xml:space="preserve">Lun, Zhao/0000-0001-8293-9094; PAN, YUN LONG/0000-0002-5194-6299; Wang, Sen/0000-0003-1259-8030; Abbas, Zeshan/0000-0001-6850-3374; Islam, Md Shafiqul/0000-0002-1162-7023</t>
  </si>
  <si>
    <t xml:space="preserve">Scientific Research Startup Fund for Shenzhen High-Caliber Personnel of SZPT [6022310046K]; National Natural Science Foundation of China [12104324]; National Natural Science Foundation of China [52065035]; Characteristic innovation project of the Department of Education of Guangdong Province [2022KTSCX261]</t>
  </si>
  <si>
    <t xml:space="preserve">Scientific Research Startup Fund for Shenzhen High-Caliber Personnel of SZPT; National Natural Science Foundation of China(National Natural Science Foundation of China (NSFC)); National Natural Science Foundation of China(National Natural Science Foundation of China (NSFC)); Characteristic innovation project of the Department of Education of Guangdong Province</t>
  </si>
  <si>
    <t xml:space="preserve">&amp; nbsp;The research is supported by Scientific Research Startup Fund for Shenzhen High-Caliber Personnel of SZPT (No.6022310046K) and National Natural Science Foundation of China (No.12104324), the National Natural Science Foundation of China (52065035) and Characteristic innovation project of the Department of Education of Guangdong Province (2022KTSCX261).</t>
  </si>
  <si>
    <t xml:space="preserve">1875-6891</t>
  </si>
  <si>
    <t xml:space="preserve">1875-6883</t>
  </si>
  <si>
    <t xml:space="preserve">INT J COMPUT INT SYS</t>
  </si>
  <si>
    <t xml:space="preserve">Int. J. Comput. Intell. Syst.</t>
  </si>
  <si>
    <t xml:space="preserve">AUG 29</t>
  </si>
  <si>
    <t xml:space="preserve">10.1007/s44196-023-00314-6</t>
  </si>
  <si>
    <t xml:space="preserve">Q4XA5</t>
  </si>
  <si>
    <t xml:space="preserve">WOS:001057554400001</t>
  </si>
  <si>
    <t xml:space="preserve">Ferati, M; Bertoni, M; Dalipi, F; Kurti, A; Jokela, P; Anderberg, P; Mirijamdotter, A</t>
  </si>
  <si>
    <t xml:space="preserve">Pissaloux, E; Papadopoulos, GA; Achilleos, A; Velazquez, R</t>
  </si>
  <si>
    <t xml:space="preserve">Ferati, Mexhid; Bertoni, Marco; Dalipi, Fisnik; Kurti, Arianit; Jokela, Paivi; Anderberg, Peter; Mirijamdotter, Anita</t>
  </si>
  <si>
    <t xml:space="preserve">Tackling the Sustainability of Digital Aging Innovations Through Design Thinking and Systems Thinking Perspectives</t>
  </si>
  <si>
    <t xml:space="preserve">ICT FOR HEALTH, ACCESSIBILITY AND WELLBEING, IHAW</t>
  </si>
  <si>
    <t xml:space="preserve">first International Conference on ICT for Health, Accessibility and Wellbeing</t>
  </si>
  <si>
    <t xml:space="preserve">NOV 08-09, 2021</t>
  </si>
  <si>
    <t xml:space="preserve">Larnaca, CYPRUS</t>
  </si>
  <si>
    <t xml:space="preserve">Systems thinking; Design thinking; Healthcare; Sustainability</t>
  </si>
  <si>
    <t xml:space="preserve">The digitalization of society brings many opportunities and challenges, especially on how we organize the welfare society in the future. This becomes especially pertinent as we are heading toward a global increase of older people, which will strain healthcare and bring the challenge of building sustainable solutions. In this paper, we argue that the unsustainable solutions within healthcare are due to them being defined and `solved' with a single approach or approaches used in silos. We advocate that a more sustainable solution could be achieved by combining systems thinking and design thinking perspectives throughout the entire process-from problem definition to solution offering. A benefit of such combined perspectives is the ability to develop a shared context among all stakeholders, which helps uncover unique tacit knowledge from their experience. This will serve as a solid foundation to generate unconventional ideas that will lead to sustainable and satisfactory solutions.</t>
  </si>
  <si>
    <t xml:space="preserve">[Ferati, Mexhid; Dalipi, Fisnik; Kurti, Arianit; Jokela, Paivi; Mirijamdotter, Anita] Linnaeus Univ, Dept Informat, Vaxjo, Sweden; [Ferati, Mexhid; Dalipi, Fisnik; Kurti, Arianit; Jokela, Paivi; Mirijamdotter, Anita] Linnaeus Univ, Dept Informat, Kalmar, Sweden; [Bertoni, Marco] Blekinge Inst Technol, Dept Mech Engn, Karlskrona, Sweden; [Anderberg, Peter] Blekinge Inst Technol, Dept Hlth, Karlskrona, Sweden; [Anderberg, Peter] Univ Skovde, Sch Hlth Sci, Skovde, Sweden</t>
  </si>
  <si>
    <t xml:space="preserve">Linnaeus University; Linnaeus University; Blekinge Institute Technology; Blekinge Institute Technology; University of Skovde</t>
  </si>
  <si>
    <t xml:space="preserve">Ferati, M (corresponding author), Linnaeus Univ, Dept Informat, Vaxjo, Sweden.;Ferati, M (corresponding author), Linnaeus Univ, Dept Informat, Kalmar, Sweden.</t>
  </si>
  <si>
    <t xml:space="preserve">mexhid.ferati@lnu.se; marco.bertoni@bth.se; fisnik.dalipi@lnu.se; arianit.kurti@lnu.se; paivi.jokela@lnu.se; peter.anderberg@bth.se; anita.mirijamdotter@lnu.se</t>
  </si>
  <si>
    <t xml:space="preserve">Ferati, Mexhid/AAI-1474-2019; Mirjamdotter, Anita/AAK-1314-2021; Dalipi, Fisnik/AAB-7033-2019; Anderberg, Peter/B-5541-2012</t>
  </si>
  <si>
    <t xml:space="preserve">Anderberg, Peter/0000-0001-9870-8477; Dalipi, Fisnik/0000-0001-7520-695X</t>
  </si>
  <si>
    <t xml:space="preserve">978-3-030-94209-0; 978-3-030-94208-3</t>
  </si>
  <si>
    <t xml:space="preserve">10.1007/978-3-030-94209-0_15</t>
  </si>
  <si>
    <t xml:space="preserve">Computer Science, Information Systems; Computer Science, Interdisciplinary Applications; Public, Environmental &amp; Occupational Health</t>
  </si>
  <si>
    <t xml:space="preserve">Computer Science; Public, Environmental &amp; Occupational Health</t>
  </si>
  <si>
    <t xml:space="preserve">BU6TI</t>
  </si>
  <si>
    <t xml:space="preserve">WOS:000928975700015</t>
  </si>
  <si>
    <t xml:space="preserve">Henao, PR; Fischbach, J; Spies, D; Frattini, J; Vogelsang, A</t>
  </si>
  <si>
    <t xml:space="preserve">Henao, Pablo Restrepo; Fischbach, Jannik; Spies, Dominik; Frattini, Julian; Vogelsang, Andreas</t>
  </si>
  <si>
    <t xml:space="preserve">Transfer Learning for Mining Feature Requests and Bug Reports from Tweets and App Store Reviews</t>
  </si>
  <si>
    <t xml:space="preserve">Identifying feature requests and bug reports in user comments holds great potential for development teams. However, automated mining of RE-related information from social media and app stores is challenging since (1) about 70% of user comments contain noisy, irrelevant information, (2) the amount of user comments grows daily making manual analysis unfeasible, and (3) user comments are written in different languages. Existing approaches build on traditional machine learning (ML) and deep learning (DL), but fail to detect feature requests and bug reports with high Recall and acceptable Precision which is necessary for this task. In this paper, we investigate the potential of transfer learning (TL) for the classification of user comments. Specifically, we train both monolingual and multilingual BERT models and compare the performance with state-of-the-art methods. We found that monolingual BERT models outperform existing baseline methods in the classification of English App Reviews as well as English and Italian Tweets. However, we also observed that the application of heavyweight TL models does not necessarily lead to better performance. In fact, our multilingual BERT models perform worse than traditional ML methods.</t>
  </si>
  <si>
    <t xml:space="preserve">[Henao, Pablo Restrepo] Tech Univ Munich, Munich, Germany; [Fischbach, Jannik; Spies, Dominik] Qualicen GmbH, Munich, Germany; [Frattini, Julian] Blekinge Inst Technol, Karlskrona, Sweden; [Vogelsang, Andreas] Univ Cologne, Cologne, Germany</t>
  </si>
  <si>
    <t xml:space="preserve">Henao, PR (corresponding author), Tech Univ Munich, Munich, Germany.</t>
  </si>
  <si>
    <t xml:space="preserve">pablo.restrepo@tum.de; jannik.fischbach@qualicen.de; dominik.spies@qualicen.de; julian.frattini@bth.se; vogelsang@cs.uni-koeln.de</t>
  </si>
  <si>
    <t xml:space="preserve">We would like to thank Walid Maalej for sharing the benchmark data sets. In addition, we would like to acknowledge that this work was in parts supported by the KKS foundation through the S.E.R.T. Research Profile project at Blekinge Institute of Technology.</t>
  </si>
  <si>
    <t xml:space="preserve">10.1109/REW53955.2021.00019</t>
  </si>
  <si>
    <t xml:space="preserve">WOS:000788547300011</t>
  </si>
  <si>
    <t xml:space="preserve">Plattner, FUH; Mendez, D; Wiesche, M; S llner, M</t>
  </si>
  <si>
    <t xml:space="preserve">Bui, TX</t>
  </si>
  <si>
    <t xml:space="preserve">Plattner, Falk Uebernickel Hasso; Mendez, Daniel; Wiesche, Manuel; Soellner, Matthias</t>
  </si>
  <si>
    <t xml:space="preserve">Human-centered Design for Digital Innovations</t>
  </si>
  <si>
    <t xml:space="preserve">PROCEEDINGS OF THE 54TH ANNUAL HAWAII INTERNATIONAL CONFERENCE ON SYSTEM SCIENCES</t>
  </si>
  <si>
    <t xml:space="preserve">Hawaii International Conference on System Sciences</t>
  </si>
  <si>
    <t xml:space="preserve">54th Annual Hawaii International Conference on System Sciences</t>
  </si>
  <si>
    <t xml:space="preserve">JAN 04-08, 2021</t>
  </si>
  <si>
    <t xml:space="preserve">Maui, HI</t>
  </si>
  <si>
    <t xml:space="preserve">[Plattner, Falk Uebernickel Hasso] Inst Univ Potsdam, Potsdam, Germany; [Mendez, Daniel] Blekinge Tekniska Hogskola, Karlskrona, Sweden; [Wiesche, Manuel] TU Dortmund, Dortmund, Germany; [Soellner, Matthias] Univ Kassel, Kassel, Germany</t>
  </si>
  <si>
    <t xml:space="preserve">Blekinge Institute Technology; Dortmund University of Technology; Universitat Kassel</t>
  </si>
  <si>
    <t xml:space="preserve">Plattner, FUH (corresponding author), Inst Univ Potsdam, Potsdam, Germany.</t>
  </si>
  <si>
    <t xml:space="preserve">falk.uebernickel@hpi.de; daniel.mendez@bth.se; manuel.wiesche@tu-dortmund.de; soellner@uni-kassel.de</t>
  </si>
  <si>
    <t xml:space="preserve">Wiesche, Manuel/AFO-0382-2022</t>
  </si>
  <si>
    <t xml:space="preserve">HICSS</t>
  </si>
  <si>
    <t xml:space="preserve">Honolulu</t>
  </si>
  <si>
    <t xml:space="preserve">Dept IT Mgmt, Shidler College of Business, Univ Hawaii at Manoa 2404 Maile Way D307, Honolulu, Hawaii, UNITED STATES</t>
  </si>
  <si>
    <t xml:space="preserve">978-0-9981331-4-0</t>
  </si>
  <si>
    <t xml:space="preserve">Hawaii Int Con Sys S</t>
  </si>
  <si>
    <t xml:space="preserve">BX5MG</t>
  </si>
  <si>
    <t xml:space="preserve">WOS:001300419504116</t>
  </si>
  <si>
    <t xml:space="preserve">Wohlin, C; Papatheocharous, E; Carlson, J; Petersen, K; Alégroth, E; Axelsson, J; Badampudi, D; Borg, M; Cicchetti, A; Ciccozzi, F; Olsson, T; Sentilles, S; Svahnberg, M; Wnuk, K; Gorschek, T</t>
  </si>
  <si>
    <t xml:space="preserve">Wohlin, Claes; Papatheocharous, Efi; Carlson, Jan; Petersen, Kai; Alegroth, Emil; Axelsson, Jakob; Badampudi, Deepika; Borg, Markus; Cicchetti, Antonio; Ciccozzi, Federicio; Olsson, Thomas; Sentilles, Severine; Svahnberg, Mikael; Wnuk, Krzysztof; Gorschek, Tony</t>
  </si>
  <si>
    <t xml:space="preserve">Towards evidence-based decision-making for identification and usage of assets in composite software: A research roadmap</t>
  </si>
  <si>
    <t xml:space="preserve">asset origins; component‐ based software engineering (CBSE); decision‐ making; evidence‐ based software engineering; software architecture</t>
  </si>
  <si>
    <t xml:space="preserve">KNOWLEDGE MANAGEMENT; IN-HOUSE; ARCHITECTURE; OSS; TAXONOMY; LESSONS; ORIGINS; COTS</t>
  </si>
  <si>
    <t xml:space="preserve">Software engineering is decision intensive. Evidence-based software engineering is suggested for decision-making concerning the use of methods and technologies when developing software. Software development often includes the reuse of software assets, for example, open-source components. Which components to use have implications on the quality of the software (e.g., maintainability). Thus, research is needed to support decision-making for composite software. This paper presents a roadmap for research required to support evidence-based decision-making for choosing and integrating assets in composite software systems. The roadmap is developed as an output from a 5-year project in the area, including researchers from three different organizations. The roadmap is developed in an iterative process and is based on (1) systematic literature reviews of the area; (2) investigations of the state of practice, including a case survey and a survey; and (3) development and evaluation of solutions for asset identification and selection. The research activities resulted in identifying 11 areas in need of research. The areas are grouped into two categories: areas enabling evidence-based decision-making and those related to supporting the decision-making. The roadmap outlines research needs in these 11 areas. The research challenges and research directions presented in this roadmap are key areas for further research to support evidence-based decision-making for composite software.</t>
  </si>
  <si>
    <t xml:space="preserve">[Wohlin, Claes; Petersen, Kai; Alegroth, Emil; Badampudi, Deepika; Svahnberg, Mikael; Wnuk, Krzysztof; Gorschek, Tony] Blekinge Inst Technol, Dept Software Engn, Karlskrona, Sweden; [Papatheocharous, Efi; Axelsson, Jakob; Borg, Markus; Olsson, Thomas] RISE Res Inst Sweden AB, Software &amp; Syst Engn Lab, Kista, Sweden; [Carlson, Jan; Axelsson, Jakob; Cicchetti, Antonio; Ciccozzi, Federicio; Sentilles, Severine] Malardalen Univ, Div Comp Sci &amp; Software Engn, Vasteras, Sweden; [Petersen, Kai] Univ Appl Sci Flensburg, Fachbereich Wirtschaft, Flensburg, Germany</t>
  </si>
  <si>
    <t xml:space="preserve">Petersen, K (corresponding author), Blekinge Inst Technol, Dept Software Engn, Karlskrona, Sweden.</t>
  </si>
  <si>
    <t xml:space="preserve">Axelsson, Jakob/AAE-3249-2020; Borg, Markus/F-3609-2010; Cicchetti, Antonio/D-2375-2015; Carlson, Jan/D-4717-2012; Gorschek, Tony/E-3445-2013</t>
  </si>
  <si>
    <t xml:space="preserve">Axelsson, Jakob/0000-0002-3986-1196</t>
  </si>
  <si>
    <t xml:space="preserve">Knowledge Foundation [20140218]</t>
  </si>
  <si>
    <t xml:space="preserve">Knowledge Foundation, Grant/Award Number: 20140218</t>
  </si>
  <si>
    <t xml:space="preserve">e2345</t>
  </si>
  <si>
    <t xml:space="preserve">10.1002/smr.2345</t>
  </si>
  <si>
    <t xml:space="preserve">SL1AR</t>
  </si>
  <si>
    <t xml:space="preserve">WOS:000630322200001</t>
  </si>
  <si>
    <t xml:space="preserve">Kosenkov, O; Elahidoost, P; Gorschek, T; Fischbach, J; Mendez, D; Unterkalmsteiner, M; Fucci, D; Mohanani, R</t>
  </si>
  <si>
    <t xml:space="preserve">Kosenkov, Oleksandr; Elahidoost, Parisa; Gorschek, Tony; Fischbach, Jannik; Mendez, Daniel; Unterkalmsteiner, Michael; Fucci, Davide; Mohanani, Rahul</t>
  </si>
  <si>
    <t xml:space="preserve">Systematic mapping study on requirements engineering for regulatory compliance of software systems</t>
  </si>
  <si>
    <t xml:space="preserve">Requirements engineering; Software engineering; Secondary research; Regulatory requirements engineering; Regulatory compliance; Compliance requirements; Software compliance</t>
  </si>
  <si>
    <t xml:space="preserve">DATA PROTECTION REGULATION; OF-THE-ART; FORMAL VERIFICATION; GDPR-COMPLIANCE; PRIVACY; SECURITY; SAFETY; INFORMATION; FRAMEWORK; MODEL</t>
  </si>
  <si>
    <t xml:space="preserve">Context: As the diversity and complexity of regulations affecting Software-Intensive Products and Services (SIPS) is increasing, software engineers need to address the growing regulatory scrutiny. We argue that, as with any other non-negotiable requirements, SIPS compliance should be addressed early in SIPS engineering-i.e., during requirements engineering (RE). Objectives: In the conditions of the expanding regulatory landscape, existing research offers scattered insights into regulatory compliance of SIPS. This study addresses the pressing need for a structured overview of the state of the art in software RE and its contribution to regulatory compliance of SIPS. Method: We conducted a systematic mapping study to provide an overview of the current state of research regarding challenges, principles, and practices for regulatory compliance of SIPS related to RE. We focused on the role of RE and its contribution to other SIPS lifecycle process areas. We retrieved 6914 studies published from 2017 (January 1) until 2023 (December 31) from four academic databases, which we filtered down to 280 relevant primary studies. Results: We identified and categorized the RE-related challenges in regulatory compliance of SIPS and their potential connection to six types of principles and practices addressing challenges. We found that about 13.6% of the primary studies considered the involvement of both software engineers and legal experts in developing principles and practices. About 20.7% of primary studies considered RE in connection to other process areas. Most primary studies focused on a few popular regulation fields (privacy, quality) and application domains (healthcare, software development, avionics). Our results suggest that there can be differences in terms of challenges and involvement of stakeholders across different fields of regulation. Conclusion: Our findings highlight the need for an in-depth investigation of stakeholders' roles, relationships between process areas, and specific challenges for distinct regulatory fields to guide research and practice.</t>
  </si>
  <si>
    <t xml:space="preserve">[Kosenkov, Oleksandr; Elahidoost, Parisa; Gorschek, Tony; Fischbach, Jannik; Mendez, Daniel] Fortiss GmbH, Guerickestr 25, D-80805 Munich, Germany; [Kosenkov, Oleksandr; Elahidoost, Parisa; Gorschek, Tony; Mendez, Daniel; Unterkalmsteiner, Michael; Fucci, Davide] Blekinge Inst Technol, Software Engn Res Lab SERL, Valhallavagen 1, S-37179 Karlskrona, Sweden; [Mohanani, Rahul] Univ Jyvaskyla, Seminaarinkatu 15, Jyvaskyla 40014, Finland; [Fischbach, Jannik] Netlight Consulting GmbH, Prannerstr 4, D-80333 Munich, Germany</t>
  </si>
  <si>
    <t xml:space="preserve">fortiss; Blekinge Institute Technology; University of Jyvaskyla</t>
  </si>
  <si>
    <t xml:space="preserve">Kosenkov, O (corresponding author), Fortiss GmbH, Guerickestr 25, D-80805 Munich, Germany.;Kosenkov, O (corresponding author), Blekinge Inst Technol, Software Engn Res Lab SERL, Valhallavagen 1, S-37179 Karlskrona, Sweden.</t>
  </si>
  <si>
    <t xml:space="preserve">oleksandr.kosenkov@bth.se</t>
  </si>
  <si>
    <t xml:space="preserve">10.1016/j.infsof.2024.107622</t>
  </si>
  <si>
    <t xml:space="preserve">M9G9I</t>
  </si>
  <si>
    <t xml:space="preserve">WOS:001360553400001</t>
  </si>
  <si>
    <t xml:space="preserve">Karabulut, M; Kusetogullari, H; Kivrak, S</t>
  </si>
  <si>
    <t xml:space="preserve">Karabulut, Mehmet; Kusetogullari, Huseyin; Kivrak, Sinan</t>
  </si>
  <si>
    <t xml:space="preserve">Outdoor Performance Assessment of New and Old Photovoltaic Panel Technologies Using a Designed Multi-Photovoltaic Panel Power Measurement System</t>
  </si>
  <si>
    <t xml:space="preserve">INTERNATIONAL JOURNAL OF PHOTOENERGY</t>
  </si>
  <si>
    <t xml:space="preserve">MODULES; SILICON; PLANT</t>
  </si>
  <si>
    <t xml:space="preserve">This paper presents a new multi-photovoltaic panel measurement and analysis system (PPMAS) developed for measurement of atmospheric parameters and generated power of photovoltaic (PV) panels. Designed system presented with an experimental study evaluates performance of four new and four 5-year-old PV panel technologies which are based on polycrystalline (Poly), monocrystalline (Mono), copper indium selenide (CIS), and cadmium telluride (CdTe) in real time, under same atmospheric conditions. The PPMAS system with the PV panels is installed in Yildirim Beyazit University, Ankara Province, in Turkey. The designed PPMAS consists of three different subsystems which are (1) photovoltaic panel measurement subsystem (PPMS), (2) meteorology measurement subsystem (MMS), and (3) data acquisition subsystem (DAS). PPMS is used to measure the power generation for PV panels. MMS involves different types of sensors, and it is designed to determine atmospheric conditions including wind speed, wind direction, outdoor temperature, humidity, ambient light, and panel temperatures. The measured values by PPMS and MMS are stored in a database using DAS subsystem. In order to improve the measurement accuracy, PPMS and MMS are calibrated. This study also focuses on outdoor testing performances of four new and four 5-year-old PV panels. Average monthly panel efficiencies are estimated as 8.46%, 8.11%, 5.65%, and 3.88% for new Mono, new Poly, new CIS, and new CdTe PV panels, respectively. Moreover, average monthly panel efficiencies of old panels are calculated as 8.22%, 7.85%, 5.35%, and 3.63% in the same order. Test results obtained from the experimental system are also statistically examined and discussed to analyze the performance of PV panels in terms of monthly panel efficiencies.</t>
  </si>
  <si>
    <t xml:space="preserve">[Karabulut, Mehmet] Yildirim Beyazit Univ, Dept Elect &amp; Comp Engn, Ankara, Turkey; [Kusetogullari, Huseyin] Blekinge Inst Technol, Dept Comp Sci, S-37141 Karlskrona, Sweden; [Kusetogullari, Huseyin] Skovde Univ, Sch Informat, S-54128 Skovde, Sweden; [Kivrak, Sinan] Yildirim Beyazit Univ, Dept Elect &amp; Elect Engn, Ankara, Turkey</t>
  </si>
  <si>
    <t xml:space="preserve">Ankara Yildirim Beyazit University; Blekinge Institute Technology; University of Skovde; Ankara Yildirim Beyazit University</t>
  </si>
  <si>
    <t xml:space="preserve">Kusetogullari, H (corresponding author), Blekinge Inst Technol, Dept Comp Sci, S-37141 Karlskrona, Sweden.;Kusetogullari, H (corresponding author), Skovde Univ, Sch Informat, S-54128 Skovde, Sweden.</t>
  </si>
  <si>
    <t xml:space="preserve">mkarab@gmail.com; huseyinkusetogullari@gmail.com; sinan.kivrak@hotmail.com</t>
  </si>
  <si>
    <t xml:space="preserve">Karabulut, Mehmet/AAY-4248-2021; Kusetogullari, Huseyin/IAQ-0788-2023</t>
  </si>
  <si>
    <t xml:space="preserve">Kusetogullari, Huseyin/0000-0001-5762-6678; Karabulut, Mehmet/0000-0001-6410-4835; Kivrak, Sinan/0000-0001-5195-0311</t>
  </si>
  <si>
    <t xml:space="preserve">research project scalable resource efficient systems for big data analytics by the Knowledge Foundation in Sweden [20140032]</t>
  </si>
  <si>
    <t xml:space="preserve">research project scalable resource efficient systems for big data analytics by the Knowledge Foundation in Sweden</t>
  </si>
  <si>
    <t xml:space="preserve">Huseyin Kusetogullari is funded by the research project scalable resource efficient systems for big data analytics by the Knowledge Foundation (Grant: 20140032) in Sweden. The experimental study was carried out in Yildirim Beyazit University Campus. The authors thank the Yildirim Beyazit University administration. Also, the authors would like to thank the management of Gazi Technopark and the relevant staff in Gazi University.</t>
  </si>
  <si>
    <t xml:space="preserve">1110-662X</t>
  </si>
  <si>
    <t xml:space="preserve">1687-529X</t>
  </si>
  <si>
    <t xml:space="preserve">INT J PHOTOENERGY</t>
  </si>
  <si>
    <t xml:space="preserve">Int. J. Photoenergy</t>
  </si>
  <si>
    <t xml:space="preserve">SEP 17</t>
  </si>
  <si>
    <t xml:space="preserve">10.1155/2020/8866412</t>
  </si>
  <si>
    <t xml:space="preserve">Chemistry, Physical; Energy &amp; Fuels; Optics; Physics, Atomic, Molecular &amp; Chemical</t>
  </si>
  <si>
    <t xml:space="preserve">Chemistry; Energy &amp; Fuels; Optics; Physics</t>
  </si>
  <si>
    <t xml:space="preserve">NY0QD</t>
  </si>
  <si>
    <t xml:space="preserve">WOS:000576103600001</t>
  </si>
  <si>
    <t xml:space="preserve">Grauers, A; Borén, S; Enerbäck, O</t>
  </si>
  <si>
    <t xml:space="preserve">Grauers, Anders; Boren, Sven; Enerback, Oscar</t>
  </si>
  <si>
    <t xml:space="preserve">Total Cost of Ownership Model and Significant Cost Parameters for the Design of Electric Bus Systems</t>
  </si>
  <si>
    <t xml:space="preserve">electric bus; cost model; total cost of ownership; TCO; charging strategy; public transport; sustainability</t>
  </si>
  <si>
    <t xml:space="preserve">TRANSIT</t>
  </si>
  <si>
    <t xml:space="preserve">Without experiences of electric buses, public transport authorities and bus operators have faced questions about how to implement them in a cost-effective way. Simple cost modelling cannot show how costs for different types of electric buses differ between different routes and timetables. Tools (e.g., HASTUS, PtMS, and optibus) which can analyse such details are complicated, time consuming to use, and provide insufficient insights into the mechanisms that influence the cost. This paper therefore proposes a method for how to calculate total cost of ownership, for different types of electric buses, in a way which can predict how the cost varies based on route and timetable. The method excludes factors which cause minor cost variations in an almost random manor, in order to better show the fundamental mechanisms influencing different costs. The method will help in finding ways to reduce the cost and help to define a few cases which deserve a deep analysis with more complete tools. Testing of the method in a Swedish context showed that the results are in line with other theoretical and practical studies, and how the total cost of ownership can vary depending on the variables.</t>
  </si>
  <si>
    <t xml:space="preserve">[Grauers, Anders] Chalmers Univ Technol, Dept Elect Engn, SE-41296 Gothenburg, Sweden; [Boren, Sven] TISU, Blekinge Inst Technol, SE-37179 Karlskrona, Sweden; [Enerback, Oscar] Rise Res Inst Sweden, Lindholmspiren 3A, SE-41756 Gothenburg, Sweden</t>
  </si>
  <si>
    <t xml:space="preserve">Chalmers University of Technology; Blekinge Institute Technology; RISE Research Institutes of Sweden</t>
  </si>
  <si>
    <t xml:space="preserve">Grauers, A (corresponding author), Chalmers Univ Technol, Dept Elect Engn, SE-41296 Gothenburg, Sweden.</t>
  </si>
  <si>
    <t xml:space="preserve">anders.grauers@chalmers.se; sven.boren@bth.se; oscar.enerback@ri.se</t>
  </si>
  <si>
    <t xml:space="preserve">Grauers, Anders/AAV-9166-2020</t>
  </si>
  <si>
    <t xml:space="preserve">Grauers, Anders/0000-0003-4111-4525</t>
  </si>
  <si>
    <t xml:space="preserve">Swedish Energy Agency; project Decision support for implementing electric buses in public transport [41411-1]; Swedish universities Blekinge Institute of Technology; Chalmers University of Technology</t>
  </si>
  <si>
    <t xml:space="preserve">Swedish Energy Agency(Swedish Energy Agency); project Decision support for implementing electric buses in public transport; Swedish universities Blekinge Institute of Technology; Chalmers University of Technology</t>
  </si>
  <si>
    <t xml:space="preserve">This research was until June 2018 funded by the Swedish Energy Agency and in-kind co-funding organizations in the project Decision support for implementing electric buses in public transport, with grant number 41411-1. After that date, the Swedish universities Blekinge Institute of Technology and Chalmers University of Technology have funded the research.</t>
  </si>
  <si>
    <t xml:space="preserve">10.3390/en13123262</t>
  </si>
  <si>
    <t xml:space="preserve">MM4QM</t>
  </si>
  <si>
    <t xml:space="preserve">WOS:000550143100001</t>
  </si>
  <si>
    <t xml:space="preserve">Nystedt, P; Öinert, J; Pinedo, H</t>
  </si>
  <si>
    <t xml:space="preserve">Nystedt, Patrik; Oinert, Johan; Pinedo, Hector</t>
  </si>
  <si>
    <t xml:space="preserve">EPSILON-STRONGLY GROUPOID-GRADED RINGS, THE PICARD INVERSE CATEGORY AND COHOMOLOGY</t>
  </si>
  <si>
    <t xml:space="preserve">GLASGOW MATHEMATICAL JOURNAL</t>
  </si>
  <si>
    <t xml:space="preserve">Primary: 16W50; Secondary: 16E99; 16D99; 14C22</t>
  </si>
  <si>
    <t xml:space="preserve">PARTIAL PROJECTIVE-REPRESENTATIONS</t>
  </si>
  <si>
    <t xml:space="preserve">We introduce the class of partially invertible modules and show that it is an inverse category which we call the Picard inverse category. We use this category to generalize the classical construction of crossed products to, what we call, generalized epsilon-crossed products and show that these coincide with the class of epsilon-strongly groupoid-graded rings. We then use generalized epsilon-crossed groupoid products to obtain a generalization, from the group-graded situation to the groupoid-graded case, of the bijection from a certain second cohomology group, defined by the grading and the functor from the groupoid in question to the Picard inverse category, to the collection of equivalence classes of rings epsilon-strongly graded by the groupoid.</t>
  </si>
  <si>
    <t xml:space="preserve">[Nystedt, Patrik] Univ West, Dept Engn Sci, SE-46186 Trollhattan, Sweden; [Oinert, Johan] Blekinge Inst Technol, Dept Math &amp; Nat Sci, SE-37179 Karlskrona, Sweden; [Pinedo, Hector] Univ Ind Santander, Escuela Matemat, Carrera 27 Calle 9, Bucaramanga, Colombia</t>
  </si>
  <si>
    <t xml:space="preserve">Nystedt, P (corresponding author), Univ West, Dept Engn Sci, SE-46186 Trollhattan, Sweden.</t>
  </si>
  <si>
    <t xml:space="preserve">patrik.nystedt@hv.se; johan.oinert@bth.se; hpinedot@uis.edu.co</t>
  </si>
  <si>
    <t xml:space="preserve">0017-0895</t>
  </si>
  <si>
    <t xml:space="preserve">1469-509X</t>
  </si>
  <si>
    <t xml:space="preserve">GLASGOW MATH J</t>
  </si>
  <si>
    <t xml:space="preserve">Glasg. Math. J.</t>
  </si>
  <si>
    <t xml:space="preserve">PII S0017089519000065</t>
  </si>
  <si>
    <t xml:space="preserve">10.1017/S0017089519000065</t>
  </si>
  <si>
    <t xml:space="preserve">JS5CA</t>
  </si>
  <si>
    <t xml:space="preserve">WOS:000500321900015</t>
  </si>
  <si>
    <t xml:space="preserve">Midlöv, EM; Lindberg, T; Skär, L</t>
  </si>
  <si>
    <t xml:space="preserve">Midlov, Elina Mikaelsson; Lindberg, Terese; Skar, Lisa</t>
  </si>
  <si>
    <t xml:space="preserve">Relative's suggestions for improvements in support from health professionals before and after a patient's death in general palliative care at home: A qualitative register study</t>
  </si>
  <si>
    <t xml:space="preserve">home care; palliative care; relatives; support improvements; support needs</t>
  </si>
  <si>
    <t xml:space="preserve">OF-LIFE CARE; ASSESSMENT TOOL CSNAT; FAMILY CAREGIVERS; END; NEEDS; EXPERIENCES; MEMBERS; CANCER</t>
  </si>
  <si>
    <t xml:space="preserve">IntroductionThe efforts of relatives in providing palliative care (PC) at home are important. Relatives take great responsibility, face many challenges and are at increased risk of poor physical and mental health. Support for these relatives is important, but they often do not receive the support they need. When PC is provided at home, the support for relatives before and after a patient's death must be improved. This study aimed to describe relatives' suggestions to improve the support from health professionals (HPs) before and after a patient's death in general PC at home.MethodsThis study had a qualitative descriptive design based on the data from open-ended questions in a survey collected from the Swedish Register of Palliative Care. The respondents were adult relatives involved in general PC at home across Sweden. The textual data were analysed using thematic analysis.ResultsThe analysis identified four themes: (1) seeking increased access to HPs, (2) needing enhanced information, (3) desiring improved communication and (4) requesting individual support.ConclusionsIt is important to understand and address how the support to relatives may be improved to reduce the unmet needs of relatives. The findings of this study offer some concrete suggestions for improvement on ways to support relatives. Further research should focus on tailored support interventions so that HPs can provide optimal support for relatives before and after a patient's death when PC is provided at home.</t>
  </si>
  <si>
    <t xml:space="preserve">[Midlov, Elina Mikaelsson; Lindberg, Terese] Blekinge Inst Technol, Fac Engn, Dept Hlth, Karlskrona, Sweden; [Midlov, Elina Mikaelsson] Malmo Univ, Dept Care Sci, Fac Hlth &amp; Soc, Malmo, Sweden; [Skar, Lisa] Kristianstad Univ, Fac Hlth Sci, Kristianstad, Sweden; [Midlov, Elina Mikaelsson] Blekinge Inst Technol, Fac Engn, Dept Hlth, Valhallavagen 1, S-37179 Karlskrona, Sweden</t>
  </si>
  <si>
    <t xml:space="preserve">Blekinge Institute Technology; Malmo University; Kristianstad University; Blekinge Institute Technology</t>
  </si>
  <si>
    <t xml:space="preserve">Midlöv, EM (corresponding author), Blekinge Inst Technol, Fac Engn, Dept Hlth, Valhallavagen 1, S-37179 Karlskrona, Sweden.</t>
  </si>
  <si>
    <t xml:space="preserve">MIKAELSSON MIDLOV, ELINA/0000-0002-2782-147X; Skar, Lisa/0000-0002-5731-2799</t>
  </si>
  <si>
    <t xml:space="preserve">10.1111/scs.13239</t>
  </si>
  <si>
    <t xml:space="preserve">RR0S5</t>
  </si>
  <si>
    <t xml:space="preserve">WOS:001147115800001</t>
  </si>
  <si>
    <t xml:space="preserve">Schenkman, BN; Gidla, VK</t>
  </si>
  <si>
    <t xml:space="preserve">Schenkman, Bo N.; Gidla, Vijay Kiran</t>
  </si>
  <si>
    <t xml:space="preserve">Detection, thresholds of human echolocation in static situations for distance, pitch, loudness and sharpness</t>
  </si>
  <si>
    <t xml:space="preserve">APPLIED ACOUSTICS</t>
  </si>
  <si>
    <t xml:space="preserve">Blind; Echolocation; Psycho-acoustics; Auditory models; Detection thresholds</t>
  </si>
  <si>
    <t xml:space="preserve">REPETITION PITCH; BLIND; SOUND; MODEL; PERCEPTION; HEARING; IDENTIFICATION; LOCALIZATION; VISION; ECHOES</t>
  </si>
  <si>
    <t xml:space="preserve">Human echolocation describes how people, often blind, use reflected sounds to obtain information about their ambient world. Using auditory models for three perceptual variables, loudness, pitch and one aspect of timbre, namely sharpness, we determined how these variables can make people detect objects by echolocation. We used acoustic recordings and the resulting perceptual data from a previous study with stationary situations, as input to our analysis. One part of the analysis was on the physical room acoustics of the sounds, i.e. sound pressure level, autocorrelation and spectral centroid. In a second part we used auditory models to analyze echolocation resulting from the perceptual variables loudness, pitch and sharpness. Based on these results, a third part was the calculation of psychophysical thresholds with a non-parametric method for detecting a reflecting object with constant physical size for distance, loudness, pitch and sharpness. Difference thresholds were calculated for the psychophysical variables, since a 2-Alternative-Forced-Choice Paradigm had originally been used. We determined (1) detection thresholds based on repetition pitch, loudness and sharpness varied and their dependency on room acoustics and type of sound stimuli. We found (2) that repetition pitch was useful for detection at shorter distances and was determined from the peaks in the temporal profile of the autocorrelation function, (3) loudness at shorter distances provides echolocation information, (4) at longer distances, timbre aspects, such as sharpness, might be used to detect objects. (5) It is suggested that blind persons may detect objects at lower values for loudness, pitch strength and sharpness and at further distances than sighted persons. We also discuss the auditory model approach. Autocorrelation was assumed as a proper measure for pitch, but we ask whether a mechanism based on strobe integration is a viable possibility. (C) 2020 The Authors. Published by Elsevier Ltd.</t>
  </si>
  <si>
    <t xml:space="preserve">[Schenkman, Bo N.] Royal Inst Technol, Dept Speech Mus &amp; Hearing, Stockholm, Sweden; [Gidla, Vijay Kiran] Blekinge Inst Technol, Karlskrona, Sweden</t>
  </si>
  <si>
    <t xml:space="preserve">Schenkman, BN (corresponding author), Royal Inst Technol, Dept Speech Mus &amp; Hearing, Stockholm, Sweden.</t>
  </si>
  <si>
    <t xml:space="preserve">bosch@kth.se</t>
  </si>
  <si>
    <t xml:space="preserve">0003-682X</t>
  </si>
  <si>
    <t xml:space="preserve">1872-910X</t>
  </si>
  <si>
    <t xml:space="preserve">APPL ACOUST</t>
  </si>
  <si>
    <t xml:space="preserve">Appl. Acoust.</t>
  </si>
  <si>
    <t xml:space="preserve">10.1016/j.apacoust.2020.107214</t>
  </si>
  <si>
    <t xml:space="preserve">Acoustics</t>
  </si>
  <si>
    <t xml:space="preserve">KW9MG</t>
  </si>
  <si>
    <t xml:space="preserve">WOS:000521507200011</t>
  </si>
  <si>
    <t xml:space="preserve">Peixoto, M; Gorschek, T; Mendez, D; Silva, C; Fucci, D</t>
  </si>
  <si>
    <t xml:space="preserve">Peixoto, Mariana; Gorschek, Tony; Mendez, Daniel; Silva, Carla; Fucci, Davide</t>
  </si>
  <si>
    <t xml:space="preserve">The Perspective of Agile Software Developers on Data Privacy</t>
  </si>
  <si>
    <t xml:space="preserve">empirical study; privacy; software development</t>
  </si>
  <si>
    <t xml:space="preserve">REQUIREMENTS</t>
  </si>
  <si>
    <t xml:space="preserve">Recent studies have shown that many software developers do not have sufficient knowledge and understanding of how to develop a privacy-friendly system. This may become a challenge in developing systems complying with data protection laws. To address this issue, we investigated the factors that influence developers' decision-making when developing privacy-sensitive systems. We conducted an empirical study by means of a survey with 109 practitioners. Our data analysis is based on the principles of social cognitive theory, which includes personal, behavioral, and external environmental factors. We identified six personal, five behavioral, and five external environment factors that affect how developers make decisions regarding privacy, including confusion between privacy and security and reliance on informal practices and organizational support gaps. These findings contribute to understanding how practitioners and companies consider privacy, showing improvements in formal training and structured support over previous studies yet highlighting persistent challenges in consistent privacy integration.</t>
  </si>
  <si>
    <t xml:space="preserve">[Peixoto, Mariana] Univ Pernambuco UPE, Garanhuns, Brazil; [Gorschek, Tony; Mendez, Daniel; Fucci, Davide] Blekinge Inst Technol BTH, Dept Software Engn, Karlskrona, Sweden; [Silva, Carla] Univ Fed Pernambuco UFPE, Ctr Informat, Recife, Brazil</t>
  </si>
  <si>
    <t xml:space="preserve">Universidade de Pernambuco (UPE); Blekinge Institute Technology; Universidade Federal de Pernambuco</t>
  </si>
  <si>
    <t xml:space="preserve">Peixoto, M (corresponding author), Univ Pernambuco UPE, Garanhuns, Brazil.</t>
  </si>
  <si>
    <t xml:space="preserve">mariana.peixoto@upe.br</t>
  </si>
  <si>
    <t xml:space="preserve">Peixoto, Mariana/0000-0002-5399-4155; Silva, Carla/0000-0002-0597-3851</t>
  </si>
  <si>
    <t xml:space="preserve">Coordenao de Aperfeioamento de Pessoal de Nvel Superior</t>
  </si>
  <si>
    <t xml:space="preserve">The authors are grateful to the research participants.</t>
  </si>
  <si>
    <t xml:space="preserve">10.1002/smr.2755</t>
  </si>
  <si>
    <t xml:space="preserve">U3K5U</t>
  </si>
  <si>
    <t xml:space="preserve">WOS:001389574100001</t>
  </si>
  <si>
    <t xml:space="preserve">Cury, O; Avelino, G; Neto, PS; Valente, MT; Britto, R</t>
  </si>
  <si>
    <t xml:space="preserve">Cury, Otavio; Avelino, Guilherme; Neto, Pedro Santos; Valente, Marco Tulio; Britto, Ricardo</t>
  </si>
  <si>
    <t xml:space="preserve">Source code expert identification: Models and application</t>
  </si>
  <si>
    <t xml:space="preserve">Source code expertise; Machine learning; Truck Factor</t>
  </si>
  <si>
    <t xml:space="preserve">Context: Identifying source code expertise is useful in several situations. Activities like bug fixing and helping newcomers are best performed by knowledgeable developers. Some studies have proposed repository -mining techniques to identify source code experts. However, there is a gap in understanding which variables are most related to code knowledge and how they can be used for identifying expertise. Objective: This study explores models of expertise identification and how these models can be used to improve a Truck Factor algorithm. Methods: First, we built an oracle with the knowledge of developers from software projects. Then, we use this oracle to analyze the correlation between measures from the development history and source code knowledge. We investigate the use of linear and machine -learning models to identify file experts. Finally, we use the proposed models to improve a Truck Factor algorithm and analyze their performance using data from public and private repositories. Results: First Authorship and Recency of Modification have the highest positive and negative correlations with source code knowledge, respectively. Machine learning classifiers outperformed the linear techniques ( F -Score = 71% to 73%) in the largest analyzed dataset, but this advantage is unclear in the smallest one. The Truck Factor algorithm using the proposed models could handle developers missed by the previous expertise model with the best average F -Score of 74%. It was perceived as more accurate in computing the Truck Factor of an industrial project. Conclusion: If we analyze F -Score , the studied models have similar performance. However, machine learning classifiers get higher Precision while linear models obtained the highest Recall . Therefore, choosing the best technique depends on the user's tolerance to false positives and negatives. Additionally, the proposed models significantly improved the accuracy of a Truck Factor algorithm, affirming their effectiveness in precisely identifying the key developers within software projects.</t>
  </si>
  <si>
    <t xml:space="preserve">[Cury, Otavio; Avelino, Guilherme; Neto, Pedro Santos] Univ Fed Piaui, Teresina, PI, Brazil; [Valente, Marco Tulio] Univ Fed Minas Gerais, Belo Horizonte, MG, Brazil; [Britto, Ricardo] Blekinge Inst Technol, Karlskrona, Blekinge, Sweden; [Britto, Ricardo] Ericsson, Karlskrona, Blekinge, Sweden</t>
  </si>
  <si>
    <t xml:space="preserve">Universidade Federal do Piaui; Universidade Federal de Minas Gerais; Blekinge Institute Technology; Ericsson</t>
  </si>
  <si>
    <t xml:space="preserve">Cury, O (corresponding author), Univ Fed Piaui, Teresina, PI, Brazil.</t>
  </si>
  <si>
    <t xml:space="preserve">otaviocury@ufpi.edu.br</t>
  </si>
  <si>
    <t xml:space="preserve">Cury, Otavio/0000-0001-6972-2982; Santos Neto, Pedro/0000-0002-1554-8445; Britto, Ricardo/0000-0002-7220-9570</t>
  </si>
  <si>
    <t xml:space="preserve">CNPq [403512/2021-2]</t>
  </si>
  <si>
    <t xml:space="preserve">CNPq(Conselho Nacional de Desenvolvimento Cientifico e Tecnologico (CNPQ))</t>
  </si>
  <si>
    <t xml:space="preserve">We would like to thank the developers (Ericsson, Maida Health, and Open Source projects) who took their time to answer the survey and provided essential information to our investigation. Additionally, we also thank CNPq (grant 403512/2021-2) for supporting this work.</t>
  </si>
  <si>
    <t xml:space="preserve">10.1016/j.infsof.2024.107445</t>
  </si>
  <si>
    <t xml:space="preserve">QX2V4</t>
  </si>
  <si>
    <t xml:space="preserve">WOS:001224111200001</t>
  </si>
  <si>
    <t xml:space="preserve">Thomson, G; Newman, P</t>
  </si>
  <si>
    <t xml:space="preserve">Thomson, Giles; Newman, Peter</t>
  </si>
  <si>
    <t xml:space="preserve">Green Infrastructure and Biophilic Urbanism as Tools for Integrating Resource Efficient and Ecological Cities</t>
  </si>
  <si>
    <t xml:space="preserve">biophilic urbanism; ecological cities; green infrastructure; resource efficient cities; urban fabric theory; urban planning</t>
  </si>
  <si>
    <t xml:space="preserve">ECOSYSTEM-BASED ADAPTATION; RESILIENCE; FRAMEWORK</t>
  </si>
  <si>
    <t xml:space="preserve">In recent decades, the concept of resource efficient cities has emerged as an urban planning paradigm that seeks to achieve sustainable urban environments. This focus is upon compact urban environments that optimise energy, water and waste systems to create cities that help solve climate change and other resource-based sustainability issues. In parallel, there has been a long-standing tradition of ecological approaches to the design of cities that can be traced from Howard, Geddes, McHarg and Lyle. Rather than resource efficiency, the ecological approach has focused upon the retention and repair of natural landscape features and the creation of green infrastructure (GI) to manage urban water, soil and plants in a more ecologically sensitive way. There is some conflict with the resource efficient cities and ecological cities paradigms, as one is pro-density, while the other is anti-density. This article focusses upon how to integrate the two paradigms through new biophilic urbanism (BU) tools that allow the integration of nature into dense urban areas, to supplement more traditional GI tools in less dense areas. We suggest that the theory of urban fabrics can aid with regard to which tools to use where, for the integration of GI and BU into different parts of the city to achieve both resource efficient and ecological outcomes, that optimise energy water and waste systems, and increase urban nature.</t>
  </si>
  <si>
    <t xml:space="preserve">[Thomson, Giles] Blekinge Inst Technol, Dept Strateg Sustainable Dev, S-37150 Karlskrona, Sweden; [Thomson, Giles; Newman, Peter] Curtin Univ, Curtin Univ Sustainabil Policy Inst, Sch Design &amp; Built Environm, Perth, WA 6102, Australia</t>
  </si>
  <si>
    <t xml:space="preserve">Thomson, G (corresponding author), Blekinge Inst Technol, Dept Strateg Sustainable Dev, S-37150 Karlskrona, Sweden.;Thomson, G (corresponding author), Curtin Univ, Curtin Univ Sustainabil Policy Inst, Sch Design &amp; Built Environm, Perth, WA 6102, Australia.</t>
  </si>
  <si>
    <t xml:space="preserve">grt@bth.se; p.newman@curtin.edu.au</t>
  </si>
  <si>
    <t xml:space="preserve">Thomson, Giles/0000-0002-9873-3872</t>
  </si>
  <si>
    <t xml:space="preserve">The authors thank the three anonymous reviewers for suggestions that helped improve the article. Giles Thomson would like to acknowledge financial support through the Knowledge Foundation (KK-stiftelsen) in Sweden.</t>
  </si>
  <si>
    <t xml:space="preserve">10.17645/up.v6i1.3633</t>
  </si>
  <si>
    <t xml:space="preserve">RW3FN</t>
  </si>
  <si>
    <t xml:space="preserve">WOS:000646411900003</t>
  </si>
  <si>
    <t xml:space="preserve">Ramos, LP; Schwartz, C; Alves, DI; Duarte, LT; Pettersson, MI; Vu, VT; Machado, R</t>
  </si>
  <si>
    <t xml:space="preserve">Bruzzone, L; Bovolo, F; Santi, E</t>
  </si>
  <si>
    <t xml:space="preserve">Ramos, Lucas P.; Schwartz, Christofer; Alves, Dimas, I; Duarte, Leonardo T.; Pettersson, Mats, I; Vu, Viet T.; Machado, Renato</t>
  </si>
  <si>
    <t xml:space="preserve">Change Detection in UWB VHF SAR Images Exploiting Flight Heading Diversity Through Robust Principal Component Analysis</t>
  </si>
  <si>
    <t xml:space="preserve">IMAGE AND SIGNAL PROCESSING FOR REMOTE SENSING XXVI</t>
  </si>
  <si>
    <t xml:space="preserve">Conference on Image and Signal Processing for Remote Sensing XXVI</t>
  </si>
  <si>
    <t xml:space="preserve">Synthetic Aperture Radar; Change Detection; Blind Source Separation; Robust Principal Component Analysis</t>
  </si>
  <si>
    <t xml:space="preserve">RPCA</t>
  </si>
  <si>
    <t xml:space="preserve">Change detection methods are frequently associated with wavelength-resolution synthetic aperture radar (SAR) images for foliage-penetrating (FOPEN) applications (e.g., the detection of concealed targets in forestry areas), being a research topic of interest over the last decades. The challenge associated with the design of automated change detection techniques goes beyond performing the target detection. It is also related to clutter suppression aiming at a low false alarm rate (FAR). The problem of detecting targets and removing content in SAR data can be treated as an unsupervised signal separation problem, usually referred to as blind source separation (BSS). Additionally, low frequency wavelength-resolution SAR images can be considered to follow an additive separation model due to their backscatter characteristics. In this context, it is possible to explore robust principal component analysis (RPCA) as a source-separation method for problems in which the mixing model is additive and two-dimensional, as the interest SAR images. This paper presents a change detection method for wavelength-resolution SAR images based on the RPCA via principal component pursuit (PCP), considering the use of small image stacks to explore the data diversity from measurements of different flight headings. The proposed method is evaluated using real data obtained from measurements of the ultrawideband (UWB) very high frequency (VHF) SAR system CARABAS II. The experimental results show that the proposed method can achieve a high probability of detection (PD) values for a low FAR (i.e., PD of 0.98 for a FAR of 0.41 objects per square kilometer). Finally, discussions regarding the use of the RPCA in change detection methods and the diversity gains are provided in the paper.</t>
  </si>
  <si>
    <t xml:space="preserve">[Ramos, Lucas P.; Schwartz, Christofer; Machado, Renato] Aeronaut Inst Technol ITA, Sao Jose Dos Campos, SP, Brazil; [Alves, Dimas, I] Fed Univ Pampa UNIPAMPA, Alegrete, RS, Brazil; [Duarte, Leonardo T.] Univ Campinas UNICAMP, Sch Appl Sci FCA, Limeira, SP, Brazil; [Pettersson, Mats, I; Vu, Viet T.] Blekinge Inst Technol BTH, Karlskrona, Sweden</t>
  </si>
  <si>
    <t xml:space="preserve">Universidade Federal do Pampa; Universidade Estadual de Campinas; Blekinge Institute Technology</t>
  </si>
  <si>
    <t xml:space="preserve">Ramos, LP; Schwartz, C (corresponding author), Aeronaut Inst Technol ITA, Sao Jose Dos Campos, SP, Brazil.</t>
  </si>
  <si>
    <t xml:space="preserve">lucaspr@ieee.org; christofer@ieee.org</t>
  </si>
  <si>
    <t xml:space="preserve">Vu, Viet/JDW-0738-2023; Tomazeli Duarte, Leonardo/N-4806-2015; Machado, Renato/P-8515-2018; Ramos, Lucas/ABF-6724-2020; Irion Alves, Dimas/AAY-4651-2021; Pettersson, Mats/N-1063-2016</t>
  </si>
  <si>
    <t xml:space="preserve">Schwartz, Christofer/0000-0002-1405-4718; Pedroso Ramos, Lucas/0000-0001-9267-6718; Pettersson, Mats/0000-0002-6643-312X; Irion Alves, Dimas/0000-0002-5443-6446</t>
  </si>
  <si>
    <t xml:space="preserve">Swedish Defence Research Agency (FOI); Saab AB; Coordenacao de Aperfeicoamento de Pessoal de Nivel Superior - Brazil (CAPES) [001]; Conselho Nacional de Desenvolvimento Cientifico e Tecnologico (CNPq-Brazil) [311357/2017-2]</t>
  </si>
  <si>
    <t xml:space="preserve">Swedish Defence Research Agency (FOI); Saab AB; Coordenacao de Aperfeicoamento de Pessoal de Nivel Superior - Brazil (CAPES)(Coordenacao de Aperfeicoamento de Pessoal de Nivel Superior (CAPES)); Conselho Nacional de Desenvolvimento Cientifico e Tecnologico (CNPq-Brazil)(Conselho Nacional de Desenvolvimento Cientifico e Tecnologico (CNPQ))</t>
  </si>
  <si>
    <t xml:space="preserve">The authors would like to thank the Swedish Defence Research Agency (FOI) and Saab AB for support and the U.S. Air Force Research Lab (AFRL) for the open data set. This study was financed in part by the Coordenacao de Aperfeicoamento de Pessoal de Nivel Superior - Brazil (CAPES) - Finance Code 001 (Pro-Defesa IV). The authors also thank the Conselho Nacional de Desenvolvimento Cientifico e Tecnologico (CNPq-Brazil) for partial financial support, grant 311357/2017-2 (Corresponding author L.T.D.).</t>
  </si>
  <si>
    <t xml:space="preserve">978-1-5106-3880-8</t>
  </si>
  <si>
    <t xml:space="preserve">115330G</t>
  </si>
  <si>
    <t xml:space="preserve">10.1117/12.2574716</t>
  </si>
  <si>
    <t xml:space="preserve">Remote Sensing; Optics; Imaging Science &amp; Photographic Technology</t>
  </si>
  <si>
    <t xml:space="preserve">BQ9JO</t>
  </si>
  <si>
    <t xml:space="preserve">WOS:000625211400011</t>
  </si>
  <si>
    <t xml:space="preserve">Al-Saedi, AA; Boeva, V; Casalicchio, E; Exner, P</t>
  </si>
  <si>
    <t xml:space="preserve">Al-Saedi, Ahmed A.; Boeva, Veselka; Casalicchio, Emiliano; Exner, Peter</t>
  </si>
  <si>
    <t xml:space="preserve">Context-Aware Edge-Based AI Models for Wireless Sensor Networks-An Overview</t>
  </si>
  <si>
    <t xml:space="preserve">edge computing; artificial intelligence; wireless sensor network; context-awareness</t>
  </si>
  <si>
    <t xml:space="preserve">HUMAN ACTIVITY RECOGNITION; ARTIFICIAL-INTELLIGENCE; ENERGY-EFFICIENT; BIG DATA; INTERNET; THINGS; SMART; SYSTEMS; STRESS; IDENTIFICATION</t>
  </si>
  <si>
    <t xml:space="preserve">Recent advances in sensor technology are expected to lead to a greater use of wireless sensor networks (WSNs) in industry, logistics, healthcare, etc. On the other hand, advances in artificial intelligence (AI), machine learning (ML), and deep learning (DL) are becoming dominant solutions for processing large amounts of data from edge-synthesized heterogeneous sensors and drawing accurate conclusions with better understanding of the situation. Integration of the two areas WSN and AI has resulted in more accurate measurements, context-aware analysis and prediction useful for smart sensing applications. In this paper, a comprehensive overview of the latest developments in context-aware intelligent systems using sensor technology is provided. In addition, it also discusses the areas in which they are used, related challenges, motivations for adopting AI solutions, focusing on edge computing, i.e., sensor and AI techniques, along with analysis of existing research gaps. Another contribution of this study is the use of a semantic-aware approach to extract survey-relevant subjects. The latter specifically identifies eleven main research topics supported by the articles included in the work. These are analyzed from various angles to answer five main research questions. Finally, potential future research directions are also discussed.</t>
  </si>
  <si>
    <t xml:space="preserve">[Al-Saedi, Ahmed A.; Boeva, Veselka; Casalicchio, Emiliano] Blekinge Inst Technol, Dept Comp Sci, SE-37179 Karlskrona, Sweden; [Casalicchio, Emiliano] Sapienza Univ Rome, Dept Comp Sci, I-00185 Rome, Italy; [Exner, Peter] Sony, R&amp;D Ctr Europe, SE-22188 Lund, Sweden</t>
  </si>
  <si>
    <t xml:space="preserve">ahmed.a.al-saedi@bth.se; veselka.boeva@bth.se; emiliano.casalicchio@uniroma1.it; peter.exner@sony.com</t>
  </si>
  <si>
    <t xml:space="preserve">Al-Saedi, Ahmed Abbas Mohsin/0000-0001-6061-0861; Casalicchio, Emiliano/0000-0002-3118-5058</t>
  </si>
  <si>
    <t xml:space="preserve">10.3390/s22155544</t>
  </si>
  <si>
    <t xml:space="preserve">3S7JS</t>
  </si>
  <si>
    <t xml:space="preserve">WOS:000839768900001</t>
  </si>
  <si>
    <t xml:space="preserve">Gren, L; Shepperd, M</t>
  </si>
  <si>
    <t xml:space="preserve">Gren, Lucas; Shepperd, Martin</t>
  </si>
  <si>
    <t xml:space="preserve">Problem reports and team maturity in agile automotive software development</t>
  </si>
  <si>
    <t xml:space="preserve">15TH INTERNATIONAL CONFERENCE ON COOPERATIVE AND HUMAN ASPECTS OF SOFTWARE ENGINEERING (CHASE 2022)</t>
  </si>
  <si>
    <t xml:space="preserve">15th IEEE/ACM International Conference on Cooperative and Human Aspects of Software Engineering (CHASE)</t>
  </si>
  <si>
    <t xml:space="preserve">MAY 18-19, 2022</t>
  </si>
  <si>
    <t xml:space="preserve">IEEE,IEEE Comp Soc,Assoc Comp Machinery</t>
  </si>
  <si>
    <t xml:space="preserve">automotive software development; teams; team maturity; problem reports</t>
  </si>
  <si>
    <t xml:space="preserve">METHODOLOGIES</t>
  </si>
  <si>
    <t xml:space="preserve">Background: Volvo Cars is pioneering an agile transformation on a large scale in the automotive industry. Social psychological aspects of automotive software development are an under-researched area in general. Few studies on team maturity or group dynamics can be found specifically in the automotive software engineering domain. Objective: This study is intended as an initial step to fill that gap by investigating the connection between issues and problem reports and team maturity. Method: We conducted a quantitative study with 84 participants from 14 teams and qualitatively validated the result with the Release Train Engineer having an overview of all the participating teams. Results: We find that the more mature a team is, the faster they seem to resolve issues as provided through external feedback, at least in the two initial team maturity stages. Conclusion: This study suggests that working on team dynamics might increase productivity in modern automotive software development departments, but this needs further investigation.</t>
  </si>
  <si>
    <t xml:space="preserve">[Gren, Lucas] Volvo Cars &amp; Chalmers Univ Gothenburg, Gothenburg, Sweden; [Gren, Lucas] Blekinge Inst Technol, Karlskrona, Sweden; [Shepperd, Martin] Chalmers Univ Gothenburg, Gothenburg, Sweden; [Shepperd, Martin] Brunel Univ, London, England</t>
  </si>
  <si>
    <t xml:space="preserve">Blekinge Institute Technology; Chalmers University of Technology; Brunel University</t>
  </si>
  <si>
    <t xml:space="preserve">Gren, L (corresponding author), Volvo Cars &amp; Chalmers Univ Gothenburg, Gothenburg, Sweden.;Gren, L (corresponding author), Blekinge Inst Technol, Karlskrona, Sweden.</t>
  </si>
  <si>
    <t xml:space="preserve">lucas.gren@lucasgren.com; martin.shepperd@brunel.ac.uk</t>
  </si>
  <si>
    <t xml:space="preserve">Shepperd, Martin/F-9683-2013</t>
  </si>
  <si>
    <t xml:space="preserve">Swedish Research Council</t>
  </si>
  <si>
    <t xml:space="preserve">Both authors would like to thank the Swedish Research Council funding this work under the auspices of the 2022 Tage Erlander research professorship. Both authors thank Volvo for the provision of the data that made this work possible. This project is an associated project under the Software Center, Gothenburg, Sweden.</t>
  </si>
  <si>
    <t xml:space="preserve">10.1145/3528579.3529173</t>
  </si>
  <si>
    <t xml:space="preserve">BT8AF</t>
  </si>
  <si>
    <t xml:space="preserve">Green Published, Green Submitted, Bronze</t>
  </si>
  <si>
    <t xml:space="preserve">WOS:000852492100006</t>
  </si>
  <si>
    <t xml:space="preserve">Fischbach, J; Frattini, J; Spaans, A; Kummeth, M; Vogelsang, A; Mendez, D; Unterkalmsteiner, M</t>
  </si>
  <si>
    <t xml:space="preserve">Dalpiaz, F; Spoletini, P</t>
  </si>
  <si>
    <t xml:space="preserve">Fischbach, Jannik; Frattini, Julian; Spaans, Arjen; Kummeth, Maximilian; Vogelsang, Andreas; Mendez, Daniel; Unterkalmsteiner, Michael</t>
  </si>
  <si>
    <t xml:space="preserve">Automatic Detection of Causality in Requirement Artifacts: The CiRA Approach</t>
  </si>
  <si>
    <t xml:space="preserve">REQUIREMENTS ENGINEERING: FOUNDATION FOR SOFTWARE QUALITY (REFSQ 2021)</t>
  </si>
  <si>
    <t xml:space="preserve">27th International Working Conference on Requirements Engineering - Foundation for Software Quality (REFSQ)</t>
  </si>
  <si>
    <t xml:space="preserve">APR 12-15, 2021</t>
  </si>
  <si>
    <t xml:space="preserve">Ruhr Inst Software Technol,Utrecht Univ,Kennesaw State Univ,Int Requirements Engn Board,Springer</t>
  </si>
  <si>
    <t xml:space="preserve">Causality; Case study; Requirements engineering; Natural Language Processing</t>
  </si>
  <si>
    <t xml:space="preserve">AGREEMENT; KAPPA</t>
  </si>
  <si>
    <t xml:space="preserve">[Context &amp; motivation:] System behavior is often expressed by causal relations in requirements (e.g., If event 1, then event 2). Automatically extracting this embedded causal knowledge supports not only reasoning about requirements dependencies, but also various automated engineering tasks such as seamless derivation of test cases. However, causality extraction from natural language (NL) is still an open research challenge as existing approaches fail to extract causality with reasonable performance. [Question/problem:] We understand causality extraction from requirements as a two-step problem: First, we need to detect if requirements have causal properties or not. Second, we need to understand and extract their causal relations. At present, though, we lack knowledge about the form and complexity of causality in requirements, which is necessary to develop a suitable approach addressing these two problems. [Principal ideas/results:] We conduct an exploratory case study with 14,983 sentences from 53 requirements documents originating from 18 different domains and shed light on the form and complexity of causality in requirements. Based on our findings, we develop a tool-supported approach for causality detection (CiRA, standing for Causality in Requirement Artifacts). This constitutes a first step towards causality extraction from NL requirements. [Contribution:] We report on a case study and the resulting tool-supported approach for causality detection in requirements. Our case study corroborates, among other things, that causality is, in fact, a widely used linguistic pattern to describe system behavior, as about a third of the analyzed sentences are causal. We further demonstrate that our tool CiRA achieves a macro-F-1 score of 82% on real word data and that it outperforms related approaches with an average gain of 11.06% in macro-Recall and 11.43% in macro-Precision. Finally, we disclose our open data sets as well as our tool to foster the discourse on the automatic detection of causality in the RE community.</t>
  </si>
  <si>
    <t xml:space="preserve">[Fischbach, Jannik; Spaans, Arjen; Kummeth, Maximilian] Qualicen GmbH, Munich, Germany; [Frattini, Julian; Mendez, Daniel; Unterkalmsteiner, Michael] Blekinge Inst Technol, Karlshamn, Sweden; [Vogelsang, Andreas] Univ Cologne, Cologne, Germany; [Mendez, Daniel] Fortiss GmbH, Munich, Germany</t>
  </si>
  <si>
    <t xml:space="preserve">Blekinge Institute Technology; University of Cologne; fortiss</t>
  </si>
  <si>
    <t xml:space="preserve">Fischbach, J (corresponding author), Qualicen GmbH, Munich, Germany.</t>
  </si>
  <si>
    <t xml:space="preserve">jannik.fischbach@qualicen.de; julian.frattini@bth.se; arjen.spaans@qualicen.de; maximilian.kummeth@qualicen.de; vogelsang@cs.uni-koeln.de; daniel.mendez@bth.se; michael.unterkalmsteiner@bth.se</t>
  </si>
  <si>
    <t xml:space="preserve">We would like to acknowledge that this work was supported by the KKS foundation through the S.E.R.T. Research Profile project at Blekinge Institute of Technology. Further, we thank Yannick Debes for his valuable feedback.</t>
  </si>
  <si>
    <t xml:space="preserve">978-3-030-73128-1; 978-3-030-73127-4</t>
  </si>
  <si>
    <t xml:space="preserve">10.1007/978-3-030-73128-1_2</t>
  </si>
  <si>
    <t xml:space="preserve">BT0IN</t>
  </si>
  <si>
    <t xml:space="preserve">WOS:000788007000002</t>
  </si>
  <si>
    <t xml:space="preserve">Erenel, Z; Adegboye, OR; Kusetogullari, H</t>
  </si>
  <si>
    <t xml:space="preserve">Erenel, Zafer; Adegboye, Oluwatayomi Rereloluwa; Kusetogullari, Huseyin</t>
  </si>
  <si>
    <t xml:space="preserve">A New Feature Selection Scheme for Emotion Recognition from Text</t>
  </si>
  <si>
    <t xml:space="preserve">text categorization; emotion recognition; term weighting; feature selection; machine learning</t>
  </si>
  <si>
    <t xml:space="preserve">ALGORITHM; PERFORMANCE; EXTRACTION; MODEL</t>
  </si>
  <si>
    <t xml:space="preserve">This paper presents a new scheme for term selection in the field of emotion recognition from text. The proposed framework is based on utilizing moderately frequent terms during term selection. More specifically, all terms are evaluated by considering their relevance scores, based on the idea that moderately frequent terms may carry valuable information for discrimination as well. The proposed feature selection scheme performs better than conventional filter-based feature selection measures Chi-Square and Gini-Text in numerous cases. The bag-of-words approach is used to construct the vectors for document representation where each selected term is assigned the weight 1 if it exists or assigned the weight 0 if it does not exist in the document. The proposed scheme includes the terms that are not selected by Chi-Square and Gini-Text. Experiments conducted on a benchmark dataset show that moderately frequent terms boost the representation power of the term subsets as noticeable improvements are observed in terms of Accuracies.</t>
  </si>
  <si>
    <t xml:space="preserve">[Erenel, Zafer; Adegboye, Oluwatayomi Rereloluwa] European Univ Lefke, Dept Comp Engn, 10 Mersin, TR-99728 Lefke, Northern Cyprus, Turkey; [Kusetogullari, Huseyin] Blekinge Inst Technol, Dept Comp Sci, S-37141 Karlskrona, Sweden; [Kusetogullari, Huseyin] Univ Skovde, Sch Informat, S-54128 Skovde, Sweden</t>
  </si>
  <si>
    <t xml:space="preserve">Lefke Avrupa University; Blekinge Institute Technology; University of Skovde</t>
  </si>
  <si>
    <t xml:space="preserve">Kusetogullari, H (corresponding author), Blekinge Inst Technol, Dept Comp Sci, S-37141 Karlskrona, Sweden.;Kusetogullari, H (corresponding author), Univ Skovde, Sch Informat, S-54128 Skovde, Sweden.</t>
  </si>
  <si>
    <t xml:space="preserve">zerenel@eul.edu.tr; oluwatayomi.adegboye@eul.edu.tr; huseyin.kusetogullari@bth.se</t>
  </si>
  <si>
    <t xml:space="preserve">Kusetogullari, Huseyin/IAQ-0788-2023; Adegboye, Oluwatayomi Rereloluwa/KAU-5804-2024</t>
  </si>
  <si>
    <t xml:space="preserve">Adegboye, Oluwatayomi Rereloluwa/0000-0001-9945-8764</t>
  </si>
  <si>
    <t xml:space="preserve">H.K. is funded by the research project scalable resource efficient systems for big data analytics by the Knowledge Foundation (Grant: 20140032) in Sweden.</t>
  </si>
  <si>
    <t xml:space="preserve">10.3390/app10155351</t>
  </si>
  <si>
    <t xml:space="preserve">NL8HV</t>
  </si>
  <si>
    <t xml:space="preserve">WOS:000567650800001</t>
  </si>
  <si>
    <t xml:space="preserve">Karlsson, C; Hammarsssfelt, B</t>
  </si>
  <si>
    <t xml:space="preserve">Karlsson, Charlie; Hammarsssfelt, Bjorn</t>
  </si>
  <si>
    <t xml:space="preserve">The growth and development of Nordic regional science research 1982-2022: bibliometric evidence from thirteen regional science journals</t>
  </si>
  <si>
    <t xml:space="preserve">R10; Y10; N94; O13; O 18; O52</t>
  </si>
  <si>
    <t xml:space="preserve">PUBLICATION PATTERNS; CO-AUTHORSHIP; COLLABORATION; DISCIPLINES; NETWORKS; IMPACT; WEB</t>
  </si>
  <si>
    <t xml:space="preserve">In a paper published in 2020, Philip McCann gives a qualitative overview of the Nordic contribution to regional science, which, however, only includes contributions by Swedish regional science researchers. The purpose of this paper is to complement McCann's overview by highlighting Nordic contributions to regional science in the period 1983-2022 through a bibliometric analysis of publications in a set of thirteen regional science journals indexed in Web of Science, using several standard bibliometric tools. Our most interesting and surprising result is that the number of Nordic publications in the chosen set of journals has grown more than six times faster than the total number of publications in these journals between 1983-1992 and 2013-2022. This implies that the Nordic regional science researchers have increased their market share from 1.9 to 9.1 per cent. During the same period, the share of co-authored papers increased from 50.0 to 82.9 per cent and the share of international co-authorships increased from 0 to 50.0 per cent and went from being a mainly intra-European activity to a global activity. This process is also reflected in a certain international influence on the research topics during the four periods analysed, but to a considerable extent it seems that the Nordic regional scientists have pursued their own Nordic research themes. In terms of individual research productivity, there was the expected skewed distribution with a small number of researchers with a large research output. At the institutional level, there were notable changes in the ranking of institutions in terms of number of authorships, but one institution-Ume &amp; aring; University-ranked among the Nordic top-2 in all four periods.</t>
  </si>
  <si>
    <t xml:space="preserve">[Karlsson, Charlie] Jonkoping Int Business Sch, Jonkoping, Sweden; [Karlsson, Charlie] Blekinge Inst Technol, Karlskrona, Sweden; [Hammarsssfelt, Bjorn] Univ Boras, Swedish Sch Lib &amp; Informat Sci, Boras, Sweden</t>
  </si>
  <si>
    <t xml:space="preserve">Charlie.Karlsson@ju.se</t>
  </si>
  <si>
    <t xml:space="preserve">10.1007/s00168-024-01346-2</t>
  </si>
  <si>
    <t xml:space="preserve">U2T6Y</t>
  </si>
  <si>
    <t xml:space="preserve">WOS:001410385300001</t>
  </si>
  <si>
    <t xml:space="preserve">Ilsoe, A; Söderqvist, CF</t>
  </si>
  <si>
    <t xml:space="preserve">Ilsoe, Anna; Soderqvist, Carl Fredrik</t>
  </si>
  <si>
    <t xml:space="preserve">Will there be a Nordic model in the platform economy? Evasive and integrative platform strategies in Denmark and Sweden</t>
  </si>
  <si>
    <t xml:space="preserve">REGULATION &amp; GOVERNANCE</t>
  </si>
  <si>
    <t xml:space="preserve">industrial relations; Nordic model; platform economy; RIT-framework; voluntarism</t>
  </si>
  <si>
    <t xml:space="preserve">The entry of gig-platforms to labor markets world-wide has caused significant frictions with national institutions and regulators, including trade unions. In this article, we compare the interactions between taxi and food delivery platforms with the industrial relations (IR) systems of Denmark and Sweden, where we observe isolated instances of unions striking collective agreements with platforms. We assess and compare platform strategies and interactions with IR system agents, using an RIT-framework (rulemaker-intermediary-ruletaker) which considers how rulemaking capacity is allocated within the Nordic IR systems. We detect both IR system evasion and integration in Denmark and Sweden, with significant variation in causes and mechanisms. We find that IR system integration can be explained by public backlash, pressure from IR system insiders, and gaining first-mover advantages. Our findings shed light on integrative mechanisms of the Nordic IR systems allowing us to identify and discuss future challenges posed by the platform economy.</t>
  </si>
  <si>
    <t xml:space="preserve">[Ilsoe, Anna] Univ Copenhagen, FAOS, Dept Sociol, Oester Farimagsgade 5, DK-1353 Copenhagen, Denmark; [Soderqvist, Carl Fredrik] TIEK, Blekinge Inst Technol, Karlskrona, Sweden</t>
  </si>
  <si>
    <t xml:space="preserve">University of Copenhagen; Blekinge Institute Technology</t>
  </si>
  <si>
    <t xml:space="preserve">Ilsoe, A (corresponding author), Univ Copenhagen, FAOS, Dept Sociol, Oester Farimagsgade 5, DK-1353 Copenhagen, Denmark.</t>
  </si>
  <si>
    <t xml:space="preserve">ai@faos.dk</t>
  </si>
  <si>
    <t xml:space="preserve">Ilsoe, Anna/U-9517-2017</t>
  </si>
  <si>
    <t xml:space="preserve">Ilsoe, Anna/0000-0001-5224-9308</t>
  </si>
  <si>
    <t xml:space="preserve">European Commission [VP/2016/004/0041]; Velux Foundations [26659]; Unionen</t>
  </si>
  <si>
    <t xml:space="preserve">European Commission(European Union (EU)European Commission Joint Research Centre); Velux Foundations(Velux Fonden); Unionen</t>
  </si>
  <si>
    <t xml:space="preserve">Our analyses draw on data collected as part of a number of research projects funded by the European Commission, DG Employment, Social Affairs and Inclusion (VP/2016/004/0041), the Velux Foundations (2019) (Grant No. 26659) and Unionen (PhD funding). We are very grateful for this funding, which has allowed extensive data collection. A number of colleagues have commented on earlier drafts of our work and we are very thankful for their suggestions. We are especially thankful to Trine P. Larsen, Victor Bernhardtz, Viroj Jienwatcharamongkhol, Sofia Tot as well as attendants at the BTH TIEK Friday seminar (2021), the SI/KU Seminar at Kolle Kolle (2021), the VELNET WIP seminar (2021), and The Annual DSE conference (2021). Finally, we would like to thank the editors, the guest editors and four anonymous referees for their very valuable comments.</t>
  </si>
  <si>
    <t xml:space="preserve">1748-5983</t>
  </si>
  <si>
    <t xml:space="preserve">1748-5991</t>
  </si>
  <si>
    <t xml:space="preserve">REGUL GOV</t>
  </si>
  <si>
    <t xml:space="preserve">Regul. Gov.</t>
  </si>
  <si>
    <t xml:space="preserve">10.1111/rego.12465</t>
  </si>
  <si>
    <t xml:space="preserve">Law; Political Science; Public Administration</t>
  </si>
  <si>
    <t xml:space="preserve">Government &amp; Law; Public Administration</t>
  </si>
  <si>
    <t xml:space="preserve">N4SJ2</t>
  </si>
  <si>
    <t xml:space="preserve">WOS:000782640600001</t>
  </si>
  <si>
    <t xml:space="preserve">Frattini, J; Fischbach, J; Mendez, D; Unterkalmsteiner, M; Vogelsang, A; Wnuk, K</t>
  </si>
  <si>
    <t xml:space="preserve">Frattini, Julian; Fischbach, Jannik; Mendez, Daniel; Unterkalmsteiner, Michael; Vogelsang, Andreas; Wnuk, Krzysztof</t>
  </si>
  <si>
    <t xml:space="preserve">Causality in requirements artifacts: prevalence, detection, and impact</t>
  </si>
  <si>
    <t xml:space="preserve">Causality; Multi-case study; Requirements engineering; Natural language processing</t>
  </si>
  <si>
    <t xml:space="preserve">AGREEMENT; QUALITY; KAPPA; CAUSATION</t>
  </si>
  <si>
    <t xml:space="preserve">Causal relations in natural language (NL) requirements convey strong, semantic information. Automatically extracting such causal information enables multiple use cases, such as test case generation, but it also requires to reliably detect causal relations in the first place. Currently, this is still a cumbersome task as causality in NL requirements is still barely understood and, thus, barely detectable. In our empirically informed research, we aim at better understanding the notion of causality and supporting the automatic extraction of causal relations in NL requirements. In a first case study, we investigate 14.983 sentences from 53 requirements documents to understand the extent and form in which causality occurs. Second, we present and evaluate a tool-supported approach, called CiRA, for causality detection. We conclude with a second case study where we demonstrate the applicability of our tool and investigate the impact of causality on NL requirements. The first case study shows that causality constitutes around 28 % of all NL requirements sentences. We then demonstrate that our detection tool achieves a macro-F-1 score of 82 % on real-world data and that it outperforms related approaches with an average gain of 11.06 % in macro-Recall and 11.43 % in macro-Precision. Finally, our second case study corroborates the positive correlations of causality with features of NL requirements. The results strengthen our confidence in the eligibility of causal relations for downstream reuse, while our tool and publicly available data constitute a first step in the ongoing endeavors of utilizing causality in RE and beyond.</t>
  </si>
  <si>
    <t xml:space="preserve">[Frattini, Julian; Mendez, Daniel; Unterkalmsteiner, Michael; Wnuk, Krzysztof] Blekinge Inst Technol, Karlskrona, Sweden; [Fischbach, Jannik] Qualicen GmbH, Munich, Germany; [Fischbach, Jannik; Vogelsang, Andreas] Univ Cologne, Cologne, Germany; [Mendez, Daniel] Fortiss GmbH, Munich, Germany</t>
  </si>
  <si>
    <t xml:space="preserve">julian.frattini@bth.se; jannik.fischbach@qualicen.de; daniel.mendez@bth.se; michael.unterkalmsteiner@bth.se; vogelsang@cs.uni-koeln.de; krzysztof.wnuk@bth.se</t>
  </si>
  <si>
    <t xml:space="preserve">Frattini, Julian/0000-0003-3995-6125; Vogelsang, Andreas/0000-0003-1041-0815</t>
  </si>
  <si>
    <t xml:space="preserve">10.1007/s00766-022-00371-x</t>
  </si>
  <si>
    <t xml:space="preserve">WOS:000753242500002</t>
  </si>
  <si>
    <t xml:space="preserve">Rodríguez, P; Urquhart, C; Mendes, E</t>
  </si>
  <si>
    <t xml:space="preserve">Rodriguez, Pilar; Urquhart, Cathy; Mendes, Emilia</t>
  </si>
  <si>
    <t xml:space="preserve">A Theory of Value for Value-Based Feature Selection in Software Engineering</t>
  </si>
  <si>
    <t xml:space="preserve">Software; Feature extraction; Stakeholders; Companies; Decision making; Software engineering; Planning; Value-based software engineering (VBSE); value proposition; decision-making criteria; grounded-theory; theory development; feature selection; release planning; requirements engineering; decision-making; decision-making theory; software value; software products; software-intensive systems</t>
  </si>
  <si>
    <t xml:space="preserve">PRODUCT VALUE; GENERAL-THEORY; CONTEXT; GENERALIZABILITY; MANAGEMENT; KING</t>
  </si>
  <si>
    <t xml:space="preserve">Value-Based Software Engineering stresses the role of value in software related decisions. In the context of feature selection, software features judged to provide higher value take priority in the development process. This paper focuses on what value means when selecting software features. Using grounded theory, we conducted and analyzed semi-structured interviews with 21 key stakeholders (decision-makers) from three software/software-intensive companies, within a context where value-based decision-making was already established. Our analysis led to the building of a theory of value for value-based feature selection that identifies the nature of value propositions considered by key stakeholders when selecting software features (i.e., decision-making criteria for deciding upon software features, as suggested by Boehm (2003)). We found that some value propositions were common to all three company cases (core value propositions), whereas others were dependent upon the context in which a company operates, and the characteristics of the product under development (specific value propositions). Moreover, value propositions vary according to the stakeholder group and the type of feature being assessed. Our study provides significant insight into value in the context of feature selection, and generates new concepts around value-based feature selection such as new value propositions.</t>
  </si>
  <si>
    <t xml:space="preserve">[Rodriguez, Pilar] Univ Oulu, Grp M3S, Oulu 90570, Finland; [Urquhart, Cathy] Manchester Metropolitan Univ, Fac Business &amp; Law, Manchester M15 6BH, Lancs, England; [Mendes, Emilia] Blekinge Inst Technol, Dept Comp Sci &amp; Engn, S-37141 Karlskrona, Sweden</t>
  </si>
  <si>
    <t xml:space="preserve">University of Oulu; Manchester Metropolitan University; Blekinge Institute Technology</t>
  </si>
  <si>
    <t xml:space="preserve">Rodríguez, P (corresponding author), Univ Oulu, Grp M3S, Oulu 90570, Finland.</t>
  </si>
  <si>
    <t xml:space="preserve">pilar.rodriguez@oulu.fi; c.urquhart@mmu.ac.uk; emilia.mendes@bth.se</t>
  </si>
  <si>
    <t xml:space="preserve">Mendes, Maria/B-4207-2015; Rodriguez, Pilar/HSE-9989-2023; Urquhart, Cathy/HLQ-1865-2023; Rodriguez, Pilar/C-1449-2015</t>
  </si>
  <si>
    <t xml:space="preserve">Rodriguez, Pilar/0000-0002-0618-6104; Mendes, Emilia/0000-0003-0449-5322</t>
  </si>
  <si>
    <t xml:space="preserve">We would like to thank the companies that collaborated with us for its commitment and in-kind time. This research has been carried out within the FiDiPro project number 40150/14, which was funded by Tekes (the Finnish Funding Agency for Technology and Innovation).</t>
  </si>
  <si>
    <t xml:space="preserve">10.1109/TSE.2020.2989666</t>
  </si>
  <si>
    <t xml:space="preserve">ZB4EB</t>
  </si>
  <si>
    <t xml:space="preserve">WOS:000756796100007</t>
  </si>
  <si>
    <t xml:space="preserve">Litovtseva, V; Krawczyk, D; Kuzior, A; Brychko, M; Vasylieva, T</t>
  </si>
  <si>
    <t xml:space="preserve">Litovtseva, Veronika; Krawczyk, Dariusz; Kuzior, Aleksandra; Brychko, Maryna; Vasylieva, Tetiana</t>
  </si>
  <si>
    <t xml:space="preserve">MARKETING RESEARCH IN THE CONTEXT OF TRUST IN THE PUBLIC SECTOR: A CASE OF THE DIGITAL ENVIRONMENT</t>
  </si>
  <si>
    <t xml:space="preserve">INNOVATIVE MARKETING</t>
  </si>
  <si>
    <t xml:space="preserve">marketing; trust; public sector; economic growth; economic development policy; digitalization</t>
  </si>
  <si>
    <t xml:space="preserve">DESTINATION</t>
  </si>
  <si>
    <t xml:space="preserve">Trust in public services is a driving force of socio-economic development. It ensures effective dialogue between citizens and government and becomes especially relevant in the digitalization. The lack of trust in the public sector can make reforms ineffective and the achievement of the goals of the Ministry of Digital Transformation within the framework of the State Strategy for Regional Development of Ukraine until 2027 in question. For this reason, marketing tools in public services should be directed toward achieving greater trust in those services and the government. This paper analyzes the current research on public sector marketing and its role in building trust as a foundation for the country's digital development. Implementing multi-level bibliometric (Scopus tools), network (VOSviewer), and comparative (Google Trends) analysis, this study traces the development of marketing research on the process of public services delivery transformation from traditional to digital. 922 studies published between 1968 and 2022 were analyzed. The results show that public sector marketing is a multidisciplinary field of scientific research that is actively developing. Cluster analysis demonstrated that its modernization and the relationship between marketing in services and consumer behavior are the smallest and newest spheres of research. Researchers consider relationship marketing the principal mechanism for building trust in the public sector. This study found little research on the impact of marketing tools on consumers' trust in public services. The comparative analysis confirmed the hypothesis of the need to change marketing tools due to the massive shift from offline to online services.</t>
  </si>
  <si>
    <t xml:space="preserve">[Litovtseva, Veronika; Brychko, Maryna] Sumy State Univ, Dept Financial Technol &amp; Entrepreneurship, Sumy, Ukraine; [Krawczyk, Dariusz] Silesian Tech Univ, Dept Enterprise Management &amp; Prod Org, Polit Sci, Zabrze, Poland; [Kuzior, Aleksandra] Silesian Tech Univ, Fac Org &amp; Management, Zabrze, Poland; [Kuzior, Aleksandra] Sumy State Univ, Oleg Balatskyi Dept Management, Sumy, Ukraine; [Brychko, Maryna] Blekinge Inst Technol, Dept Ind Econ, Karlskrona, Sweden; [Vasylieva, Tetiana] Sumy State Univ, Sumy, Ukraine; [Vasylieva, Tetiana] London Acad Sci &amp; Business, London, England</t>
  </si>
  <si>
    <t xml:space="preserve">Ministry of Education &amp; Science of Ukraine; Sumy State University; Silesian University of Technology; Silesian University of Technology; Ministry of Education &amp; Science of Ukraine; Sumy State University; Blekinge Institute Technology; Ministry of Education &amp; Science of Ukraine; Sumy State University</t>
  </si>
  <si>
    <t xml:space="preserve">Vasylieva, T (corresponding author), Sumy State Univ, Sumy, Ukraine.;Vasylieva, T (corresponding author), London Acad Sci &amp; Business, London, England.</t>
  </si>
  <si>
    <t xml:space="preserve">Litovtseva, Veronika/GYV-3720-2022; Vasylieva, Tetiana/K-5592-2018; Kuzior, Aleksandra/C-5949-2017; Brychko, Maryna/P-4841-2014</t>
  </si>
  <si>
    <t xml:space="preserve">Vasylieva, Tetiana/0000-0003-0635-7978; Krawczyk, Dariusz/0000-0003-1823-0309; Litovtseva, Veronika/0000-0003-1170-2481; Kuzior, Aleksandra/0000-0001-9764-5320; Brychko, Maryna/0000-0002-9351-3280</t>
  </si>
  <si>
    <t xml:space="preserve">[0121U100469]; [0122U000783]</t>
  </si>
  <si>
    <t xml:space="preserve">;</t>
  </si>
  <si>
    <t xml:space="preserve">The authors acknowledge the funding in terms of the projects Simulation modeling of the trajectory of the impact of behavioral attractors on macroeconomic stability: the role of transparency and public trust (0121U100469) and Modeling mechanisms for de-shadowing and de-corrupting the economy to ensure national security: the impact of the financial behavioral patterns transformation (No 0122U000783).</t>
  </si>
  <si>
    <t xml:space="preserve">LLC CPC BUSINESS PERSPECTIVES</t>
  </si>
  <si>
    <t xml:space="preserve">SUMY</t>
  </si>
  <si>
    <t xml:space="preserve">HRYHORII SKOVORODA LN, 10, SUMY, 40022, UKRAINE</t>
  </si>
  <si>
    <t xml:space="preserve">1814-2427</t>
  </si>
  <si>
    <t xml:space="preserve">1816-6326</t>
  </si>
  <si>
    <t xml:space="preserve">INNOV MARKET</t>
  </si>
  <si>
    <t xml:space="preserve">Innovation Marketing</t>
  </si>
  <si>
    <t xml:space="preserve">10.21511/im.18(4).2022.12</t>
  </si>
  <si>
    <t xml:space="preserve">7J3TT</t>
  </si>
  <si>
    <t xml:space="preserve">WOS:000904505900008</t>
  </si>
  <si>
    <t xml:space="preserve">Nass, M; Alégroth, E; Feldt, R; Leotta, M; Ricca, F</t>
  </si>
  <si>
    <t xml:space="preserve">Nass, Michel; Alegroth, Emil; Feldt, Robert; Leotta, Maurizio; Ricca, Filippo</t>
  </si>
  <si>
    <t xml:space="preserve">Similarity-based Web Element Localization for Robust Test Automation</t>
  </si>
  <si>
    <t xml:space="preserve">GUI testing; test automation; test case robustness; web element locators; XPath locators</t>
  </si>
  <si>
    <t xml:space="preserve">Non-robust (fragile) test execution is a commonly reported challenge in GUI-based test automation, despite much research and several proposed solutions. A test script needs to be resilient to (minor) changes in the tested application but, at the same time, fail when detecting potential issues that require investigation. Test script fragility is a multi-faceted problem. However, one crucial challenge is how to reliably identify and locate the correct target web elements when the website evolves between releases or otherwise fail and report an issue. This article proposes and evaluates a novel approach called similarity-based web element localization (Similo), which leverages information from multiple web element locator parameters to identify a target element using a weighted similarity score. This experimental study compares Similo to a baseline approach for web element localization. To get an extensive empirical basis, we target 48 of the most popular websites on the Internet in our evaluation. Robustness is considered by counting the number of web elements found in a recent website version compared to how many of these existed in an older version. Results of the experiment show that Similo outperforms the baseline; it failed to locate the correct target web element in 91 out of 801 considered cases (i.e., 11%) compared to 214 failed cases (i.e., 27%) for the baseline approach. The time efficiency of Similo was also considered, where the average time to locate a web element was determined to be 4 milliseconds. However, since the cost of web interactions (e.g., a click) is typically on the order of hundreds of milliseconds, the additional computational demands of Similo can be considered negligible. This study presents evidence that quantifying the similarity between multiple attributes of web elements when trying to locate them, as in our proposed Similo approach, is beneficial. With acceptable efficiency, Similo gives significantly higher effectiveness (i.e., robustness) than the baseline web element localization approach.</t>
  </si>
  <si>
    <t xml:space="preserve">[Nass, Michel; Alegroth, Emil; Feldt, Robert] SERL, Blekinge Inst Technol, Karlskrona, Sweden; [Feldt, Robert] Chalmers Univ Technol, Gothenburg, Sweden; [Leotta, Maurizio; Ricca, Filippo] Univ Genoa, DIBRIS, Genoa, Italy</t>
  </si>
  <si>
    <t xml:space="preserve">Blekinge Institute Technology; Chalmers University of Technology; University of Genoa</t>
  </si>
  <si>
    <t xml:space="preserve">Nass, M (corresponding author), SERL, Blekinge Inst Technol, Karlskrona, Sweden.</t>
  </si>
  <si>
    <t xml:space="preserve">michel.nass@bth.se; emil.alegroth@bth.se; robert.feldt@chalmers.se; maurizio.leotta@unige.it; filippo.ricca@unige.it</t>
  </si>
  <si>
    <t xml:space="preserve">Ricca, Filippo/ABB-3276-2020; Leotta, Maurizio/I-8145-2014</t>
  </si>
  <si>
    <t xml:space="preserve">Feldt, Robert/0000-0002-5179-4205; Leotta, Maurizio/0000-0001-5267-0602; Alegroth, Emil/0000-0001-7526-3727; Nass, Michel/0000-0002-8569-2290; ricca, filippo/0000-0002-3928-5408</t>
  </si>
  <si>
    <t xml:space="preserve">KKS Foundation through the S.E.R.T. Research Profile project at Blekinge Institute of Technology; Swedish Scientific Council [2015-04913, 2020-05272]; Vinnova [2015-04913] Funding Source: Vinnova; Swedish Research Council [2020-05272, 2015-04913] Funding Source: Swedish Research Council</t>
  </si>
  <si>
    <t xml:space="preserve">KKS Foundation through the S.E.R.T. Research Profile project at Blekinge Institute of Technology; Swedish Scientific Council; Vinnova(Vinnova); Swedish Research Council(Swedish Research Council)</t>
  </si>
  <si>
    <t xml:space="preserve">This work was supported by the KKS Foundation through the S.E.R.T. Research Profile project at Blekinge Institute of Technology. Robert Feldt has also been supported by the Swedish Scientific Council (No. 2015-04913, Basing Software Testing on Information Theory, and No. 2020-05272, Automated boundary testing for QUality of AI/ML modelS).</t>
  </si>
  <si>
    <t xml:space="preserve">10.1145/3571855</t>
  </si>
  <si>
    <t xml:space="preserve">I4NV8</t>
  </si>
  <si>
    <t xml:space="preserve">WOS:001002573400020</t>
  </si>
  <si>
    <t xml:space="preserve">Auer, F; Lenarduzzi, V; Felderer, M; Taibi, D</t>
  </si>
  <si>
    <t xml:space="preserve">Auer, Florian; Lenarduzzi, Valentina; Felderer, Michael; Taibi, Davide</t>
  </si>
  <si>
    <t xml:space="preserve">From monolithic systems to Microservices: An assessment framework</t>
  </si>
  <si>
    <t xml:space="preserve">Microservices; Cloud migration; Software measurement</t>
  </si>
  <si>
    <t xml:space="preserve">Context: Re-architecting monolithic systems with Microservices-based architecture is a common trend. Various companies are migrating to Microservices for different reasons. However, making such an important decision like re-architecting an entire system must be based on real facts and not only on gut feelings. Objective: The goal of this work is to propose an evidence-based decision support framework for companies that need to migrate to Microservices, based on the analysis of a set of characteristics and metrics they should collect before re-architecting their monolithic system. Method: We conducted a survey done in the form of interviews with professionals to derive the assessment framework based on Grounded Theory. Results: We identified a set consisting of information and metrics that companies can use to decide whether to migrate to Microservices or not. The proposed assessment framework, based on the aforementioned metrics, could be useful for companies if they need to migrate to Microservices and do not want to run the risk of failing to consider some important information.</t>
  </si>
  <si>
    <t xml:space="preserve">[Auer, Florian; Felderer, Michael] Univ Innsbruck, Innsbruck, Austria; [Lenarduzzi, Valentina] LUT Univ, Lappeenranta, Finland; [Felderer, Michael] Blekinge Inst Technol, Karlskrona, Sweden; [Taibi, Davide] Tampere Univ, Tampere, Finland</t>
  </si>
  <si>
    <t xml:space="preserve">University of Innsbruck; Lappeenranta-Lahti University of Technology LUT; Blekinge Institute Technology; Tampere University</t>
  </si>
  <si>
    <t xml:space="preserve">Auer, F (corresponding author), Univ Innsbruck, Innsbruck, Austria.</t>
  </si>
  <si>
    <t xml:space="preserve">florian.auer@uibk.ac.at; valentina.lenarduzzi@lut.fi; michael.felderer@uibk.ac.at; davide.taibi@tuni.fi</t>
  </si>
  <si>
    <t xml:space="preserve">Felderer, Michael/AAF-4909-2020; Taibi, Davide/E-4935-2015</t>
  </si>
  <si>
    <t xml:space="preserve">Lenarduzzi, Valentina/0000-0003-0511-5133; Taibi, Davide/0000-0002-3210-3990</t>
  </si>
  <si>
    <t xml:space="preserve">Austrian Science Fund (FWF) [I 4701-N]; Federal Ministry for Climate Action, Environment, Energy, Mobility, Innovation and Technology (BMK), Austria; Federal Ministry for Digital and Economic Affairs (BMDW), Austria; Province of Upper Austria</t>
  </si>
  <si>
    <t xml:space="preserve">Austrian Science Fund (FWF)(Austrian Science Fund (FWF)); Federal Ministry for Climate Action, Environment, Energy, Mobility, Innovation and Technology (BMK), Austria; Federal Ministry for Digital and Economic Affairs (BMDW), Austria; Province of Upper Austria</t>
  </si>
  <si>
    <t xml:space="preserve">This work was partially supported by the Austrian Science Fund (FWF): I 4701-N and by the Federal Ministry for Climate Action, Environment, Energy, Mobility, Innovation and Technology (BMK), Austria, the Federal Ministry for Digital and Economic Affairs (BMDW), Austria, and the Province of Upper Austria in the frame of the COMET -Competence Centers for Excellent Technologies Programme managed by Austrian Research Promotion Agency FFG.</t>
  </si>
  <si>
    <t xml:space="preserve">10.1016/j.infsof.2021.106600</t>
  </si>
  <si>
    <t xml:space="preserve">SQ8FQ</t>
  </si>
  <si>
    <t xml:space="preserve">WOS:000660586400006</t>
  </si>
  <si>
    <t xml:space="preserve">Cheddad, A; Kusetogullari, H; Hilmkil, A; Sundin, L; Yavariabdi, A; Aouache, M; Hall, J</t>
  </si>
  <si>
    <t xml:space="preserve">Cheddad, Abbas; Kusetogullari, Huseyin; Hilmkil, Agrin; Sundin, Lena; Yavariabdi, Amir; Aouache, Mustapha; Hall, Johan</t>
  </si>
  <si>
    <t xml:space="preserve">SHIBR-The Swedish Historical Birth Records: a semi-annotated dataset</t>
  </si>
  <si>
    <t xml:space="preserve">Historical data of birth records; Handwritten documents; Public dataset; Word spotting</t>
  </si>
  <si>
    <t xml:space="preserve">This paper presents a digital image dataset of historical handwritten birth records stored in the archives of several parishes across Sweden, together with the corresponding metadata that supports the evaluation of document analysis algorithms' performance. The dataset is called SHIBR (the Swedish Historical Birth Records). The contribution of this paper is twofold. First, we believe it is the first and the largest Swedish dataset of its kind provided as open access (15,000 high-resolution colour images of the era between 1800 and 1840). We also perform some data mining of the dataset to uncover some statistics and facts that might be of interest and use to genealogists. Second, we provide a comprehensive survey of contemporary datasets in the field that are open to the public along with a compact review of word spotting techniques. The word transcription file contains 17 columns of information pertaining to each image (e.g., child's first name, birth date, date of baptism, father's first/last name, mother's first/last name, death records, town, job title of the father/mother, etc.). Moreover, we evaluate some deep learning models, pre-trained on two other renowned datasets, for word spotting in SHIBR. However, our dataset proved challenging due to the unique handwriting style. Therefore, the dataset could also be used for competitions dedicated to a large set of document analysis problems, including word spotting.</t>
  </si>
  <si>
    <t xml:space="preserve">[Cheddad, Abbas; Kusetogullari, Huseyin] Blekinge Inst Technol, Dept Comp Sci, S-37179 Karlskrona, Sweden; [Hilmkil, Agrin] Peltarion AB, Hollandargatan 17, S-11160 Stockholm, Sweden; [Yavariabdi, Amir] KTO Karatay Univ, Dept Mechatron Engn, Konya, Turkey; [Aouache, Mustapha] Ctr Dev Technol Avancees CDTA, Div Telecom, BP 17, Algiers, Baba Hassen, Algeria; [Hall, Johan] Arkiv Digital AD AB, Vaxjo, Sweden</t>
  </si>
  <si>
    <t xml:space="preserve">Blekinge Institute Technology; KTO Karatay University; Centre for the Development of Advanced Technologies (CDTA)</t>
  </si>
  <si>
    <t xml:space="preserve">abbas.cheddad@bth.se; huseyinkusetogullari@gmail.com; agrin@peltarion.com; lena.alkonost@gmail.com; amir.yavariabdi@gmail.com; maouache@cdta.dz; johan.hall@arkivdigital.se</t>
  </si>
  <si>
    <t xml:space="preserve">Mustapha, AOUACHE/AFK-0820-2022; Kusetogullari, Huseyin/IAQ-0788-2023; Cheddad, Abbas/R-7061-2018</t>
  </si>
  <si>
    <t xml:space="preserve">Mustapha, AOUACHE/0000-0003-1629-1183; Cheddad, Abbas/0000-0002-4390-411X</t>
  </si>
  <si>
    <t xml:space="preserve">research project DocPRESERV: Preserving &amp; Processing Historical Document Images with Artificial Intelligence, STINT; Swedish Foundation for International Cooperation in Research and Higher Education [AF2020-8892]; research project Scalable Resource Efficient Systems for Big Data Analytics, the Knowledge Foundation in Sweden [20140032]</t>
  </si>
  <si>
    <t xml:space="preserve">research project DocPRESERV: Preserving &amp; Processing Historical Document Images with Artificial Intelligence, STINT; Swedish Foundation for International Cooperation in Research and Higher Education; research project Scalable Resource Efficient Systems for Big Data Analytics, the Knowledge Foundation in Sweden</t>
  </si>
  <si>
    <t xml:space="preserve">This project is funded by the research project DocPRESERV: Preserving &amp; Processing Historical Document Images with Artificial Intelligence, STINT, the Swedish Foundation for International Cooperation in Research and Higher Education (Grant: AF2020-8892) and by the research project Scalable Resource Efficient Systems for Big Data Analytics, the Knowledge Foundation (Grant: 20140032) in Sweden. We also acknowledge the support of the Swedish company, Arkiv Digital AD AB, for providing the SHIBR dataset and for allowing us to make it open access. Finally, we acknowledge the editorial committee's support and the insightful comments and suggestions of the anonymous reviewers.</t>
  </si>
  <si>
    <t xml:space="preserve">10.1007/s00521-021-06207-z</t>
  </si>
  <si>
    <t xml:space="preserve">WL6KN</t>
  </si>
  <si>
    <t xml:space="preserve">WOS:000667130400001</t>
  </si>
  <si>
    <t xml:space="preserve">Silvanius, M; Rullgård, H; Ekström, M; Frånberg, O</t>
  </si>
  <si>
    <t xml:space="preserve">Silvanius, Marten; Rullgard, Hans; Ekstrom, Magnus; Franberg, Oskar</t>
  </si>
  <si>
    <t xml:space="preserve">Proposed Thalmann algorithm air diving decompression table for the Swedish Armed Forces</t>
  </si>
  <si>
    <t xml:space="preserve">UNDERSEA AND HYPERBARIC MEDICINE</t>
  </si>
  <si>
    <t xml:space="preserve">decompression sickness; decompression tables; deterministic modeling; diving research; military diving; probabilistic modeling</t>
  </si>
  <si>
    <t xml:space="preserve">VENOUS GAS EMBOLI; DIRECT ASCENT; MICROPARTICLE PRODUCTION; RISK; SICKNESS; BUBBLES; MODELS; OXYGEN; DIVES</t>
  </si>
  <si>
    <t xml:space="preserve">The Swedish Armed Forces (SwAF) air dive tables are under revision. Currently, the air dive table from the U.S. Navy (USN) Diving Manual (DM) Rev. 6 is used with an msw-to-fsw conversion. Since 2017, the USN has been diving according to USN DM rev. 7, which incorporates updated air dive tables derived from the Thalmann Exponential Linear Decompression Algorithm (EL-DCM) with VVAL79 parameters. The SwAF decided to replicate and analyze the USN table development methodology before revising their current tables. The ambition was to potentially find a table that correlates with the desired risk of decompression sickness. New compartmental parameters for the EL-DCM algorithm, called SWEN21B, were developed by applying maximum likelihood methods on 2,953 scientifically controlled direct ascent air dives with known outcomes of decompression sickness (DCS). The targeted probability of DCS for direct ascent air dives was &lt;= 1 parts per thousand overall and &lt;= 1 parts per thousand for neurological DCS (CNS-DCS). One hundred fifty-four wet validation dives were performed with air between 18 to 57 msw. Both direct ascent and decompression stop dives were conducted, resulting in incidences of two joint pain DCS (18 msw/59 minutes), one leg numbness CNS-DCS (51 msw/10 minutes with deco-stop), and nine marginal DCS cases, such as rashes and itching. A total of three DCS incidences, including one CNS-DCS, yield a predicted risk level (95% confidence interval) of 0.4-5.6% for DCS and 0.0-3.6% for CNS-DCS. Two out of three divers with DCS had patent foramen ovale. The SWEN21 table is recommended for the SwAF for air diving as it, after results from validation dives, suggests being within the desired risk levels for DCS and CNS-DCS.</t>
  </si>
  <si>
    <t xml:space="preserve">[Silvanius, Marten; Rullgard, Hans; Franberg, Oskar] Blekinge Inst Technol, Dept Math &amp; Nat Sci, Karlskrona, Sweden; [Silvanius, Marten] Swedish Armed Forces Diving &amp; Naval Med Ctr, Karlskrona, Sweden; [Ekstrom, Magnus; Franberg, Oskar] Lund Univ, Inst Clin Sci, Dept Resp Med &amp; Allergol, Lund, Sweden</t>
  </si>
  <si>
    <t xml:space="preserve">Silvanius, M (corresponding author), Blekinge Inst Technol, Dept Math &amp; Nat Sci, Karlskrona, Sweden.;Silvanius, M (corresponding author), Swedish Armed Forces Diving &amp; Naval Med Ctr, Karlskrona, Sweden.</t>
  </si>
  <si>
    <t xml:space="preserve">Swedish Defense Material Administration [430919-LB967593]; Swedish Society of Medical Research; Swedish Research Council [2019-02081]</t>
  </si>
  <si>
    <t xml:space="preserve">Swedish Defense Material Administration; Swedish Society of Medical Research; Swedish Research Council(Swedish Research Council)</t>
  </si>
  <si>
    <t xml:space="preserve">The Swedish Armed Forces supported this work through Swedish Defense Material Administration under Grant [430919-LB967593] ; additional support from the Swedish Society of Medical Research and the Swedish Research Council under Grant [2019-02081] .</t>
  </si>
  <si>
    <t xml:space="preserve">UNDERSEA &amp; HYPERBARIC MEDICAL SOC INC</t>
  </si>
  <si>
    <t xml:space="preserve">DURHAM</t>
  </si>
  <si>
    <t xml:space="preserve">21 WEST COLONY PLACE, STE 280, DURHAM, NC 27705 USA</t>
  </si>
  <si>
    <t xml:space="preserve">1066-2936</t>
  </si>
  <si>
    <t xml:space="preserve">UNDERSEA HYPERBAR M</t>
  </si>
  <si>
    <t xml:space="preserve">Undersea Hyperb. Med.</t>
  </si>
  <si>
    <t xml:space="preserve">Marine &amp; Freshwater Biology; Medicine, Research &amp; Experimental</t>
  </si>
  <si>
    <t xml:space="preserve">Marine &amp; Freshwater Biology; Research &amp; Experimental Medicine</t>
  </si>
  <si>
    <t xml:space="preserve">L3QL6</t>
  </si>
  <si>
    <t xml:space="preserve">WOS:001022437900001</t>
  </si>
  <si>
    <t xml:space="preserve">Plogmark, O; Hjelte, C; Ekström, M; Frånberg, O</t>
  </si>
  <si>
    <t xml:space="preserve">Plogmark, Oscar; Hjelte, Carl; Ekstrom, Magnus; Franberg, Oskar</t>
  </si>
  <si>
    <t xml:space="preserve">Agreement between ultrasonic bubble grades using a handheld self-positioning Doppler product and 2D cardiac ultrasound</t>
  </si>
  <si>
    <t xml:space="preserve">Decompression; Decompression illness; Decompression sickness; Diving research; Echocardiography; Ultrasound; Venous gas emboli</t>
  </si>
  <si>
    <t xml:space="preserve">Introduction: Intravascular bubble load after decompression can be detected and scored using ultrasound techniques that measure venous gas emboli (VGE). The aim of this study was to analyse the agreement between ultrasonic bubble grades from a handheld self-positioning product, the O'DiveTM, and cardiac 2D ultrasound after decompression. Methods: VGE were graded with both bilateral subclavian vein Doppler ultrasound (modified Spencer scale) and 2D cardiac images (Eftedal Brubakk scale). Agreement was analysed using weighted kappa (K-w). Analysis with K-w was made for all paired grades, including measurements with and without zero grades, and for each method's highest grades after each dive. Results: A total of 152 dives yielded 1,113 paired measurements. The K-w agreement between ultrasound VGE grades produced by cardiac 2D images and those from the O'Dive was 'fair'; when zero grades were excluded the agreement was 'poor'. The O'Dive was found to have a lower sensitivity to detect VGE compared to 2D cardiac image scoring. Conclusions: Compared to 2D cardiac image ultrasound, the O'Dive yielded generally lower VGE grades, which resulted in a low level of agreement (fair to poor) with K-w.</t>
  </si>
  <si>
    <t xml:space="preserve">[Plogmark, Oscar; Hjelte, Carl; Ekstrom, Magnus] Lund Univ, Dept Clin Sci Lund Resp Med &amp; Allergol, Fac Med, Lund, Sweden; [Plogmark, Oscar; Hjelte, Carl; Franberg, Oskar] Swedish Armed Forces, Swedish Armed Forces Div, Karlskrona, Sweden; [Plogmark, Oscar; Hjelte, Carl; Franberg, Oskar] Swedish Armed Forces, Naval Med Ctr, Karlskrona, Sweden; [Hjelte, Carl] Sahlgrens Univ Hosp, Anesthesia &amp; Intens Care, Gothenburg, Sweden; [Franberg, Oskar] Blekinge Inst Technol, Dept Math &amp; Nat Sci, Karlskrona, Sweden</t>
  </si>
  <si>
    <t xml:space="preserve">Lund University; Sahlgrenska University Hospital; Blekinge Institute Technology</t>
  </si>
  <si>
    <t xml:space="preserve">Plogmark, O (corresponding author), Sten Bergmans Vag 21, S-12146 Johanneshov, Sweden.</t>
  </si>
  <si>
    <t xml:space="preserve">o_plogmark@hotmail.com</t>
  </si>
  <si>
    <t xml:space="preserve">Franberg, Oskar/KHU-8967-2024</t>
  </si>
  <si>
    <t xml:space="preserve">Swedish Armed Forces, Diving and Naval Medicine Centre</t>
  </si>
  <si>
    <t xml:space="preserve">Further we greatly appreciate the support from the Swedish Armed Forces, Diving and Naval Medicine Centre.</t>
  </si>
  <si>
    <t xml:space="preserve">10.28920/dhm52.4.281-285</t>
  </si>
  <si>
    <t xml:space="preserve">O1OG7</t>
  </si>
  <si>
    <t xml:space="preserve">WOS:001041577100007</t>
  </si>
  <si>
    <t xml:space="preserve">Söderberg, E; Church, L; Börstler, J; Niehorster, DC; Rydenfalt, C</t>
  </si>
  <si>
    <t xml:space="preserve">Soderberg, Emma; Church, Luke; Borstler, Jurgen; Niehorster, Diederick C.; Rydenfalt, Christofer</t>
  </si>
  <si>
    <t xml:space="preserve">What's bothering developers in code review?</t>
  </si>
  <si>
    <t xml:space="preserve">2022 ACM/IEEE 44TH INTERNATIONAL CONFERENCE ON SOFTWARE ENGINEERING: SOFTWARE ENGINEERING IN PRACTICE (ICSE-SEIP 2022)</t>
  </si>
  <si>
    <t xml:space="preserve">ACM/IEEE 44th International Conference on Software Engineering - Software Engineering in Practice (ICSE-SEIP)</t>
  </si>
  <si>
    <t xml:space="preserve">MAY 22-27, 2022</t>
  </si>
  <si>
    <t xml:space="preserve">software development; code review; user experience</t>
  </si>
  <si>
    <t xml:space="preserve">The practice of code review is widely adopted in industry and has been studied to an increasing degree in the research community. However, the developer experience of code review has received limited attention. Here, we report on initial results from a mixed-method exploratory study of the developer experience.</t>
  </si>
  <si>
    <t xml:space="preserve">[Soderberg, Emma] Lund Univ, Dept Comp Sci, Lund, Sweden; [Church, Luke] Lund Univ, Lund, Sweden; [Church, Luke] Univ Cambridge, Cambridge, England; [Borstler, Jurgen] Blekinge Inst Technol, Dept Software Engn, Karlskrona, Sweden; [Niehorster, Diederick C.] Lund Univ, Dept Psychol, Humanities Lab, Lund, Sweden; [Rydenfalt, Christofer] Lund Univ, Dept Design Sci, Lund, Sweden</t>
  </si>
  <si>
    <t xml:space="preserve">Lund University; Lund University; University of Cambridge; Blekinge Institute Technology; Lund University; Lund University</t>
  </si>
  <si>
    <t xml:space="preserve">Söderberg, E (corresponding author), Lund Univ, Dept Comp Sci, Lund, Sweden.</t>
  </si>
  <si>
    <t xml:space="preserve">emma.soderberg@cs.lth.se; luke@church.name; jurgen.borstler@bth.se; diederick_c.niehorster@humlab.lu.se; christofer.rydenfalt@design.lth.se</t>
  </si>
  <si>
    <t xml:space="preserve">Börstler, Jürgen/IWE-4001-2023; Niehorster, Diederick Christian/E-9325-2010</t>
  </si>
  <si>
    <t xml:space="preserve">Niehorster, Diederick Christian/0000-0002-4672-8756; Borstler, Jurgen/0000-0003-0639-4234</t>
  </si>
  <si>
    <t xml:space="preserve">ELLIIT - the Swedish Strategic Research Area in IT and Mobile Communications; Swedish Foundation for Strategic Research [FFL18-0231]; Swedish Research Council [2019-05658]; Swedish Research Council [2019-05658] Funding Source: Swedish Research Council; Swedish Foundation for Strategic Research (SSF) [FFL18-0231] Funding Source: Swedish Foundation for Strategic Research (SSF)</t>
  </si>
  <si>
    <t xml:space="preserve">ELLIIT - the Swedish Strategic Research Area in IT and Mobile Communications; Swedish Foundation for Strategic Research(Swedish Foundation for Strategic Research); Swedish Research Council(Swedish Research Council); Swedish Research Council(Swedish Research Council); Swedish Foundation for Strategic Research (SSF)(Swedish Foundation for Strategic Research)</t>
  </si>
  <si>
    <t xml:space="preserve">This work has been partially supported by ELLIIT - the Swedish Strategic Research Area in IT and Mobile Communications, the Swedish Foundation for Strategic Research (grant no. FFL18-0231), and the Swedish Research Council (grant no. 2019-05658).</t>
  </si>
  <si>
    <t xml:space="preserve">978-1-6654-9590-5</t>
  </si>
  <si>
    <t xml:space="preserve">10.1145/3510457.3513083</t>
  </si>
  <si>
    <t xml:space="preserve">BT7NG</t>
  </si>
  <si>
    <t xml:space="preserve">WOS:000850199400052</t>
  </si>
  <si>
    <t xml:space="preserve">Karras, O; Schneider, K; Fricker, SA</t>
  </si>
  <si>
    <t xml:space="preserve">Karras, Oliver; Schneider, Kurt; Fricker, Samuel A.</t>
  </si>
  <si>
    <t xml:space="preserve">Representing software project vision by means of video: A quality model for vision videos</t>
  </si>
  <si>
    <t xml:space="preserve">Vision; Video; Vision video; Production; Quality characteristic; Quality model</t>
  </si>
  <si>
    <t xml:space="preserve">PACKET-LOSS VISIBILITY; REQUIREMENTS ELICITATION; SUPPORTING REQUIREMENTS; PRODUCT DEVELOPMENT; COEFFICIENT; AGREEMENT; IMPACT; MARKET; SPEED</t>
  </si>
  <si>
    <t xml:space="preserve">Establishing a shared software project vision is a key challenge in Requirements Engineering (RE). Several approaches use videos to represent visions. However, these approaches omit how to produce a good video. This missing guidance is one crucial reason why videos are not established in RE. We propose a quality model for videos representing a vision, so-called vision videos. Based on two literature reviews, we elaborate ten quality characteristics of videos and five quality characteristics of visions which together form a quality model for vision videos that includes all 15 quality characteristics. We provide two representations of the quality model: (a) a hierarchical decomposition of vision video quality into the quality characteristics and (b) a mapping of these characteristics to the video production and use process. While the hierarchical decomposition supports the evaluation of vision videos, the mapping provides guidance for video production. In an evaluation with 139 students, we investigated whether the 15 characteristics are related to the overall quality of vision videos perceived by the subjects from a developer's the point of view. Six characteristics (video length, focus, prior knowledge, clarity, pleasure, and stability) correlated significantly with the likelihood that the subjects perceived a vision video as good. These relationships substantiate a fundamental relevance of the proposed quality model. Therefore, we conclude that the quality model is a sound basis for future refinements and extensions. (C) 2019 Elsevier Inc. All rights reserved.</t>
  </si>
  <si>
    <t xml:space="preserve">[Karras, Oliver; Schneider, Kurt] Leibniz Univ Hannover, Software Engn Grp, D-30167 Hannover, Germany; [Fricker, Samuel A.] Fachhsch Nordwestschweiz, Inst Interact Technol, CH-5210 Windisch, Switzerland; [Fricker, Samuel A.] Blekinge Inst Technol, Software Engn Res Lab SERL Sweden, S-37179 Karlskrona, Sweden</t>
  </si>
  <si>
    <t xml:space="preserve">Leibniz University Hannover; FHNW University of Applied Sciences &amp; Arts Northwestern Switzerland; Blekinge Institute Technology</t>
  </si>
  <si>
    <t xml:space="preserve">Karras, O (corresponding author), Leibniz Univ Hannover, Software Engn Grp, D-30167 Hannover, Germany.</t>
  </si>
  <si>
    <t xml:space="preserve">oliver.karras@inf.uni-hannover.de; kurt.schneider@inf.uni-hannover.de; samuel.fricker@fhnw.ch</t>
  </si>
  <si>
    <t xml:space="preserve">Karras, Oliver/J-6869-2019</t>
  </si>
  <si>
    <t xml:space="preserve">Karras, Oliver/0000-0001-5336-6899; Schneider, Kurt/0000-0002-7456-8323</t>
  </si>
  <si>
    <t xml:space="preserve">Deutsche Forschungsgemeinschaft (DFG) [289386339]</t>
  </si>
  <si>
    <t xml:space="preserve">Deutsche Forschungsgemeinschaft (DFG)(German Research Foundation (DFG))</t>
  </si>
  <si>
    <t xml:space="preserve">This work was supported by the Deutsche Forschungsgemeinschaft (DFG) under Grant No.: 289386339, (2017-2019).</t>
  </si>
  <si>
    <t xml:space="preserve">10.1016/j.jss.2019.110479</t>
  </si>
  <si>
    <t xml:space="preserve">KO3DJ</t>
  </si>
  <si>
    <t xml:space="preserve">WOS:000515427800006</t>
  </si>
  <si>
    <t xml:space="preserve">Hallstedt, SI; Isaksson, O; Rönnbäck, AO</t>
  </si>
  <si>
    <t xml:space="preserve">Hallstedt, Sophie, I; Isaksson, Ola; Ronnback, Anna Ohrwall</t>
  </si>
  <si>
    <t xml:space="preserve">The Need for New Product Development Capabilities from Digitalization, Sustainability, and Servitization Trends</t>
  </si>
  <si>
    <t xml:space="preserve">digitalization; sustainability; servitization; trends; sustainable product development; product-service systems; manufacturing companies; design capabilities</t>
  </si>
  <si>
    <t xml:space="preserve">SERVICE; INNOVATION; BUSINESS; GREEN; MODEL; OPERATIONS; FRAMEWORK; STRATEGY; SUPPORT; DESIGN</t>
  </si>
  <si>
    <t xml:space="preserve">Apparent from the latest pandemic, the dynamics and rate of change in society accelerate on a global scale. Ongoing mega-trends in society, such as digitalization, sustainability, and servitization, fundamentally changes the conditions for manufacturers when developing and providing new products. This study clarifies the combined impact and consequences on product development capabilities in manufacturing firms of the three mega-trends: (i) digitalization, (ii) sustainability, and (iii) servitization. The research is based on a pre-study, complemented with a semi-structured interview study at small, medium-sized, and large Swedish-based manufacturing companies, and a systematic literature review. The research makes evident that the main challenge is to empower engineers and development teams to model, present, evaluate, and develop expected and smart digitalized solutions in a time-limited environment and prioritize the most resource efficient and sustainable solution. Therefore, four complementary support resources are suggested: (i) a knowledge management platform, (ii) a data management platform, (iii) a set of criteria and metrics measuring progression, and (iv) support methods and tools to define, model, and evaluate solutions. When integrated into a digital platform, developers can simultaneously access and process the necessary information needed for sustainable, digitalized, and servitized solutions.</t>
  </si>
  <si>
    <t xml:space="preserve">[Hallstedt, Sophie, I] Blekinge Inst Technol, Sch Engn, Dept Strateg Sustainable Dev, SE-37179 Karlskrona, Sweden; [Isaksson, Ola] Chalmers Univ Technol, Dept Ind &amp; Mat Sci, Div Prod Dev, SE-41296 Gothenburg, Sweden; [Ronnback, Anna Ohrwall] Lulea Univ Technol, Dept Business Adm Technol &amp; Social Sci, Div Humans &amp; Technol, SE-97187 Lulea, Sweden</t>
  </si>
  <si>
    <t xml:space="preserve">Blekinge Institute Technology; Chalmers University of Technology; Lulea University of Technology</t>
  </si>
  <si>
    <t xml:space="preserve">Hallstedt, SI (corresponding author), Blekinge Inst Technol, Sch Engn, Dept Strateg Sustainable Dev, SE-37179 Karlskrona, Sweden.</t>
  </si>
  <si>
    <t xml:space="preserve">Sophie.Hallstedt@bth.se; ola.isaksson@chalmers.se; anna.ohrwall.ronnback@ltu.se</t>
  </si>
  <si>
    <t xml:space="preserve">Isaksson, Ola/B-3100-2016</t>
  </si>
  <si>
    <t xml:space="preserve">Isaksson, Ola/0000-0003-0373-3720; I. Hallstedt, Sophie/0000-0002-7382-1825; Ohrwall Ronnback, Anna/0000-0001-9592-3809</t>
  </si>
  <si>
    <t xml:space="preserve">A portion of this study was funded by the Knowledge Foundation in Sweden.</t>
  </si>
  <si>
    <t xml:space="preserve">10.3390/su122310222</t>
  </si>
  <si>
    <t xml:space="preserve">PD1MM</t>
  </si>
  <si>
    <t xml:space="preserve">WOS:000597457900001</t>
  </si>
  <si>
    <t xml:space="preserve">Dallora, AL; Minku, L; Mendes, E; Rennemark, M; Anderberg, P; Berglund, JS</t>
  </si>
  <si>
    <t xml:space="preserve">Dallora, Ana Luiza; Minku, Leandro; Mendes, Emilia; Rennemark, Mikael; Anderberg, Peter; Sanmartin Berglund, Johan</t>
  </si>
  <si>
    <t xml:space="preserve">Multifactorial 10-Year Prior Diagnosis Prediction Model of Dementia</t>
  </si>
  <si>
    <t xml:space="preserve">dementia; prognosis; modifiable risk factors; decision tree; cost sensitive learning; wrapper feature selection; machine learning</t>
  </si>
  <si>
    <t xml:space="preserve">MILD COGNITIVE IMPAIRMENT; ALZHEIMERS-DISEASE; INSTRUMENTAL ACTIVITIES; RISK; POPULATION; INTERVENTION; METAANALYSIS; CONVERSION; MIDLIFE; PEOPLE</t>
  </si>
  <si>
    <t xml:space="preserve">Dementia is a neurodegenerative disorder that affects the older adult population. To date, no cure or treatment to change its course is available. Since changes in the brains of affected individuals could be evidenced as early as 10 years before the onset of symptoms, prognosis research should consider this time frame. This study investigates a broad decision tree multifactorial approach for the prediction of dementia, considering 75 variables regarding demographic, social, lifestyle, medical history, biochemical tests, physical examination, psychological assessment and health instruments. Previous work on dementia prognoses with machine learning did not consider a broad range of factors in a large time frame. The proposed approach investigated predictive factors for dementia and possible prognostic subgroups. This study used data from the ongoing multipurpose Swedish National Study on Aging and Care, consisting of 726 subjects (91 presented dementia diagnosis in 10 years). The proposed approach achieved an AUC of 0.745 and Recall of 0.722 for the 10-year prognosis of dementia. Most of the variables selected by the tree are related to modifiable risk factors; physical strength was important across all ages. Also, there was a lack of variables related to health instruments routinely used for the dementia diagnosis.</t>
  </si>
  <si>
    <t xml:space="preserve">[Dallora, Ana Luiza; Anderberg, Peter; Sanmartin Berglund, Johan] Blekinge Inst Technol, Dept Hlth, S-37179 Karlskrona, Sweden; [Minku, Leandro] Univ Birmingham, Sch Comp Sci, Birmingham B15 2TT, W Midlands, England; [Mendes, Emilia] Blekinge Inst Technol, Dept Comp Sci, S-37179 Karlskrona, Sweden; [Rennemark, Mikael] Linnaeus Univ, Fac Hlth &amp; Life Sci, S-35195 Kalmar, Sweden</t>
  </si>
  <si>
    <t xml:space="preserve">Blekinge Institute Technology; University of Birmingham; Blekinge Institute Technology; Linnaeus University</t>
  </si>
  <si>
    <t xml:space="preserve">Dallora, AL (corresponding author), Blekinge Inst Technol, Dept Hlth, S-37179 Karlskrona, Sweden.</t>
  </si>
  <si>
    <t xml:space="preserve">ada@bth.se; l.l.minku@bham.ac.uk; emilia.mendes@bth.se; mikael.rennemark@lnu.se; peter.anderberg@bth.se; johan.sanmartin.berglund@bth.se</t>
  </si>
  <si>
    <t xml:space="preserve">Mendes, Maria/B-4207-2015; Sanmartin Berglund, Johan/HGB-0471-2022; Anderberg, Peter/B-5541-2012</t>
  </si>
  <si>
    <t xml:space="preserve">Dallora Moraes, Ana Luiza/0000-0002-6752-017X; Anderberg, Peter/0000-0001-9870-8477; Berglund, Johan/0000-0003-4312-2246; Minku, Leandro/0000-0002-2639-0671; Mendes, Emilia/0000-0003-0449-5322</t>
  </si>
  <si>
    <t xml:space="preserve">Swedish National Graduate School for Competitive Science on Ageing and Health (SWEAH) - Swedish Research Council</t>
  </si>
  <si>
    <t xml:space="preserve">The first author's learning process was supported by the Swedish National Graduate School for Competitive Science on Ageing and Health (SWEAH) funded by the Swedish Research Council.</t>
  </si>
  <si>
    <t xml:space="preserve">10.3390/ijerph17186674</t>
  </si>
  <si>
    <t xml:space="preserve">OD6UU</t>
  </si>
  <si>
    <t xml:space="preserve">WOS:000579987200001</t>
  </si>
  <si>
    <t xml:space="preserve">Ståhle, P; Shahmardani, M; Kao-Walter, S</t>
  </si>
  <si>
    <t xml:space="preserve">Iacoviello, F; Sedmak, A; Marsavina, L; Blackman, B; Ferro, GA; Shlyannikov, V; Stahle, P; Zhang, Z; Moreira, PMGP; Bozic, Z; BanksSills, L</t>
  </si>
  <si>
    <t xml:space="preserve">Stahle, Per; Shahmardani, Mahdieh; Kao-Walter, Sharon</t>
  </si>
  <si>
    <t xml:space="preserve">On buckling and fracture of thin elastic-plastic foils</t>
  </si>
  <si>
    <t xml:space="preserve">1ST VIRTUAL EUROPEAN CONFERENCE ON FRACTURE - VECF1</t>
  </si>
  <si>
    <t xml:space="preserve">1st European-Structural-Integrity-Society (ESIS) Virtual European Conference on Fracture (ECF)</t>
  </si>
  <si>
    <t xml:space="preserve">JUN 29-JUL 01, 2020</t>
  </si>
  <si>
    <t xml:space="preserve">European Struct Integr Soc</t>
  </si>
  <si>
    <t xml:space="preserve">Thin foil; Metal; Buckling; Necking; Fracture; Elastic-Plastic; Cohesive zone</t>
  </si>
  <si>
    <t xml:space="preserve">The interaction of simultaneous fracture and buckling constitutes problems at manufacturing and handling of thin foils. Buckling occurs as an additional event that complicates the prediction of the critical load that may lead to fracture. For most sufficiently thin foils the plastic slip occurs through the foil thickness which leads to reduction of the cross section width until the foil fails. The process leads to a necking type of deformation which confines itself to a narrow region that extends ahead of the crack tip. The width of the region is close to the foil thickness. At failure the width of the necking region is twice the foil thickness. In the present investigation the crack is assumed to be small compared to the foil geometry and the foil is assumed to be small compared with the crack length. Because of the latter the necking type of plastic region is modelled as a cohesive zone. Since the fracture toughness is not involved in the failure the only two relevant length parameters are crack length and foil thickness. The material model is defined by the elastic modulus, Poisson's ratio and yield stress. The remote load at buckling and at failure is determined and given on dimensionless form, which leaves Poisson's ratio and the ratio of buckling stress versus failure stress as the only free parameters. Two scales of yielding, the load at the ASTM-limit for linear fracture mechanics and twice that load, including the purely elastic result are investigated. Poisson's ratio is varied in the interval from -0.9 to 0.5 for the elastic case and from -0.6 to 0.5 for the plastic cases. The lower theoretical limit -1 for Poisson's ratio was not obtained because of numerical difficulties. The results rules out the possibility of failure before buckling for any reasonable construction material. (C) 2020 The Authors. Published by Elsevier B.V. This is an open access article under the CC BY-NC-ND license (http://creativecommons.org/licenses/by-nc-nd4.0) Peer-review under responsibility of the European Structural Integrity Society (ESIS) ExCo</t>
  </si>
  <si>
    <t xml:space="preserve">[Stahle, Per; Shahmardani, Mahdieh; Kao-Walter, Sharon] Blekinge Inst Technol, Fac Engn, Karlskrona, Sweden; [Stahle, Per] Lund Univ, Div Solid Mech, Lund, Sweden; [Shahmardani, Mahdieh] Ruhr Univ Bochum, Interdisciplinary C Adv Mat Simulat ICAMS, Univ Str 150, D-44801 Bochum, Germany; [Kao-Walter, Sharon] Shanghai Polytech Univ, Coll Engn, Shanghai, Peoples R China</t>
  </si>
  <si>
    <t xml:space="preserve">Blekinge Institute Technology; Lund University; Ruhr University Bochum; Shanghai Polytechnic University</t>
  </si>
  <si>
    <t xml:space="preserve">Ståhle, P (corresponding author), Blekinge Inst Technol, Fac Engn, Karlskrona, Sweden.;Ståhle, P (corresponding author), Lund Univ, Div Solid Mech, Lund, Sweden.</t>
  </si>
  <si>
    <t xml:space="preserve">per.stahle@solid.lth.se</t>
  </si>
  <si>
    <t xml:space="preserve">Ståhle, Per/J-3590-2014</t>
  </si>
  <si>
    <t xml:space="preserve">Blekinge Institute of Technology; Tetra Pak</t>
  </si>
  <si>
    <t xml:space="preserve">Support from Blekinge Institute of Technology and Tetra Pak is gratefully acknowledged.</t>
  </si>
  <si>
    <t xml:space="preserve">Radarweg 29, PO Box 211, AMSTERDAM, NETHERLANDS</t>
  </si>
  <si>
    <t xml:space="preserve">10.1016/j.prostr.2020.11.030</t>
  </si>
  <si>
    <t xml:space="preserve">Engineering, Civil; Engineering, Mechanical; Materials Science, Multidisciplinary</t>
  </si>
  <si>
    <t xml:space="preserve">Engineering; Materials Science</t>
  </si>
  <si>
    <t xml:space="preserve">BR1HJ</t>
  </si>
  <si>
    <t xml:space="preserve">WOS:000632387500233</t>
  </si>
  <si>
    <t xml:space="preserve">Automated NFR testing in continuous integration environments: a multi-case study of Nordic companies</t>
  </si>
  <si>
    <t xml:space="preserve">Non-functional requirements; NFR; Continuous integration; CI; Automated testing; Metrics; Case study</t>
  </si>
  <si>
    <t xml:space="preserve">CHALLENGES; CONTEXT</t>
  </si>
  <si>
    <t xml:space="preserve">ContextNon-functional requirements (NFRs) (also referred to as system qualities) are essential for developing high-quality software. Notwithstanding its importance, NFR testing remains challenging, especially in terms of automation. Compared to manual verification, automated testing shows the potential to improve the efficiency and effectiveness of quality assurance, especially in the context of Continuous Integration (CI). However, studies on how companies manage automated NFR testing through CI are limited.ObjectiveThis study examines how automated NFR testing can be enabled and supported using CI environments in software development companies.MethodWe performed a multi-case study at four companies by conducting 22 semi-structured interviews with industrial practitioners.ResultsMaintainability, reliability, performance, security and scalability, were found to be evaluated with automated tests in CI environments. Testing practices, quality metrics, and challenges for measuring NFRs were reported.ConclusionsThis study presents an empirically derived model that shows how data produced by CI environments can be used for evaluation and monitoring of implemented NFR quality. Additionally, the manuscript presents explicit metrics, CI components, tools, and challenges that shall be considered while performing NFR testing in practice.</t>
  </si>
  <si>
    <t xml:space="preserve">[Yu, Liang; Alegroth, Emil; Gorschek, Tony] Blekinge Inst Technol, Karlskrona, Sweden; [Chatzipetrou, Panagiota] Orebro Univ, CERIS, Sch Business, Dept Informat, SE-70182 Orebro, Sweden; [Gorschek, Tony] Fortiss GmbH, D-80805 Munich, Germany</t>
  </si>
  <si>
    <t xml:space="preserve">Blekinge Institute Technology; Orebro University; fortiss</t>
  </si>
  <si>
    <t xml:space="preserve">KKS Foundation through the S.E.R.T. Research Profile Project; KKS PLEng 2.0 at Blekinge Institute of Technology</t>
  </si>
  <si>
    <t xml:space="preserve">We acknowledge support from the KKS Foundation through the S.E.R.T. Research Profile Project and the KKS PLEng 2.0 at Blekinge Institute of Technology.</t>
  </si>
  <si>
    <t xml:space="preserve">10.1007/s10664-023-10356-1</t>
  </si>
  <si>
    <t xml:space="preserve">U9KT1</t>
  </si>
  <si>
    <t xml:space="preserve">WOS:001087927600001</t>
  </si>
  <si>
    <t xml:space="preserve">Lundberg, L; Grahn, H; Cardellini, V; Polze, A; Shirinbab, S</t>
  </si>
  <si>
    <t xml:space="preserve">Lundberg, Lars; Grahn, Hakan; Cardellini, Valeria; Polze, Andreas; Shirinbab, Sogand</t>
  </si>
  <si>
    <t xml:space="preserve">Editorial to the Special Issue on Big Data in Industrial and Commercial Applications</t>
  </si>
  <si>
    <t xml:space="preserve">[Lundberg, Lars; Grahn, Hakan] Blekinge Inst Technol, Karlskrona, Sweden; [Cardellini, Valeria] Univ Roma Tor Vergata, Rome, Italy; [Polze, Andreas] Univ Potsdam, Hasso Plattner Inst, Potsdam, Germany; [Shirinbab, Sogand] Ericsson AB, Stockholm, Sweden</t>
  </si>
  <si>
    <t xml:space="preserve">Blekinge Institute Technology; University of Rome Tor Vergata; University of Potsdam; Ericsson</t>
  </si>
  <si>
    <t xml:space="preserve">Lundberg, L (corresponding author), Blekinge Inst Technol, Karlskrona, Sweden.</t>
  </si>
  <si>
    <t xml:space="preserve">lars.lundberg@bth.se; hakan.grahn@bth.se; cardellini@uniroma2.it; andreas.polze@hpi.uni-potsdam.de; sogand.shirinbab@ericsson.com</t>
  </si>
  <si>
    <t xml:space="preserve">Grahn, Håkan/G-9720-2011; Cardellini, Valeria/F-8409-2012</t>
  </si>
  <si>
    <t xml:space="preserve">Cardellini, Valeria/0000-0002-6870-7083</t>
  </si>
  <si>
    <t xml:space="preserve">NOV 15</t>
  </si>
  <si>
    <t xml:space="preserve">10.1016/j.bdr.2021.100244</t>
  </si>
  <si>
    <t xml:space="preserve">WD4NB</t>
  </si>
  <si>
    <t xml:space="preserve">WOS:000704918400001</t>
  </si>
  <si>
    <t xml:space="preserve">Garousi, V; Rainer, A; Felderer, M; Mäntylä, MV</t>
  </si>
  <si>
    <t xml:space="preserve">Garousi, Vahid; Rainer, Austen; Felderer, Michael; Mantyla, Mika V.</t>
  </si>
  <si>
    <t xml:space="preserve">Introduction to the Special Issue on: Grey Literature and Multivocal Literature Reviews (MLRs) in software engineering</t>
  </si>
  <si>
    <t xml:space="preserve">Grey literature; Multivocal literature review; Evidence-based software engineering; Epistemology</t>
  </si>
  <si>
    <t xml:space="preserve">In parallel to academic (peer-reviewed) literature (e.g., journal and conference papers), an enormous extent of grey literature (GL) has accumulated since the inception of software engineering (SE). GL is often defined as literature that is not formally published in sources such as books or journal articles, e.g., in the form of trade magazines, online blog-posts, technical reports, and online videos such as tutorial and presentation videos. GL is typically produced by SE practitioners. We have observed that researchers are increasingly using and benefitting from the knowledge available within GL. Related to the notion of GL is the notion of Multivocal Literature Reviews (MLRs) in SE, i.e., a MLR is a form of a Systematic Literature Review (SLR) which includes knowledge and/or evidence from the GL in addition to the peer-reviewed literature. MLRs are useful for both researchers and practitioners because they provide summaries of both the state-of-the-art and -practice in a given area. MLRs are popular in other fields and have started to appear in SE community. It is timely then for a Special Issue (SI) focusing on GL and MLRs in SE. From the pool of 13 submitted papers, and after following a rigorous peer review process, seven papers were accepted for this SI. In this introduction we provide a brief overview of GL and MLRs in SE, and then a brief summary of the seven papers published in this SI.</t>
  </si>
  <si>
    <t xml:space="preserve">[Garousi, Vahid; Rainer, Austen] Queens Univ Belfast, Belfast, Antrim, North Ireland; [Felderer, Michael] Univ Innsbruck, Innsbruck, Austria; [Felderer, Michael] Blekinge Inst Technol, Karlskrona, Sweden; [Mantyla, Mika V.] Univ Oulu, Oulu, Finland</t>
  </si>
  <si>
    <t xml:space="preserve">Queens University Belfast; University of Innsbruck; Blekinge Institute Technology; University of Oulu</t>
  </si>
  <si>
    <t xml:space="preserve">v.garousi@qub.ac.uk; a.rainer@qub.ac.uk; michael.felderer@uibk.ac.at; mantyla@oulu.fi</t>
  </si>
  <si>
    <t xml:space="preserve">Mäntylä, Mika/E-7644-2012; Felderer, Michael/AAF-4909-2020</t>
  </si>
  <si>
    <t xml:space="preserve">Rainer, Austen/0000-0001-8868-263X; Garousi, Vahid/0000-0001-6590-7576</t>
  </si>
  <si>
    <t xml:space="preserve">10.1016/j.infsof.2021.106697</t>
  </si>
  <si>
    <t xml:space="preserve">WOS:000701988700001</t>
  </si>
  <si>
    <t xml:space="preserve">Guo, H; Li, JY; Gao, S; Smite, D</t>
  </si>
  <si>
    <t xml:space="preserve">Dennehy, D; Griva, A; Pouloudi, N; Dwivedi, YK; Pappas, I; Mantymaki, M</t>
  </si>
  <si>
    <t xml:space="preserve">Guo, Hong; Li, Jingyue; Gao, Shang; Smite, Darja</t>
  </si>
  <si>
    <t xml:space="preserve">Understanding How Enterprise Architecture Contributes to Organizational Alignment</t>
  </si>
  <si>
    <t xml:space="preserve">RESPONSIBLE AI AND ANALYTICS FOR AN ETHICAL AND INCLUSIVE DIGITIZED SOCIETY, I3E 2021</t>
  </si>
  <si>
    <t xml:space="preserve">20th IFIP WG 6.11 Conference on e-Business, e-Services, and e-Society (I3E)</t>
  </si>
  <si>
    <t xml:space="preserve">SEP 01-03, 2021</t>
  </si>
  <si>
    <t xml:space="preserve">Galway, IRELAND</t>
  </si>
  <si>
    <t xml:space="preserve">Int Federat Automat Control</t>
  </si>
  <si>
    <t xml:space="preserve">Alignment; Enterprise Architecture; EA; Model Quality</t>
  </si>
  <si>
    <t xml:space="preserve">INFORMATION-TECHNOLOGY; QUALITY</t>
  </si>
  <si>
    <t xml:space="preserve">Alignment is one of the most important benefits that Enterprise Architecture (EA) could bring to organizations. However, it is still unclear what mechanism EA uses to help organizations achieve alignment. Related research is very scattered, making it difficult to accumulate relevant knowledge and experiences, and thus, the more successful EA application is hindered. To address this issue, the present research examines essential requirements of alignment and mechanisms with which underlying EA deliverable models impact organizations. By doing so, we proposed a conceptual framework explaining how EA modeling activities contribute to organizational alignment. We demonstrated the use of this framework with three use cases. The results show that EA could help organizations achieve alignment in quite different ways, and our proposed framework helped us examine and understand the mechanisms. We expect this research could establish an essential common understanding of how EA enables organizational alignment, thereby facilitating academia to move forward in this field.</t>
  </si>
  <si>
    <t xml:space="preserve">[Guo, Hong] Anhui Univ, 111 Jiulong Rd, Hefei, Peoples R China; [Guo, Hong; Li, Jingyue; Smite, Darja] Norwegian Univ Sci &amp; Technol, Trondheim, Norway; [Gao, Shang] Orebro Univ, Orebro, Sweden; [Smite, Darja] Blekinge Inst Technol, Karlskrona, Sweden</t>
  </si>
  <si>
    <t xml:space="preserve">Anhui University; Norwegian University of Science &amp; Technology (NTNU); Orebro University; Blekinge Institute Technology</t>
  </si>
  <si>
    <t xml:space="preserve">Guo, H (corresponding author), Anhui Univ, 111 Jiulong Rd, Hefei, Peoples R China.;Guo, H (corresponding author), Norwegian Univ Sci &amp; Technol, Trondheim, Norway.</t>
  </si>
  <si>
    <t xml:space="preserve">hong.guo@ntnu.no; jingyue.li@ntnu.no; shang.gao@oru.se; darja.smite@ntnu.no</t>
  </si>
  <si>
    <t xml:space="preserve">Gao, Shang/AAZ-6489-2020</t>
  </si>
  <si>
    <t xml:space="preserve">Gao, Shang/0000-0002-3722-6797; Li, Jingyue/0000-0002-7958-391X</t>
  </si>
  <si>
    <t xml:space="preserve">European Research Consortium for Informatics and Mathematics (ERCIM); NFR [295920 IDUN]</t>
  </si>
  <si>
    <t xml:space="preserve">European Research Consortium for Informatics and Mathematics (ERCIM); NFR(Research Council of Norway)</t>
  </si>
  <si>
    <t xml:space="preserve">This research is financially supported by The European Research Consortium for Informatics and Mathematics (ERCIM) (https://www.ercim.eu/).This work has been partially supported by NFR 295920 IDUN.</t>
  </si>
  <si>
    <t xml:space="preserve">978-3-030-85446-1; 978-3-030-85447-8</t>
  </si>
  <si>
    <t xml:space="preserve">10.1007/978-3-030-85447-8_33</t>
  </si>
  <si>
    <t xml:space="preserve">Computer Science, Artificial Intelligence; Computer Science, Information Systems; Computer Science, Interdisciplinary Applications; Computer Science, Theory &amp; Methods</t>
  </si>
  <si>
    <t xml:space="preserve">BX9WU</t>
  </si>
  <si>
    <t xml:space="preserve">WOS:001352263900033</t>
  </si>
  <si>
    <t xml:space="preserve">Wang, XL; Liu, MH; Kao-Walter, S; Hu, XP</t>
  </si>
  <si>
    <t xml:space="preserve">Wang, Xueliang; Liu, Meihong; Kao-Walter, Sharon; Hu, Xiangping</t>
  </si>
  <si>
    <t xml:space="preserve">Numerical Evaluation of Rotordynamic Coefficients for Compliant Foil Gas Seal</t>
  </si>
  <si>
    <t xml:space="preserve">compliant foil gas seal; rotordynamic coefficients; numerical evaluation</t>
  </si>
  <si>
    <t xml:space="preserve">Compliant foil gas seal is one of the advanced cylindrical gas seal technologies and can be commonly used in the secondary flow system of an aero-engine. It can enhance the dynamic stability of the aero-engine by meeting the steady requirements of the aero-engine seal system. To evaluate the performance of compliant foil gas seal, the steady performance of the gas seal is firstly analyzed to predict the sealing efficiency and obtain the pressure distribution of the gas seal in the compressible flow field. Then, the effects of the operating parameters on the rotordynamic coefficients are analyzed using the finite differential method. It can be used to predict the operation performance of the aero-engine and prepare for the optimization and test rig of compliant foil gas seal on the T-shaped groove.</t>
  </si>
  <si>
    <t xml:space="preserve">[Wang, Xueliang; Liu, Meihong] Kunming Univ Sci &amp; Technol KUST, Fac Mech &amp; Elect Engn, CN-650500 Kunming, Yunnan, Peoples R China; [Wang, Xueliang; Kao-Walter, Sharon] Blekinge Inst Technol, Dept Mech Engn, SE-37179 Karlskrona, Sweden; [Hu, Xiangping] Norwegian Univ Sci &amp; Technol, Dept Energy &amp; Proc Engn, Ind Ecol Programme, N-7491 Trondheim, Norway</t>
  </si>
  <si>
    <t xml:space="preserve">Kunming University of Science &amp; Technology; Blekinge Institute Technology; Norwegian University of Science &amp; Technology (NTNU)</t>
  </si>
  <si>
    <t xml:space="preserve">Liu, MH (corresponding author), Kunming Univ Sci &amp; Technol KUST, Fac Mech &amp; Elect Engn, CN-650500 Kunming, Yunnan, Peoples R China.</t>
  </si>
  <si>
    <t xml:space="preserve">xueliang.wang@bth.se; 20040173@kust.edu.cn; sharon.kao-walter@bth.se; xiangping.hu@ntnu.no</t>
  </si>
  <si>
    <t xml:space="preserve">Hu, Xiangping/ABE-8984-2020</t>
  </si>
  <si>
    <t xml:space="preserve">Hu, Xiangping/0000-0003-3468-8248</t>
  </si>
  <si>
    <t xml:space="preserve">China Scholarship Council [201708740009]</t>
  </si>
  <si>
    <t xml:space="preserve">China Scholarship Council(China Scholarship Council)</t>
  </si>
  <si>
    <t xml:space="preserve">This research was funded by the China Scholarship Council (grant no. 201708740009).</t>
  </si>
  <si>
    <t xml:space="preserve">10.3390/app10113828</t>
  </si>
  <si>
    <t xml:space="preserve">MC6HQ</t>
  </si>
  <si>
    <t xml:space="preserve">WOS:000543385900165</t>
  </si>
  <si>
    <t xml:space="preserve">Niklasson, J; Fagerström, C; Bergman, P; Lindberg, T; Backåberg, S</t>
  </si>
  <si>
    <t xml:space="preserve">Niklasson, Joakim; Fagerstrom, Cecilia; Bergman, Patrick; Lindberg, Terese; Backaberg, Sofia</t>
  </si>
  <si>
    <t xml:space="preserve">The meaning of sedentary behavior among older adults: a phenomenological hermeneutic study</t>
  </si>
  <si>
    <t xml:space="preserve">BMC PUBLIC HEALTH</t>
  </si>
  <si>
    <t xml:space="preserve">Ageing; Frailty; Lived experience; Ordinary housing; Physical activity sedentary behavior</t>
  </si>
  <si>
    <t xml:space="preserve">BackgroundA sedentary lifestyle has implications for health and well-being. For healthy ageing, it is recommended to interrupt prolonged sitting; however, little is known about the meaning of sedentary behavior among older adults. The aim of this study was to understand the meaning of sedentary behavior among older adults with initial support from community care.MethodsA phenomenological hermeneutics approach was used, and individual interviews were conducted with sixteen older adults aged 70 to 97 years, by phone and face to face. The older adults lived in ordinary housing in southern Sweden and received initial support from community care.ResultsThe interviews yielded three key themes: Being sedentary is an unnatural part of life, having an ageing body means unwanted frailty, and having a sedentary lifestyle is based on conscious choices.ConclusionBeing sedentary means having a lack of physical activity and social interactions, resulting in wanting to be more physically active than sometimes possible. Clinical practitioners should bear in mind that becoming more sedentary is inevitable with an ageing body, but that older adults may have an innate desire to be as physically active as possible. A lifelong exposure to physical activity, the possibility of well-being found in sedentary activities and the impact of social networks should not be overlooked when creating clinical interventions to break unhealthy sedentary behavior among older adults. To increase the understanding of sedentary behavior among older adults, future research could focus on the impact of physical impairment on sedentary behavior and the relationship between sedentary behavior and physical activity throughout life.</t>
  </si>
  <si>
    <t xml:space="preserve">[Niklasson, Joakim; Fagerstrom, Cecilia] Linnaeus Univ, Fac Hlth &amp; Life Sci, Kalmar, Sweden; [Fagerstrom, Cecilia] Reg Kalmar Cty, Dept Res, Kalmar, Sweden; [Bergman, Patrick] Linnaeus Univ, EHlth Inst, Fac Hlth &amp; Life Sci, Dept Med &amp; Optometry, Kalmar, Sweden; [Lindberg, Terese] Blekinge Inst Technol, Dept Hlth, Karlskrona, Sweden; [Backaberg, Sofia] Linnaeus Univ, Fac Hlth &amp; Life Sci, Vaxjo, Sweden; [Backaberg, Sofia] Univ Calgary, Fac Kinesiol, Calgary, AB, Canada</t>
  </si>
  <si>
    <t xml:space="preserve">Linnaeus University; Linnaeus University; Blekinge Institute Technology; Linnaeus University; University of Calgary</t>
  </si>
  <si>
    <t xml:space="preserve">Niklasson, J (corresponding author), Linnaeus Univ, Fac Hlth &amp; Life Sci, Kalmar, Sweden.</t>
  </si>
  <si>
    <t xml:space="preserve">joakim.niklasson@lnu.se</t>
  </si>
  <si>
    <t xml:space="preserve">Backåberg, Sofia/JTV-2798-2023</t>
  </si>
  <si>
    <t xml:space="preserve">Backaberg, Sofia/0000-0001-9687-7242; Niklasson, Joakim/0000-0001-8585-2218</t>
  </si>
  <si>
    <t xml:space="preserve">1471-2458</t>
  </si>
  <si>
    <t xml:space="preserve">BMC Public Health</t>
  </si>
  <si>
    <t xml:space="preserve">JUN 13</t>
  </si>
  <si>
    <t xml:space="preserve">10.1186/s12889-023-16052-5</t>
  </si>
  <si>
    <t xml:space="preserve">J4OW0</t>
  </si>
  <si>
    <t xml:space="preserve">WOS:001009432100002</t>
  </si>
  <si>
    <t xml:space="preserve">Moe, NB; Smite, D; Paasivaara, M; Lassenius, C</t>
  </si>
  <si>
    <t xml:space="preserve">Moe, Nils Brede; Smite, Darja; Paasivaara, Maria; Lassenius, Casper</t>
  </si>
  <si>
    <t xml:space="preserve">Finding the sweet spot for organizational control and team autonomy in large-scale agile software development</t>
  </si>
  <si>
    <t xml:space="preserve">Large-scale agile; Autonomy; Self-management; Communities of practice; Multiple-case study</t>
  </si>
  <si>
    <t xml:space="preserve">SELF-MANAGEMENT; DECISION-MAKING; WORK; CHALLENGES</t>
  </si>
  <si>
    <t xml:space="preserve">Agile methods and the related concepts of employee empowerment, self-management, and autonomy have reached large-scale software organizations and raise questions about commonly adopted principles for authority distribution. However, the optimum mechanism to balance the need for alignment, quality, and process control with the need or willingness of teams to be autonomous remains an unresolved issue. In this paper, we report our findings from a multiple-case study in two large-scale software development organizations in the telecom industry. We analysed the autonomy of the agile teams in the organizations using Hackman's classification of unit authority and found that the teams were partly self-managing. Further, we found that alignment across teams can be achieved top-down by management and bottom-up through membership in communities or through dialogue between the team and management. However, the degree of team autonomy was limited by the need for organizational alignment. Top-down alignment and control were maintained through centralized decision-making for certain areas, the use of supervisory roles, mandatory processes, and checklists. One case employed a bottom-up approach to alignment through the formation of a community composed of all teams, experts, and supporting roles, but excluding managers. This community-based alignment involved teams in decision-making and engaged them in alignment initiatives. We conclude that implementation of such bottom-up structures seems to provide one possible mechanism for balancing organizational control and team autonomy in large-scale software development.</t>
  </si>
  <si>
    <t xml:space="preserve">[Moe, Nils Brede] Blekinge Inst Technol, Karlskrona, Sweden; [Smite, Darja] Blekinge Inst Technol, Software Engn, Karlskrona, Sweden; [Moe, Nils Brede; Smite, Darja] SINTEF Digital, Trondheim, Norway; [Paasivaara, Maria; Lassenius, Casper] Aalto Univ, Helsinki, Finland; [Paasivaara, Maria] LUT Univ, Empir Software Engn, Lahti, Finland; [Lassenius, Casper] Simula Metropolitan Ctr Digital Engn, Oslo, Norway</t>
  </si>
  <si>
    <t xml:space="preserve">Blekinge Institute Technology; Blekinge Institute Technology; SINTEF; Aalto University</t>
  </si>
  <si>
    <t xml:space="preserve">Moe, NB (corresponding author), Blekinge Inst Technol, Karlskrona, Sweden.;Moe, NB (corresponding author), SINTEF Digital, Trondheim, Norway.</t>
  </si>
  <si>
    <t xml:space="preserve">nilsm@sintef.no</t>
  </si>
  <si>
    <t xml:space="preserve">Moe, Nils/AAD-8183-2021; Lassenius, Casper/A-4339-2013</t>
  </si>
  <si>
    <t xml:space="preserve">Moe, Nils Brede/0000-0003-2669-0778; Lassenius, Casper/0000-0003-4192-7024</t>
  </si>
  <si>
    <t xml:space="preserve">SINTEF AS; GoLD project; Swedish Knowledge Foundation under the KK-Hog [2016/0191]; Research Council of Norway [235359]; TEKES as part of the Need for Speed research programme of DIMECC (Finnish Strategic Center for Science, Technology and Innovation in the field of ICT and digital business)</t>
  </si>
  <si>
    <t xml:space="preserve">SINTEF AS(SINTEF); GoLD project; Swedish Knowledge Foundation under the KK-Hog; Research Council of Norway(Research Council of Norway); TEKES as part of the Need for Speed research programme of DIMECC (Finnish Strategic Center for Science, Technology and Innovation in the field of ICT and digital business)</t>
  </si>
  <si>
    <t xml:space="preserve">Open access funding provided by SINTEF AS. This research is partially funded by the GoLD project and the Swedish Knowledge Foundation under the KK-Hog grant 2016/0191, by the A-team project and the Research Council of Norway under the grants 235359, and by TEKES as part of the Need for Speed research programme of DIMECC (Finnish Strategic Center for Science, Technology and Innovation in the field of ICT and digital business).</t>
  </si>
  <si>
    <t xml:space="preserve">10.1007/s10664-021-09967-3</t>
  </si>
  <si>
    <t xml:space="preserve">UJ9IQ</t>
  </si>
  <si>
    <t xml:space="preserve">WOS:000691591800002</t>
  </si>
  <si>
    <t xml:space="preserve">García-Martín, E; Bifet, A; Lavesson, N</t>
  </si>
  <si>
    <t xml:space="preserve">Garcia-Martin, Eva; Bifet, Albert; Lavesson, Niklas</t>
  </si>
  <si>
    <t xml:space="preserve">Energy modeling of Hoeffding tree ensembles</t>
  </si>
  <si>
    <t xml:space="preserve">GreenAI; Hoeffding trees; data stream mining; energy efficiency; ensembles</t>
  </si>
  <si>
    <t xml:space="preserve">Energy consumption reduction has been an increasing trend in machine learning over the past few years due to its socio-ecological importance. In new challenging areas such as edge computing, energy consumption and predictive accuracy are key variables during algorithm design and implementation. State-of-the-art ensemble stream mining algorithms are able to create highly accurate predictions at a substantial energy cost. This paper introduces the nmin adaptation method to ensembles of Hoeffding tree algorithms, to further reduce their energy consumption without sacrificing accuracy. We also present extensive theoretical energy models of such algorithms, detailing their energy patterns and how nmin adaptation affects their energy consumption. We have evaluated the energy efficiency and accuracy of the nmin adaptation method on five different ensembles of Hoeffding trees under 11 publicly available datasets. The results show that we are able to reduce the energy consumption significantly, by 21% on average, affecting accuracy by less than one percent on average.</t>
  </si>
  <si>
    <t xml:space="preserve">[Garcia-Martin, Eva] Blekinge Inst Technol, Dept Comp Sci, Karlskrona, Sweden; [Bifet, Albert] Telecom ParisTech, Paris, France; [Lavesson, Niklas] Jonkoping Univ, Jonkoping, Sweden</t>
  </si>
  <si>
    <t xml:space="preserve">Blekinge Institute Technology; IMT - Institut Mines-Telecom; Institut Polytechnique de Paris; Telecom Paris; Jonkoping University</t>
  </si>
  <si>
    <t xml:space="preserve">García-Martín, E (corresponding author), Blekinge Inst Technol, Dept Comp Sci, Karlskrona, Sweden.</t>
  </si>
  <si>
    <t xml:space="preserve">eva.garcia.martin@bth.se</t>
  </si>
  <si>
    <t xml:space="preserve">Bifet, Albert/ISA-9610-2023; Lavesson, Niklas/B-3313-2013; Bifet, Albert/E-4984-2017</t>
  </si>
  <si>
    <t xml:space="preserve">Bifet, Albert/0000-0002-8339-7773</t>
  </si>
  <si>
    <t xml:space="preserve">10.3233/IDA-194890</t>
  </si>
  <si>
    <t xml:space="preserve">QH1VI</t>
  </si>
  <si>
    <t xml:space="preserve">WOS:000618065600006</t>
  </si>
  <si>
    <t xml:space="preserve">Ghani, Z; Saha, S; Jarl, J; Andersson, M; Berglund, JS; Anderberg, P</t>
  </si>
  <si>
    <t xml:space="preserve">Ghani, Zartashia; Saha, Sanjib; Jarl, Johan; Andersson, Martin; Berglund, Johan Sanmartin; Anderberg, Peter</t>
  </si>
  <si>
    <t xml:space="preserve">Short Term Economic Evaluation of the Digital Platform Support, Monitoring and Reminder Technology for Mild Dementia (SMART4MD) for People with Mild Cognitive Impairment and their Informal Caregivers</t>
  </si>
  <si>
    <t xml:space="preserve">JOURNAL OF ALZHEIMERS DISEASE</t>
  </si>
  <si>
    <t xml:space="preserve">Carer; cost-effectiveness; economic evaluation; elderly; memory; mHealth; mild cognitive impairment; mild dementia; mobile application; smartphone</t>
  </si>
  <si>
    <t xml:space="preserve">COST-EFFECTIVENESS ANALYSIS; MINI-MENTAL-STATE; QUALITY-OF-LIFE; ALZHEIMERS-DISEASE; CLINICAL-TRIALS; EQ-5D; BURDEN</t>
  </si>
  <si>
    <t xml:space="preserve">Background: A randomized controlled trial of the SMART4MD tablet application was conducted for persons with mild cognitive impairment (PwMCI) and their informal caregivers to improve or maintain quality of life. Objective: The objective was to conduct economic evaluation of SMART4MD compared to standard care in Sweden from a healthcare provider perspective based on a 6-month follow-up period. Methods: Three hundred forty-five dyads were enrolled: 173 dyads in the intervention group and 172 in standard care. The primary outcome measures for PwMCI and informal caregivers were quality-adjusted life years (QALY). The results are presented as incremental cost-effectiveness ratios, and confidence intervals are calculated using non-parametric bootstrap procedure. Results: For PwMCI, the mean difference in total costs between intervention and standard care was (sic)12 (95%CI: -2090 to 2115) (US$ =(sic) 1.19) and the mean QALY change was -0.004 (95%CI: -0.009 to 0.002). For informal caregivers, the cost difference was -(sic)539 (95%CI: -2624 to 1545) and 0.003 (95%CI: -0.002 to 0.008) for QALY. The difference in cost and QALY for PwMCI and informal caregivers combined was -(sic)527 (95%CI: -3621 to 2568) and -0.001 (95%CI: -0.008 to 0.006). Although generally insignificant differences, this indicates that SMART4MD, compared to standard care was: 1) more costly and less effective for PwMCI, 2) less costly and more effective for informal caregivers, and 3) less costly and less effective for PwMCI and informal caregivers combined. Conclusion: The cost-effectiveness of SMART4MD over 6 months is inconclusive, although the intervention might be more beneficial for informal caregivers than PwMCI.</t>
  </si>
  <si>
    <t xml:space="preserve">[Ghani, Zartashia; Berglund, Johan Sanmartin; Anderberg, Peter] Blekinge Inst Technol BTH, Dept Hlth, Appl Hlth Technol, Lumavagen 1, S-37150 Karlskrona, Sweden; [Andersson, Martin] Blekinge Inst Technol BTH, Dept Ind Econ, Karlskrona, Sweden; [Saha, Sanjib; Jarl, Johan] Lund Univ, Dept Clin Sci Malmo, Hlth Econ Unit, Lund, Sweden; [Anderberg, Peter] Skovde Univ, Dept Hlth Sci, Skovde, Sweden</t>
  </si>
  <si>
    <t xml:space="preserve">Blekinge Institute Technology; Blekinge Institute Technology; Lund University; University of Skovde</t>
  </si>
  <si>
    <t xml:space="preserve">Ghani, Z (corresponding author), Blekinge Inst Technol BTH, Dept Hlth, Appl Hlth Technol, Lumavagen 1, S-37150 Karlskrona, Sweden.</t>
  </si>
  <si>
    <t xml:space="preserve">zartashia.ghani@bth.se</t>
  </si>
  <si>
    <t xml:space="preserve">ghani, zartashia/ABE-4097-2020; Andersson, Martin/ADK-9763-2022; Sanmartin Berglund, Johan/HGB-0471-2022; Jarl, Johan/AFW-0684-2022; Anderberg, Peter/B-5541-2012</t>
  </si>
  <si>
    <t xml:space="preserve">Jarl, Johan/0000-0002-9274-2479; Saha, Sanjib/0000-0001-8649-0773; Guerrero-Pertinez, Gloria/0000-0002-4097-6628; ghani, zartashia/0000-0001-9360-2809; Anderberg, Peter/0000-0001-9870-8477</t>
  </si>
  <si>
    <t xml:space="preserve">European Commission [643399]; H2020 Societal Challenges Programme [643399] Funding Source: H2020 Societal Challenges Programme</t>
  </si>
  <si>
    <t xml:space="preserve">European Commission(European Union (EU)European Commission Joint Research Centre); H2020 Societal Challenges Programme(Horizon 2020European Union (EU)H2020 Societal Challenges Programme)</t>
  </si>
  <si>
    <t xml:space="preserve">The authors are grateful to everyone who volunteered to participate in the SMART4MD trial as well as the staff for their collaboration in data collection and management. The authors are also grateful to Region Blekinge for provision of healthcare utilization data. This study is part of SMART4MD (Support Monitoring and ReminderTechnology for Mild Dementia), European Commission, Horizon 2020 project 643399 (www.smart4md.eu).We greatly acknowledge the financial support. Neither the financial sponsor nor Healthbit Ltd played any role in the design, execution, analysis and interpretation of data, write-up of the study, or the decision to publish.</t>
  </si>
  <si>
    <t xml:space="preserve">1387-2877</t>
  </si>
  <si>
    <t xml:space="preserve">1875-8908</t>
  </si>
  <si>
    <t xml:space="preserve">J ALZHEIMERS DIS</t>
  </si>
  <si>
    <t xml:space="preserve">J. Alzheimers Dis.</t>
  </si>
  <si>
    <t xml:space="preserve">10.3233/JAD-215013</t>
  </si>
  <si>
    <t xml:space="preserve">Neurosciences</t>
  </si>
  <si>
    <t xml:space="preserve">0P8BE</t>
  </si>
  <si>
    <t xml:space="preserve">WOS:000784452600010</t>
  </si>
  <si>
    <t xml:space="preserve">Gren, L; Ralph, P</t>
  </si>
  <si>
    <t xml:space="preserve">Gren, Lucas; Ralph, Paul</t>
  </si>
  <si>
    <t xml:space="preserve">What Makes Effective Leadership in Agile Software Development Teams?</t>
  </si>
  <si>
    <t xml:space="preserve">2022 ACM/IEEE 44TH INTERNATIONAL CONFERENCE ON SOFTWARE ENGINEERING (ICSE 2022)</t>
  </si>
  <si>
    <t xml:space="preserve">ACM/IEEE 44th International Conference on Software Engineering (ICSE)</t>
  </si>
  <si>
    <t xml:space="preserve">IEEE,Assoc Comp Machinery,IEEE Comp Soc,IEEE Tech Council Software Engn,Assoc Comp Machinery, Special Interest Grp Software Engn</t>
  </si>
  <si>
    <t xml:space="preserve">agile methods; leadership; management; culture</t>
  </si>
  <si>
    <t xml:space="preserve">SOCIAL IDENTITY THEORY; ORGANIZATIONAL CULTURE; PERFORMANCE</t>
  </si>
  <si>
    <t xml:space="preserve">Effective leadership is one of the key drivers of business and project success, and one of the most active areas of management research. But how does leadership work in agile software development, which emphasizes self-management and self-organization and marginalizes traditional leadership roles? To find out, this study examines agile leadership from the perspective of thirteen professionals who identify as agile leaders, in different roles, at ten different software development companies of varying sizes. Data from semi-structured interviews reveals that leadership: (1) is dynamically shared among team members; (2) engenders a sense of belonging to the team; and (3) involves balancing competing organizational cultures (e.g. balancing the new agile culture with the old milestone-driven culture). In other words, agile leadership is a property of a team, not a role, and effectiveness depends on agile team members' identifying with the team, accepting responsibility, and being sensitive to cultural conflict.</t>
  </si>
  <si>
    <t xml:space="preserve">[Gren, Lucas] Volvo Cars, Gothenburg, Sweden; [Gren, Lucas] Univ Gothenburg, Gothenburg, Sweden; [Gren, Lucas] Blekinge Inst Technol, Karlskrona, Sweden; [Ralph, Paul] Dalhousie Univ, Halifax, NS, Canada</t>
  </si>
  <si>
    <t xml:space="preserve">Volvo; University of Gothenburg; Blekinge Institute Technology; Dalhousie University</t>
  </si>
  <si>
    <t xml:space="preserve">Gren, L (corresponding author), Volvo Cars, Gothenburg, Sweden.;Gren, L (corresponding author), Univ Gothenburg, Gothenburg, Sweden.;Gren, L (corresponding author), Blekinge Inst Technol, Karlskrona, Sweden.</t>
  </si>
  <si>
    <t xml:space="preserve">lucas.gren@lucasgren.com; paulralph@dal.ca</t>
  </si>
  <si>
    <t xml:space="preserve">Ralph, D./H-4322-2019</t>
  </si>
  <si>
    <t xml:space="preserve">978-1-4503-9221-1</t>
  </si>
  <si>
    <t xml:space="preserve">10.1145/3510003.3510100</t>
  </si>
  <si>
    <t xml:space="preserve">BT4NG</t>
  </si>
  <si>
    <t xml:space="preserve">Bronze, Green Published, Green Submitted</t>
  </si>
  <si>
    <t xml:space="preserve">WOS:000832185400194</t>
  </si>
  <si>
    <t xml:space="preserve">Sarwatt, DS; Lin, YJ; Ding, JG; Sun, YC; Ning, HS</t>
  </si>
  <si>
    <t xml:space="preserve">Sarwatt, Doreen Sebastian; Lin, Yujia; Ding, Jianguo; Sun, Yunchuan; Ning, Huansheng</t>
  </si>
  <si>
    <t xml:space="preserve">Metaverse for Intelligent Transportation Systems (ITS): A Comprehensive Review of Technologies, Applications, Implications, Challenges and Future Directions</t>
  </si>
  <si>
    <t xml:space="preserve">IEEE TRANSACTIONS ON INTELLIGENT TRANSPORTATION SYSTEMS</t>
  </si>
  <si>
    <t xml:space="preserve">Fundamental metaverse technologies; intelligent transportation system; metaverse; metaverse integration</t>
  </si>
  <si>
    <t xml:space="preserve">FUNDAMENTALS</t>
  </si>
  <si>
    <t xml:space="preserve">Intelligent transportation systems (ITS) have made significant advancements in enhancing transportation safety, reliability, and efficiency. However, challenges persist in security, privacy, data management, and integration. Metaverse, an emerging technology enabling immersive and simulated experiences, presents promising solutions to overcome these challenges. By establishing secure communication channels, facilitating virtual simulations for safe testing and training, and enabling centralized data management with real-time analytics, metaverse offers a transformative approach to address these challenges. While metaverse has found extensive applications across industries, its potential in transportation remains largely untapped. This comprehensive review delves into the integration of the metaverse in ITS, exploring key technologies like virtual reality, digital twin, blockchain, and artificial intelligence, and their specific applications in the context of ITS. Real-world case studies, research projects, and initiatives are compiled to showcase the metaverse's potential for ITS. It also examines the societal, economic, and technological implications of metaverse integration in ITS and highlights the associated integration challenges. Lastly, future research directions are identified to unlock the metaverse's full potential in enhancing transportation systems.</t>
  </si>
  <si>
    <t xml:space="preserve">[Sarwatt, Doreen Sebastian; Lin, Yujia; Ning, Huansheng] Univ Sci &amp; Technol Beijing, Sch Comp &amp; Commun Engn, Beijing 100083, Peoples R China; [Ding, Jianguo] Blekinge Inst Technol, Dept Comp Sci, S-37179 Karlskrona, Sweden; [Sun, Yunchuan] Beijing Normal Univ, Int Inst Big Data Finance, Business Sch, Beijing 100875, Peoples R China</t>
  </si>
  <si>
    <t xml:space="preserve">University of Science &amp; Technology Beijing; Blekinge Institute Technology; Beijing Normal University</t>
  </si>
  <si>
    <t xml:space="preserve">Sun, Yunchuan/AAN-8060-2020; Lin, Yujia/IAR-2200-2023; Ding, Jianguo/B-5748-2008</t>
  </si>
  <si>
    <t xml:space="preserve">Sarwatt, Doreen/0000-0002-3818-6432; Ding, Jianguo/0000-0002-8927-0968; Sun, Yunchuan/0000-0001-6064-3380</t>
  </si>
  <si>
    <t xml:space="preserve">1524-9050</t>
  </si>
  <si>
    <t xml:space="preserve">1558-0016</t>
  </si>
  <si>
    <t xml:space="preserve">IEEE T INTELL TRANSP</t>
  </si>
  <si>
    <t xml:space="preserve">IEEE Trans. Intell. Transp. Syst.</t>
  </si>
  <si>
    <t xml:space="preserve">10.1109/TITS.2023.3347280</t>
  </si>
  <si>
    <t xml:space="preserve">Engineering, Civil; Engineering, Electrical &amp; Electronic; Transportation Science &amp; Technology</t>
  </si>
  <si>
    <t xml:space="preserve">A1S4H</t>
  </si>
  <si>
    <t xml:space="preserve">WOS:001166580300001</t>
  </si>
  <si>
    <t xml:space="preserve">Palomares, C; Franch, X; Quer, C; Chatzipetrou, P; López, L; Gorschek, T</t>
  </si>
  <si>
    <t xml:space="preserve">Palomares, Cristina; Franch, Xavier; Quer, Carme; Chatzipetrou, Panagiota; Lopez, Lidia; Gorschek, Tony</t>
  </si>
  <si>
    <t xml:space="preserve">The state-of-practice in requirements elicitation: an extended interview study at 12 companies</t>
  </si>
  <si>
    <t xml:space="preserve">Requirements engineering; Requirements elicitation; Empirical studies; Interviews</t>
  </si>
  <si>
    <t xml:space="preserve">Requirements engineering remains a discipline that is faced with a large number of challenges, including the implementation of a requirements elicitation process in industry. Although several proposals have been suggested by researchers and academics, little is known of the practices that are actually followed in industry. Our objective is to investigate the state-of-practice with respect to requirements elicitation, by closely examining practitioners' current practices. To this aim, we focus on the techniques that are used in industry, the roles that requirements elicitation involves, and the challenges that the requirements elicitation process is faced with. As method, we conducted an interview-based survey study involving 24 practitioners from 12 different Swedish IT companies, and we recorded the interviews and analyzed these recordings by using quantitative and qualitative methods. Several results emerged from the studies. Group interaction techniques, including meetings and workshops, are the most popular type of elicitation techniques that are employed by the practitioners, except in the case of small projects. Additionally, practitioners tend to use a variety of elicitation techniques in each project. We noted that customers are frequently involved in the elicitation process, except in the case of market-driven organizations. Technical staff (for example, developers and architects) are more frequently involved in the elicitation process compared to the involvement of business or strategic staff. Finally, we identified a number of challenges with respect to stakeholders. These challenges include difficulties in understanding and prioritizing their needs. Further, it was noted that requirements instability (i.e., caused by changing needs or priorities) was a predominant challenge. These observations need to be interpreted in the context of the study. We conclude that the relevant observations regarding the survey participants' experiences should be of interest to the industry; experiences that should be analyzed in the practitioners' context. Researchers may find evidence for the use of academic results in practice, thereby inspiring future theoretical work, as well as further empirical studies in the same area.</t>
  </si>
  <si>
    <t xml:space="preserve">[Palomares, Cristina; Franch, Xavier; Quer, Carme; Lopez, Lidia] Univ Politecn Catalunya UPC, Software &amp; Serv Engn Grp GESSI, Barcelona, Catalonia, Spain; [Chatzipetrou, Panagiota] Orebro Univ, Sch Business, Dept Informat, Orebro, Sweden; [Gorschek, Tony] Blekinge Inst Technol, Software Res Engn Lab SERL, Karlskrona, Sweden</t>
  </si>
  <si>
    <t xml:space="preserve">Universitat Politecnica de Catalunya; Orebro University; Blekinge Institute Technology</t>
  </si>
  <si>
    <t xml:space="preserve">Quer, C (corresponding author), Univ Politecn Catalunya UPC, Software &amp; Serv Engn Grp GESSI, Barcelona, Catalonia, Spain.</t>
  </si>
  <si>
    <t xml:space="preserve">cpalomares@essi.upc.edu; franch@essi.upc.edu; cquer@essi.upc.edu; panagiota.chatzipetrou@oru.se; llopez@essi.upc.edu; tony.gorschek@bth.se</t>
  </si>
  <si>
    <t xml:space="preserve">Franch, Xavier/A-8588-2008; Gorschek, Tony/E-3445-2013; López, Lidia/HGE-0751-2022; Lopez Cuesta, Lidia/K-1714-2015</t>
  </si>
  <si>
    <t xml:space="preserve">Lopez Cuesta, Lidia/0000-0002-6901-9223</t>
  </si>
  <si>
    <t xml:space="preserve">GENESIS project - Spanish Ministerio de Ciencia e Innovacion [TIN2016-79269-R]; Horizon 2020 project OpenReq - European Union [732463]; H2020 - Industrial Leadership [732463] Funding Source: H2020 - Industrial Leadership</t>
  </si>
  <si>
    <t xml:space="preserve">GENESIS project - Spanish Ministerio de Ciencia e Innovacion; Horizon 2020 project OpenReq - European Union; H2020 - Industrial Leadership(European Union (EU)H2020 - Industrial Leadership)</t>
  </si>
  <si>
    <t xml:space="preserve">This work has been supported by the GENESIS project, funded by the Spanish Ministerio de Ciencia e Innovacion under project TIN2016-79269-R, and the Horizon 2020 project OpenReq, supported by the European Union under Grant Nr. 732463.</t>
  </si>
  <si>
    <t xml:space="preserve">10.1007/s00766-020-00345-x</t>
  </si>
  <si>
    <t xml:space="preserve">RX1NP</t>
  </si>
  <si>
    <t xml:space="preserve">WOS:000610480200001</t>
  </si>
  <si>
    <t xml:space="preserve">Andersson, M; Örmon, K</t>
  </si>
  <si>
    <t xml:space="preserve">Andersson, Mikaela; Ormon, Karin</t>
  </si>
  <si>
    <t xml:space="preserve">Healthcare providers' experience of identifying and caring for women subjected to sex trafficking: a qualitative study</t>
  </si>
  <si>
    <t xml:space="preserve">BMC WOMENS HEALTH</t>
  </si>
  <si>
    <t xml:space="preserve">Global health; Healthcare providers; Human trafficking for sexual exploitation; Qualitative research; Women's healthcare</t>
  </si>
  <si>
    <t xml:space="preserve">BackgroundMen's violence against women, including human trafficking for sexual exploitation, is a severe threat to global health. Healthcare providers are uniquely positioned to identify and care for women subjected to human trafficking for sexual exploitation. They are among the few professionals the women interact with while being exposed to human trafficking for sexual exploitation. This study aims to describe healthcare workers' experience of identifying and caring for women subjected to human trafficking for sexual exploitation seeking women's healthcare.MethodA qualitative design was chosen and nine qualitative interviews with healthcare providers were conducted and analyzed using the content analysis method.ResultsThree main categories were revealed: (1) the importance of being attentive, (2) the importance of providing safety, and (3) the importance of collaborating, followed by a number of subcategories: behavioral and physical signs, limited time to interact, security measures, value of confidence building, organizational collaboration, essential external network, and information transmission.ConclusionsAs the women subjected to sex trafficking have limited time in healthcare, it is important for healthcare providers to be attentive and act immediately if suspecting human trafficking for sexual exploitation. It may be the only possibility for the healthcare providers to care for these women and reach them. They must endeavor to provide the women with safety due to their vulnerable position at the hospital. However, these women may leave the healthcare setting unidentified and unaided, which highlights the importance of collaboration on multiple levels.</t>
  </si>
  <si>
    <t xml:space="preserve">[Andersson, Mikaela] Univ Gothenburg, Inst Med, Sch Publ Hlth &amp; Community Med, Gothenburg, Sweden; [Andersson, Mikaela; Ormon, Karin] Vastra Gotaland Reg Competence Ctr Intimate Partne, Gothenburg, Sweden; [Ormon, Karin] Blekinge Inst Technol, Dept Hlth, Valhallavagen 1, S-37141 Karlskrona, Sweden</t>
  </si>
  <si>
    <t xml:space="preserve">University of Gothenburg; Blekinge Institute Technology</t>
  </si>
  <si>
    <t xml:space="preserve">Örmon, K (corresponding author), Vastra Gotaland Reg Competence Ctr Intimate Partne, Gothenburg, Sweden.;Örmon, K (corresponding author), Blekinge Inst Technol, Dept Hlth, Valhallavagen 1, S-37141 Karlskrona, Sweden.</t>
  </si>
  <si>
    <t xml:space="preserve">Ormon, Karin/0000-0002-0228-1358</t>
  </si>
  <si>
    <t xml:space="preserve">1472-6874</t>
  </si>
  <si>
    <t xml:space="preserve">BMC Womens Health</t>
  </si>
  <si>
    <t xml:space="preserve">FEB 29</t>
  </si>
  <si>
    <t xml:space="preserve">10.1186/s12905-024-02992-6</t>
  </si>
  <si>
    <t xml:space="preserve">Public, Environmental &amp; Occupational Health; Obstetrics &amp; Gynecology</t>
  </si>
  <si>
    <t xml:space="preserve">JV0X8</t>
  </si>
  <si>
    <t xml:space="preserve">WOS:001175830900003</t>
  </si>
  <si>
    <t xml:space="preserve">Vilela, J; Castro, J; Martins, LEG; Gorschek, T</t>
  </si>
  <si>
    <t xml:space="preserve">Vilela, Jessyka; Castro, Jaelson; Martins, Luiz Eduardo G.; Gorschek, Tony</t>
  </si>
  <si>
    <t xml:space="preserve">Safety Practices in Requirements Engineering: The Uni-REPM Safety Module</t>
  </si>
  <si>
    <t xml:space="preserve">Safety; Companies; Software; Capability maturity model; Requirements engineering; Systematics; Standards; Safety-critical systems; requirements engineering; maturity models; Uni-REPM; safety engineering</t>
  </si>
  <si>
    <t xml:space="preserve">SOFTWARE COMPANIES; CRITICAL SYSTEMS; MATURITY MODEL</t>
  </si>
  <si>
    <t xml:space="preserve">Context: Software is an important part in safety-critical system (SCS) development since it is becoming a major source of hazards. Requirements-related hazards have been associated with many accidents and safety incidents. Requirements issues tend to be mitigated in companies with high processes maturity levels since they do their business in a systematic, consistent and proactive approach. However, requirements engineers need systematic guidance to consider safety concerns early in the development process. Goal: the paper investigates which safety practices are suitable to be used in the Requirements Engineering (RE) process for SCS and how to design a safety maturity model for this area. Method: we followed the design science methodology to propose Uni-REPM SCS, a safety module for Unified Requirements Engineering Process Maturity Model (Uni-REPM). We also conducted a static validation with two practitioners and nine academic experts to evaluate its coverage, correctness, usefulness, and applicability. Results: The module has seven main processes, fourteen sub-processes and 148 practices that form the basis of safety processes maturity. Moreover, we describe its usage through a tool. Conclusions: The validation indicates a good coverage of practices and well receptivity by the experts. Finally, the module can help companies in evaluating their current practices.</t>
  </si>
  <si>
    <t xml:space="preserve">[Vilela, Jessyka] UFC, BR-63902580 Quixada, Ceara, Brazil; [Vilela, Jessyka; Castro, Jaelson] Univ Fed Pernambuco UFPE, BR-50740560 Recife, PE, Brazil; [Martins, Luiz Eduardo G.] Univ Fed Sao Paulo UNIFESP, Dept Ciencia &amp; Tecnol, BR-04021001 Sao Jose Dos Campos, SP, Brazil; [Gorschek, Tony] Blekinge Inst Technol BTH, S-37141 Karlskrona, Sweden</t>
  </si>
  <si>
    <t xml:space="preserve">Universidade Federal do Ceara; Universidade Federal de Pernambuco; Universidade Federal de Sao Paulo (UNIFESP); Blekinge Institute Technology</t>
  </si>
  <si>
    <t xml:space="preserve">Vilela, J (corresponding author), UFC, BR-63902580 Quixada, Ceara, Brazil.;Vilela, J (corresponding author), Univ Fed Pernambuco UFPE, BR-50740560 Recife, PE, Brazil.</t>
  </si>
  <si>
    <t xml:space="preserve">jessykavilela@ufc.br; jbc@cin.ufpe.br; legmartins@unifesp.br; tony.gorschek@bth.se</t>
  </si>
  <si>
    <t xml:space="preserve">Gorschek, Tony/E-3445-2013; Martins, Luiz/AAL-7679-2020; Vilela, Jessyka/KYQ-1664-2024; Castro, Jaelson/C-8334-2009</t>
  </si>
  <si>
    <t xml:space="preserve">Freire Brelaz de Castro, Jaelson/0000-0002-4635-7297; Vilela, Jessyka/0000-0002-5541-5188</t>
  </si>
  <si>
    <t xml:space="preserve">FACEPE [APQ 0880-1.03/14]; CNPq [305634/2016-0]; Knowledge Foundation Sweden [20140218]</t>
  </si>
  <si>
    <t xml:space="preserve">FACEPE(Fundacao de Amparo a Ciencia e Tecnologia do Estado de Pernambuco (FACEPE)); CNPq(Conselho Nacional de Desenvolvimento Cientifico e Tecnologico (CNPQ)); Knowledge Foundation Sweden</t>
  </si>
  <si>
    <t xml:space="preserve">This work was partially supported by FACEPE (grant number APQ 0880-1.03/14), CNPq (grant number 305634/2016-0), and by a research grant for the ORION project (reference number 20140218) from The Knowledge Foundation Sweden. We also want to thank the subjects of module validation for their availability to contribute to our research.</t>
  </si>
  <si>
    <t xml:space="preserve">10.1109/TSE.2018.2846576</t>
  </si>
  <si>
    <t xml:space="preserve">KX9OY</t>
  </si>
  <si>
    <t xml:space="preserve">WOS:000522205900001</t>
  </si>
  <si>
    <t xml:space="preserve">Banihani, I; Alawadi, S; Elmrayyan, N</t>
  </si>
  <si>
    <t xml:space="preserve">Banihani, Imad; Alawadi, Sadi; Elmrayyan, Nadia</t>
  </si>
  <si>
    <t xml:space="preserve">AI and the decision-making process: a literature review in healthcare, financial, and technology sectors</t>
  </si>
  <si>
    <t xml:space="preserve">JOURNAL OF DECISION SYSTEMS</t>
  </si>
  <si>
    <t xml:space="preserve">Artificial intelligence; challenge; decision-making; opportunity; prospect; literature review; machine learning</t>
  </si>
  <si>
    <t xml:space="preserve">ARTIFICIAL-INTELLIGENCE</t>
  </si>
  <si>
    <t xml:space="preserve">Artificial intelligence is a key technology driving digital transformation across all economic sectors. The prospects and threats of AI in decision-making have been central to public and research debates recently. This paper explores AI's impact on decision-making, identifying both opportunities and challenges in healthcare, financial, and technology sectors. Based on a systematic literature review of 118 papers from 2020-2023, the findings show that most scholars are optimistic about AI's potential. They suggest that the challenges posed by AI can be addressed through technical, regulatory, and managerial approaches. While AI often serves as a cognitive assistant in data collection and evaluation, its role in decision-making is expected to grow as the technology becomes more institutionalized.</t>
  </si>
  <si>
    <t xml:space="preserve">[Banihani, Imad] United Arab Emirates Univ, Stat &amp; Business Analyt, Al Ain, U Arab Emirates; [Alawadi, Sadi] Blekinge Inst Technol, Comp Sci, Karlskrona, Sweden; [Elmrayyan, Nadia] Zayed Univ, Hlth Sci, Dubai, U Arab Emirates; [Elmrayyan, Nadia] Lund Univ, Lund, Sweden</t>
  </si>
  <si>
    <t xml:space="preserve">United Arab Emirates University; Blekinge Institute Technology; Zayed University; Lund University</t>
  </si>
  <si>
    <t xml:space="preserve">Banihani, I (corresponding author), United Arab Emirates Univ, Stat &amp; Business Analyt, Al Ain, U Arab Emirates.</t>
  </si>
  <si>
    <t xml:space="preserve">imad.banihani@gmail.com</t>
  </si>
  <si>
    <t xml:space="preserve">1246-0125</t>
  </si>
  <si>
    <t xml:space="preserve">2116-7052</t>
  </si>
  <si>
    <t xml:space="preserve">J DECIS SYST</t>
  </si>
  <si>
    <t xml:space="preserve">J. Decis. Syst.</t>
  </si>
  <si>
    <t xml:space="preserve">SUP1</t>
  </si>
  <si>
    <t xml:space="preserve">10.1080/12460125.2024.2349425</t>
  </si>
  <si>
    <t xml:space="preserve">Operations Research &amp; Management Science</t>
  </si>
  <si>
    <t xml:space="preserve">U6I0E</t>
  </si>
  <si>
    <t xml:space="preserve">WOS:001230560500001</t>
  </si>
  <si>
    <t xml:space="preserve">Fucci, D; Alégroth, E; Felderer, M; Johannesson, C</t>
  </si>
  <si>
    <t xml:space="preserve">Fucci, Davide; Alegroth, Emil; Felderer, Michael; Johannesson, Christoffer</t>
  </si>
  <si>
    <t xml:space="preserve">Evaluating software security maturity using OWASP SAMM: Different approaches and stakeholders perceptions</t>
  </si>
  <si>
    <t xml:space="preserve">OWASP SAMM; Industry-academia collaboration; Software security</t>
  </si>
  <si>
    <t xml:space="preserve">Background: Recent years have seen a surge in cyber-attacks, which can be prevented or mitigated using software security activities. OWASP SAMM is a maturity model providing a versatile way for companies to assess their security posture and plan for improvements. Objective: We perform an initial SAMM assessment in collaboration with a company in the financial domain. Our objective is to assess a holistic inventory of the company security -related activities, focusing on how different roles perform the assessment and how they perceive the instrument used in the process. Methodology: We perform a case study to collect data using SAMM in a lightweight and novel manner through assessment using an online survey with 17 participants and a focus group with seven participants. Results: We show that different roles perceive maturity differently and that the two assessments deviate only for specific practices making the lightweight approach a viable and efficient solution in industrial practice. Our results indicate that the questions included in the SAMM assessment tool are answered easily and confidently across most roles. Discussion: Our results suggest that companies can productively use a lightweight SAMM assessment. We provide nine lessons learned for guiding industrial practitioners in the evaluation of their current security posture as well as for academics wanting to utilize SAMM as a research tool in industrial settings. Editor's note: Open Science material was validated by the Journal of Systems and Software Open Science Board.</t>
  </si>
  <si>
    <t xml:space="preserve">[Fucci, Davide; Alegroth, Emil; Felderer, Michael] Blekinge Inst Technol, Karlskrona, Sweden; [Felderer, Michael] German Aerosp Ctr DLR, inst Software Technol, Cologne, Germany; [Felderer, Michael] Univ Cologne, Cologne, Germany; [Johannesson, Christoffer] Ericsson, Karlskrona, Sweden</t>
  </si>
  <si>
    <t xml:space="preserve">Blekinge Institute Technology; Helmholtz Association; German Aerospace Centre (DLR); University of Cologne; Ericsson</t>
  </si>
  <si>
    <t xml:space="preserve">davide.fucci@bth.se; emil.alegroth@bth.se; micheal.felderer@bth.se; christoffer.johannesson@ericsson.com</t>
  </si>
  <si>
    <t xml:space="preserve">Felderer, Michael/AAF-4909-2020; Fucci, Davide/C-1463-2015</t>
  </si>
  <si>
    <t xml:space="preserve">Fucci, Davide/0000-0002-0679-4361; Felderer, Michael/0000-0003-3818-4442</t>
  </si>
  <si>
    <t xml:space="preserve">10.1016/j.jss.2024.112062</t>
  </si>
  <si>
    <t xml:space="preserve">SY0H5</t>
  </si>
  <si>
    <t xml:space="preserve">WOS:001237888500001</t>
  </si>
  <si>
    <t xml:space="preserve">Guo, H; Smite, D; Li, JY; Gao, S</t>
  </si>
  <si>
    <t xml:space="preserve">Guo, Hong; Smite, Darja; Li, Jingyue; Gao, Shang</t>
  </si>
  <si>
    <t xml:space="preserve">Enterprise Architecture and Agility: A Systematic Mapping Study</t>
  </si>
  <si>
    <t xml:space="preserve">Enterprise architecture; EA; Agility; Systematic mapping study</t>
  </si>
  <si>
    <t xml:space="preserve">APPLICABILITY; INTEGRATION; BUSINESS</t>
  </si>
  <si>
    <t xml:space="preserve">This article presents a systematic mapping study of published scientific papers on Enterprise Architecture (EA) and agility. More specifically, we reviewed studies on applying agile practices to EA and applying EA to the organization's agility. A categorical structure is proposed for classifying the research results based on the extracted topics discussed. The categories include agile traits (i.e., principles and practices), EA practices, and organizational contexts. By mapping the published works and analyzing them, the article also highlights some trends and indicates some obstacles and needs for future research and practice.</t>
  </si>
  <si>
    <t xml:space="preserve">[Guo, Hong] Anhui Univ, 111 Jiulong Rd, Hefei, Peoples R China; [Guo, Hong; Smite, Darja; Li, Jingyue] Norwegian Univ Sci &amp; Technol, Trondheim, Norway; [Smite, Darja] Blekinge Inst Technol, Karlskrona, Sweden; [Gao, Shang] Orebro Univ, Orebro, Sweden</t>
  </si>
  <si>
    <t xml:space="preserve">Anhui University; Norwegian University of Science &amp; Technology (NTNU); Blekinge Institute Technology; Orebro University</t>
  </si>
  <si>
    <t xml:space="preserve">hong.guo@ntnu.no; darja.smite@bth.se; jingyue.li@ntnu.no; shang.gao@oru.se</t>
  </si>
  <si>
    <t xml:space="preserve">Li, Jingyue/0000-0002-7958-391X; Gao, Shang/0000-0002-3722-6797</t>
  </si>
  <si>
    <t xml:space="preserve">10.1007/978-3-030-79976-2_18</t>
  </si>
  <si>
    <t xml:space="preserve">WOS:000841498500018</t>
  </si>
  <si>
    <t xml:space="preserve">Reconstruction of Clipped Signals in Quantized Uplink Massive MIMO Systems</t>
  </si>
  <si>
    <t xml:space="preserve">IEEE TRANSACTIONS ON COMMUNICATIONS</t>
  </si>
  <si>
    <t xml:space="preserve">Receivers; Distortion; Quantization (signal); Massive MIMO; Channel estimation; Estimation; Massive multi-user multiple-input multiple-output (MIMO); analog-to-digital converter (ADC); minimum mean-square error (MMSE); Bussgang's theorem; channel estimation; signal reconstruction; clipping</t>
  </si>
  <si>
    <t xml:space="preserve">This paper considers the uplink of a single-cell multiuser massive multiple-input multiple-output system. Each receiver antenna of the base station (BS) is assumed to be equipped with a pair of analog-to-digital converters to quantize the real and imaginary part of the received signal. We propose a novel clipping-aware receiver (CA-MMSE), which performs minimum mean square error (MMSE) reconstruction only on the clipped received samples, while the granular samples are left unchanged after the quantization. On this basis, we present an iterative algorithm to implement the CA-MMSE receiver and derive a sufficient condition for its geometrical convergence to a fixed point. We show that as long as the number of BS antennas or the quantization resolution is sufficiently high, then, the performance of the CA-MMSE is as good as the optimal MMSE receiver which reconstructs all quantized received symbols. Additionally, we propose a novel Bussgang-based weighted zero-forcing (B-WZF) receiver which distinguishes the clipping and granular distortion and it is shown that as long as the received training symbols per antenna are correlated, the CA-MMSE brings significant improvements compared to conventional receivers in the literature while for users that do not experience deep large-scale fading the simpler B-WZF is near to the CA-MMSE for sufficiently high signal-to-noise ratio and quantization resolution.</t>
  </si>
  <si>
    <t xml:space="preserve">[Kolomvakis, Nikolaos; Eriksson, Thomas; Viberg, Mats] Chalmers Univ Technol, Dept Elect Engn, S-41296 Gothenburg, Sweden; [Kolomvakis, Nikolaos] Ericsson AB, S-16480 Stockholm, Sweden; [Coldrey, Mikael] Ericsson Res, S-41756 Gothenburg, Sweden; [Viberg, Mats] Blekinge Inst Technol, S-37141 Karlskrona, Sweden</t>
  </si>
  <si>
    <t xml:space="preserve">Chalmers University of Technology; Ericsson; Ericsson; Blekinge Institute Technology</t>
  </si>
  <si>
    <t xml:space="preserve">Kolomvakis, N (corresponding author), Chalmers Univ Technol, Dept Elect Engn, S-41296 Gothenburg, Sweden.;Kolomvakis, N (corresponding author), Ericsson AB, S-16480 Stockholm, Sweden.</t>
  </si>
  <si>
    <t xml:space="preserve">Kolomvakis, Nikolaos/JZD-9465-2024; Eriksson, Thomas/F-9362-2016; Viberg, Mats/B-6505-2016</t>
  </si>
  <si>
    <t xml:space="preserve">Kolomvakis, Nikolaos/0000-0002-1011-789X; Eriksson, Thomas/0000-0002-2087-7227; Viberg, Mats/0000-0003-1549-419X; Coldrey, Mikael/0000-0002-0241-6371</t>
  </si>
  <si>
    <t xml:space="preserve">GigaHertz Centre - Swedish Governmental Agency of Innovation Systems (VINNOVA); GigaHertz Centre - Chalmers University of Technology; GigaHertz Centre - Ericsson; GigaHertz Centre - SAAB; GigaHertz Centre - RUAG</t>
  </si>
  <si>
    <t xml:space="preserve">This work has partly been financed by the GigaHertz Centre in a joint research project financed by Swedish Governmental Agency of Innovation Systems (VINNOVA), Chalmers University of Technology, Ericsson, SAAB, and RUAG. This article was presented in part at the IEEE International Conference on Communication (ICC), Dublin, Ireland, 2020 [2]. The associate editor coordinating the review of this article and approving it for publication was C. Yuen.</t>
  </si>
  <si>
    <t xml:space="preserve">0090-6778</t>
  </si>
  <si>
    <t xml:space="preserve">1558-0857</t>
  </si>
  <si>
    <t xml:space="preserve">IEEE T COMMUN</t>
  </si>
  <si>
    <t xml:space="preserve">IEEE Trans. Commun.</t>
  </si>
  <si>
    <t xml:space="preserve">10.1109/TCOMM.2020.2971975</t>
  </si>
  <si>
    <t xml:space="preserve">LT0ME</t>
  </si>
  <si>
    <t xml:space="preserve">WOS:000536770300018</t>
  </si>
  <si>
    <t xml:space="preserve">Niklasson, J; Backaberg, S; Lindberg, T; Bergman, P; Fagerstroem, C</t>
  </si>
  <si>
    <t xml:space="preserve">Niklasson, Joakim; Backaberg, Sofia; Lindberg, Terese; Bergman, Patrick; Fagerstroem, Cecilia</t>
  </si>
  <si>
    <t xml:space="preserve">Embodied navigation: the influence of lived experience on physical activity and sedentary behavior among older adults</t>
  </si>
  <si>
    <t xml:space="preserve">INTERNATIONAL JOURNAL OF QUALITATIVE STUDIES ON HEALTH AND WELL-BEING</t>
  </si>
  <si>
    <t xml:space="preserve">Acceptance; body awareness; healthy ageing; life course perspective; lived experience; physical activity; sedentary behaviour</t>
  </si>
  <si>
    <t xml:space="preserve">QUALITATIVE CONTENT-ANALYSIS; GUIDELINES; BARRIERS; ASSOCIATIONS; TIME</t>
  </si>
  <si>
    <t xml:space="preserve">PurposeThe impact of a sedentary lifestyle on health and well-being is well recognized. However, there is limited understanding of how a lifetime of physical activity and sedentary behaviour influences an active lifestyle in older adults. The aim of this study was to describe how lived experience of physical activity and sedentary behaviour impacts daily activities among older adults, from a life course perspective.MethodsQualitative content analysis was used; individual telephone interviews were conducted with fourteen older adults aged 71 to 92 years. The participants received initial support from community care and lived in ordinary housing in southern Sweden.ResultsThe interviews yielded one theme, Navigating with an embodied activity compass, and two sub-themes: Being guided by the past and Unveiling pathways through body awareness.ConclusionsOur study highlights how older adults' lived experiences of physical activity, with their connections to body awareness and acceptance, impact daily physical activity. These findings offer new knowledge for clinical practitioners balancing recommendations of sedentary behaviour and physical activity, to promote healthy daily physical activity among older adults. Future research and policies should consider the lived experiences of older adults when addressing public health matters related to sedentary behaviour and physical activity.</t>
  </si>
  <si>
    <t xml:space="preserve">[Niklasson, Joakim] Linnaeus Univ, Fac Hlth &amp; Life Sci, S-39182 Kalmar, Sweden; [Backaberg, Sofia] Fac Hlth &amp; Life Sci, Vaxjo, Sweden; [Backaberg, Sofia] Univ Calgary, Linnaeus Univ, Fac Kinesiol, Calgary, AB, Canada; [Lindberg, Terese] Blekinge Inst Technol, Dept Hlth, Karlskrona, Sweden; [Bergman, Patrick] Linnaeus Univ, eHhlth Inst, Fac Hlth &amp; Life Sci, Dept Med &amp; Optometry, Kalmar, Sweden; [Fagerstroem, Cecilia] Linnaeus Univ, Fac Hlth &amp; Life Sci Kalmar, Kalmar, Sweden; Linnaeus Univ, Reg Kalmar Cty, Dept Res, Kalmar, Sweden</t>
  </si>
  <si>
    <t xml:space="preserve">Linnaeus University; University of Calgary; Blekinge Institute Technology; Linnaeus University; Linnaeus University; Linnaeus University</t>
  </si>
  <si>
    <t xml:space="preserve">Niklasson, J (corresponding author), Linnaeus Univ, Fac Hlth &amp; Life Sci, S-39182 Kalmar, Sweden.</t>
  </si>
  <si>
    <t xml:space="preserve">Joakim.niklasson@lnu.se</t>
  </si>
  <si>
    <t xml:space="preserve">Niklasson, Joakim/0000-0001-8585-2218</t>
  </si>
  <si>
    <t xml:space="preserve">Linnaeus University</t>
  </si>
  <si>
    <t xml:space="preserve">We would like to acknowledge the support for this study from Linnaeus University. Open access funding provided by Linnaeus University.</t>
  </si>
  <si>
    <t xml:space="preserve">1748-2623</t>
  </si>
  <si>
    <t xml:space="preserve">1748-2631</t>
  </si>
  <si>
    <t xml:space="preserve">INT J QUAL STUD HEAL</t>
  </si>
  <si>
    <t xml:space="preserve">Int. J. Qual. Stud. Health Well-Being</t>
  </si>
  <si>
    <t xml:space="preserve">10.1080/17482631.2024.2313657</t>
  </si>
  <si>
    <t xml:space="preserve">Public, Environmental &amp; Occupational Health; Nursing; Social Sciences, Biomedical</t>
  </si>
  <si>
    <t xml:space="preserve">Public, Environmental &amp; Occupational Health; Nursing; Biomedical Social Sciences</t>
  </si>
  <si>
    <t xml:space="preserve">HR7L3</t>
  </si>
  <si>
    <t xml:space="preserve">WOS:001161297400001</t>
  </si>
  <si>
    <t xml:space="preserve">Gasiba, TE; Lechner, U; Pinto-Albuquerque, M; Fernandez, DM</t>
  </si>
  <si>
    <t xml:space="preserve">Wang, GJ; Ko, R; Bhuiyan, MZA; Pan, Y</t>
  </si>
  <si>
    <t xml:space="preserve">Gasiba, Tiago Espinha; Lechner, Ulrike; Pinto-Albuquerque, Maria; Fernandez, Daniel Mendez</t>
  </si>
  <si>
    <t xml:space="preserve">Awareness of Secure Coding Guidelines in the Industry - A first data analysis</t>
  </si>
  <si>
    <t xml:space="preserve">2020 IEEE 19TH INTERNATIONAL CONFERENCE ON TRUST, SECURITY AND PRIVACY IN COMPUTING AND COMMUNICATIONS (TRUSTCOM 2020)</t>
  </si>
  <si>
    <t xml:space="preserve">IEEE International Conference on Trust Security and Privacy in Computing and Communications</t>
  </si>
  <si>
    <t xml:space="preserve">19th IEEE International Conference on Trust, Security and Privacy in Computing and Communications (IEEE TrustCom)</t>
  </si>
  <si>
    <t xml:space="preserve">DEC 29-JAN 01, 2020-2021</t>
  </si>
  <si>
    <t xml:space="preserve">Guangzhou, PEOPLES R CHINA</t>
  </si>
  <si>
    <t xml:space="preserve">Security; Secure Coding; Software Development; Best Practices; Security Awareness; Industry</t>
  </si>
  <si>
    <t xml:space="preserve">STACK OVERFLOW; DEVELOPERS</t>
  </si>
  <si>
    <t xml:space="preserve">Software needs to be secure, in particular, when deployed to critical infrastructures. Secure coding guidelines capture practices in industrial software engineering to ensure the security of code. This study aims to assess the level of awareness of secure coding in industrial software engineering, the skills of software developers to spot weaknesses in software code, avoid them, and the organizational support to adhere to coding guidelines. The approach draws on well-established theories of policy compliance, neutralization theory, and security-related stress and the authors' many years of experience in industrial software engineering and on lessons identified from training secure coding in the industry. The paper presents the questionnaire design for the online survey and the first analysis of data from the pilot study.</t>
  </si>
  <si>
    <t xml:space="preserve">[Gasiba, Tiago Espinha] Siemens AG, Munich, Germany; [Lechner, Ulrike] Univ Bundeswehr Munchen, Munich, Germany; [Pinto-Albuquerque, Maria] Inst Univ Lisboa ISCTE IUL, ISTAR IUL, Lisbon, Portugal; [Fernandez, Daniel Mendez] Blekinge Inst Technol, Karlskrona, Sweden</t>
  </si>
  <si>
    <t xml:space="preserve">Siemens AG; Siemens Germany; Bundeswehr University Munich; Instituto Universitario de Lisboa; Blekinge Institute Technology</t>
  </si>
  <si>
    <t xml:space="preserve">Gasiba, TE (corresponding author), Siemens AG, Munich, Germany.</t>
  </si>
  <si>
    <t xml:space="preserve">tiago.gasiba@siemens.com; ulrike.lechner@unibw.de; maria.albuquerque@iscte-iul.pt; daniel.mendez@bth.se</t>
  </si>
  <si>
    <t xml:space="preserve">Mendez, Daniel/ABA-4579-2021; Pinto-Albuquerque, Maria/G-9745-2012</t>
  </si>
  <si>
    <t xml:space="preserve">Pinto-Albuquerque, Maria/0000-0002-2725-7629; Mendez Fernandez, Daniel/0000-0003-0619-6027</t>
  </si>
  <si>
    <t xml:space="preserve">FCT -Fundacao para a Ciencia e Tecnologia, I.P. [FCT UIDB/04466/2020]; Instituto Universitario de Lisboa; ISTAR-IUL</t>
  </si>
  <si>
    <t xml:space="preserve">FCT -Fundacao para a Ciencia e Tecnologia, I.P.; Instituto Universitario de Lisboa; ISTAR-IUL</t>
  </si>
  <si>
    <t xml:space="preserve">This work is co-financed by portuguese national funds through FCT -Fundacao para a Ciencia e Tecnologia, I.P., under the project FCT UIDB/04466/2020. Furthermore, the third author thanks the Instituto Universitario de Lisboa and ISTAR-IUL, for their support.</t>
  </si>
  <si>
    <t xml:space="preserve">2324-898X</t>
  </si>
  <si>
    <t xml:space="preserve">978-1-6654-0392-4</t>
  </si>
  <si>
    <t xml:space="preserve">IEEE INT CONF TRUST</t>
  </si>
  <si>
    <t xml:space="preserve">10.1109/TrustCom50675.2020.00055</t>
  </si>
  <si>
    <t xml:space="preserve">Computer Science, Hardware &amp; Architecture; Computer Science, Information Systems; Computer Science, Theory &amp; Methods; Telecommunications</t>
  </si>
  <si>
    <t xml:space="preserve">BR8DU</t>
  </si>
  <si>
    <t xml:space="preserve">WOS:000671077600041</t>
  </si>
  <si>
    <t xml:space="preserve">Niklasson, J; Fagerström, C; Backåberg, S; Lindberg, T; Bergman, P</t>
  </si>
  <si>
    <t xml:space="preserve">Niklasson, Joakim; Fagerstrom, Cecilia; Backaberg, Sofia; Lindberg, Terese; Bergman, Patrick</t>
  </si>
  <si>
    <t xml:space="preserve">Daily activity patterns in older adults receiving initial support: the association between daily steps and sitting in bouts of at least 60 min</t>
  </si>
  <si>
    <t xml:space="preserve">Accelerometer; Aging; Physical activity; Sedentary behavior; Sitting; Walking independence</t>
  </si>
  <si>
    <t xml:space="preserve">PHYSICAL-ACTIVITY; SEDENTARY BEHAVIOR; MOTIVATION; METAANALYSIS; GUIDELINES; MORTALITY; VALIDITY; TIME</t>
  </si>
  <si>
    <t xml:space="preserve">Background: Aging has a significant impact on health, underlining the importance of maintaining physical function and reducing time spent sitting among older adults. To understand how to reduce prolonged sitting or increase physical activity, factors related to the daily living and observed daily activity patterns should be explored. This study aimed to investigate the association between daily steps, self-rated health, physical activity, sedentary behavior, motivation to exercise and fear of falling among older adults receiving initial support.Method: Cross-sectional design with total population questionnaire data from adults aged &gt;= 60 years (n = 917), living at home with initial support from municipal care in southern Sweden. The older adults were offered to participate in a follow-up study measuring daily activity patterns with accelerometers (n = 72). Linear regression was used to analyze associations between daily steps and possible predictors.Results: The linear model (R(2)see text]0.478) showed that sitting in unbroken bouts of &gt; 60 min (beta = -0.313, p &lt; 0.05), walking independently outdoors (beta = 0.301, p &lt; 0.05), intending to increase physical activity (beta = -0.294, p &lt; 0.05), sex (beta = 0.279, p &lt; 0.05), relative autonomy index (beta = 0.258, p &lt; 0.05), fear of falling (beta = -0.238, p &lt; 0.05), and self-rated health (beta = 0.213, p &lt; 0.05) predicted daily steps.Conclusion: The model of predictors brings new understanding regarding daily steps among community-dwelling older adults. The association between sitting in bouts of &gt; 60 min and daily steps is interesting as 35% of participants had a number of sitting bouts that on average, showed 30% less steps taken. Minimizing long sitting bouts and maintaining physical functioning to promote independence when walking outdoors can be tools for clinical practitioners devising interventions to break prolonged sitting among community-dwelling older adults. Future research should prioritize studying older adults' outdoor walking independence, including its relation to walking with or without assistive devices and its impact on physical activity and sedentary behavior.</t>
  </si>
  <si>
    <t xml:space="preserve">[Niklasson, Joakim; Fagerstrom, Cecilia; Backaberg, Sofia] Linnaeus Univ, Fac Hlth &amp; Life Sci, Kalmar, Sweden; [Fagerstrom, Cecilia] Dept Res, Kalmar, Sweden; [Backaberg, Sofia] Univ Calgary, Fac Kinesiol, Calgary, AB, Canada; [Lindberg, Terese] Blekinge Inst Technol, Dept Hlth, Karlskrona, Sweden; [Bergman, Patrick] Linnaeus Univ, Ehlth Inst, Fac Hlth &amp; Life Sci, Dept Med &amp; Optometry, Kalmar, Sweden</t>
  </si>
  <si>
    <t xml:space="preserve">Linnaeus University; University of Calgary; Blekinge Institute Technology; Linnaeus University</t>
  </si>
  <si>
    <t xml:space="preserve">Backaberg, Sofia/0000-0001-9687-7242</t>
  </si>
  <si>
    <t xml:space="preserve">We would like to thank all the participants of this study.</t>
  </si>
  <si>
    <t xml:space="preserve">JAN 23</t>
  </si>
  <si>
    <t xml:space="preserve">10.1186/s12877-024-04681-3</t>
  </si>
  <si>
    <t xml:space="preserve">FU2K4</t>
  </si>
  <si>
    <t xml:space="preserve">WOS:001148301500001</t>
  </si>
  <si>
    <t xml:space="preserve">Trinkenreich, B; Britto, R; Gerosa, MA; Steinmacher, I</t>
  </si>
  <si>
    <t xml:space="preserve">Trinkenreich, Bianca; Britto, Ricardo; Gerosa, Marco A.; Steinmacher, Igor</t>
  </si>
  <si>
    <t xml:space="preserve">An Empirical Investigation on the Challenges Faced by Women in the Software Industry: A Case Study</t>
  </si>
  <si>
    <t xml:space="preserve">2022 ACM/IEEE 44TH INTERNATIONAL CONFERENCE ON SOFTWARE ENGINEERING-SOFTWARE ENGINEERING IN SOCIETY, ICSE-SEIS 2022</t>
  </si>
  <si>
    <t xml:space="preserve">ACM/IEEE 44th International Conference on Software Engineering-Software Engineering in Society (ICSE-SEIS)</t>
  </si>
  <si>
    <t xml:space="preserve">MAY 21-29, 2022</t>
  </si>
  <si>
    <t xml:space="preserve">IEEE,Assoc Comp Machinery,IEEE Comp Soc Tech Comm Software Engn,ACM Special Interest Grp Software Engn</t>
  </si>
  <si>
    <t xml:space="preserve">women; diversity; gender; inclusion; software engineering</t>
  </si>
  <si>
    <t xml:space="preserve">GENDER STEREOTYPES; EXPERIENCES; PARTICIPATION; STUDENTS; LEAVE; LAW</t>
  </si>
  <si>
    <t xml:space="preserve">Context: Addressing women's under-representation in the software industry, a widely recognized concern, requires attracting as well as retaining more women. Hearing from women practitioners, particularly those positioned in multi-cultural settings, about their challenges and and adopting their lived experienced solutions can support the design of programs to resolve the under-representation issue. Goal: We investigated the challenges women face in global software development teams, particularly what motivates women to leave their company; how those challenges might break down according to demographics; and strategies to mitigate the identified challenges. Method: To achieve this goal, we conducted an exploratory case study in Ericsson, a global technology company. We surveyed 94 women and employed mixed-methods to analyze the data. Results: Our findings reveal that women face socio-cultural challenges, including work-life balance issues, benevolent and hostile sexism, lack of recognition and peer parity, impostor syndrome, glass ceiling bias effects, the prove-it-again phenomenon, and the maternal wall. The participants of our research provided different suggestions to address/mitigate the reported challenges, including sabbatical policies, flexibility of location and time, parenthood support, soft skills training for managers, equality of payment and opportunities between genders, mentoring and role models to support career growth, directives to hire more women, inclusive groups and events, women's empowerment, and recognition for women's success. The framework of challenges and suggestions can inspire further initiatives both in academia and industry to onboard and retain women.</t>
  </si>
  <si>
    <t xml:space="preserve">[Trinkenreich, Bianca; Gerosa, Marco A.] No Arizona Univ, Flagstaff, AZ 86011 USA; [Britto, Ricardo] Ericsson, Blekinge Inst Technol, Kalrksona, Sweden; [Steinmacher, Igor] Univ Tecnol Fed Parana, Curitiba, Parana, Brazil</t>
  </si>
  <si>
    <t xml:space="preserve">Northern Arizona University; Blekinge Institute Technology; Ericsson; Universidade Federal do Parana; Universidade Tecnologica Federal do Parana; Pontificia Universidade Catolica do Parana</t>
  </si>
  <si>
    <t xml:space="preserve">Trinkenreich, B (corresponding author), No Arizona Univ, Flagstaff, AZ 86011 USA.</t>
  </si>
  <si>
    <t xml:space="preserve">bianca_trinkenreich@nau.edu; ricardo.britto@ericsson.com; marco.gerosa@nau.edu; igorfs@utfpr.edu.br</t>
  </si>
  <si>
    <t xml:space="preserve">Igor, Steinmacher/B-6414-2012; Trinkenreich, Bianca/ABE-4435-2020</t>
  </si>
  <si>
    <t xml:space="preserve">978-1-4503-9227-3</t>
  </si>
  <si>
    <t xml:space="preserve">10.1145/3510458.3513018</t>
  </si>
  <si>
    <t xml:space="preserve">BW0LR</t>
  </si>
  <si>
    <t xml:space="preserve">Bronze, Green Submitted</t>
  </si>
  <si>
    <t xml:space="preserve">WOS:001097469700003</t>
  </si>
  <si>
    <t xml:space="preserve">Hamdani, J; Molina, PA; Fuentes, LL; Shawqy, H; Rossi, G; León, DA</t>
  </si>
  <si>
    <t xml:space="preserve">Hamdani, Jumana; Molina, Pablo Antuna; Fuentes, Lucia Leva; Shawqy, Hesham; Rossi, Gabriella; Leon, David Andres</t>
  </si>
  <si>
    <t xml:space="preserve">What Is My Plaza for? Implementing a Machine Learning Strategy for Public Events Prediction in the Urban Square</t>
  </si>
  <si>
    <t xml:space="preserve">data classification; event prediction; machine learning; Madrid; plaza; public squares; self-organising maps</t>
  </si>
  <si>
    <t xml:space="preserve">Plazas are an essential pillar of public life in our cities. Historically, they have been seen as public fora, hosting public events that fostered trade, interaction, and debate. However, with the rise of modern urbanism, city planners considered them as part of a larger strategic development scheme overlooking their social importance. As a result, plazas have lost their function and value. In recent years, awareness has risen of the need to re-activate these public spaces to strive for social inclusion and urban resilience. Geometric and urban features of plazas and their surroundings often suggest what kinds of usage the public can make of them. In this project, we explore the application of machine learning to predict the suitability of events in public spaces, aiming to enhance urban plaza design. Learning from traditional urbanism indicators, we consider factors associated with the features of the public space, such as the number of people and the high degree of comfort, which are evolved from three subcategories: external factors, geometric shape, and design factors. We acknowledge that the predictive capability of our model is constrained by a relatively small dataset, comprising 15 real plazas in Madrid augmented digitally to 2025 fictional scenarios through self-organising maps. The article details the methods to quantify and enumerate quantitative urban features. With a categorical target variable, a classification model is trained to predict the type of event in the urban space. The model is then evaluated locally in Grasshopper by visualising a parametric verified geometry and deploying the model on other existing plazas worldwide regarding geographical proximity to Madrid, where to share or not the same cultural and environmental conditions. Despite these limitations, our findings offer valuable insights into the potential of machine learning in urban planning, suggesting pathways for future research to expand upon this foundational study.</t>
  </si>
  <si>
    <t xml:space="preserve">[Hamdani, Jumana] Univ New South Wales, Sch Informat Syst &amp; Technol Management, Sydney, Australia; [Hamdani, Jumana] Blekinge Inst Technol, Dept Spatial Planning, Karlskrona, Sweden; [Molina, Pablo Antuna; Fuentes, Lucia Leva; Shawqy, Hesham; Leon, David Andres] IAAC Inst Adv Architecture Catalonia, Barcelona, Spain; [Rossi, Gabriella] Royal Danish Acad, CITA, Copenhagen, Denmark</t>
  </si>
  <si>
    <t xml:space="preserve">University of New South Wales Sydney; Blekinge Institute Technology</t>
  </si>
  <si>
    <t xml:space="preserve">Hamdani, J (corresponding author), Univ New South Wales, Sch Informat Syst &amp; Technol Management, Sydney, Australia.;Hamdani, J (corresponding author), Blekinge Inst Technol, Dept Spatial Planning, Karlskrona, Sweden.</t>
  </si>
  <si>
    <t xml:space="preserve">j.hamdani@unsw.edu.au</t>
  </si>
  <si>
    <t xml:space="preserve">Hamdani, Jumana/0000-0003-3675-0762</t>
  </si>
  <si>
    <t xml:space="preserve">School of Information Systems and Technology Management, UNSW Sydney</t>
  </si>
  <si>
    <t xml:space="preserve">We would like to thank the School of Information Systems and Technology Management, UNSW Sydney for their support.</t>
  </si>
  <si>
    <t xml:space="preserve">10.17645/up.8551</t>
  </si>
  <si>
    <t xml:space="preserve">N9I7O</t>
  </si>
  <si>
    <t xml:space="preserve">WOS:001367393600002</t>
  </si>
  <si>
    <t xml:space="preserve">Carlsson, A; Ageyev, D; Sadykov, Y; Sokolov, V</t>
  </si>
  <si>
    <t xml:space="preserve">Carlsson, Anders; Ageyev, Dmytro; Sadykov, Yaroslav; Sokolov, Volodymyr</t>
  </si>
  <si>
    <t xml:space="preserve">Sustainability Research of the Secure Wireless Communication System with Channel Reservation</t>
  </si>
  <si>
    <t xml:space="preserve">15TH INTERNATIONAL CONFERENCE ON ADVANCED TRENDS IN RADIOELECTRONICS, TELECOMMUNICATIONS AND COMPUTER ENGINEERING (TCSET - 2020)</t>
  </si>
  <si>
    <t xml:space="preserve">15th International Conference on Advanced Trends in Radioelectronics, Telecommunications and Computer Engineering (TCSET)</t>
  </si>
  <si>
    <t xml:space="preserve">FEB 25-29, 2020</t>
  </si>
  <si>
    <t xml:space="preserve">Lviv, UKRAINE</t>
  </si>
  <si>
    <t xml:space="preserve">Natl Univ Lviv Polytechn,IEEE,IEEE Ukraine Sect,Mil Univ Technol</t>
  </si>
  <si>
    <t xml:space="preserve">channel reservation; wireless; sustainability</t>
  </si>
  <si>
    <t xml:space="preserve">The paper presents the research of the stability of the system with a redundancy of communication channels. For this, two prototypes have been developed that are built (1) according to the classical circuit-switched scheme and (2) with an aggregation of several virtual channels. Prototyping, installation on various vehicles and measurements of the stability of the entire system as a whole were carried out. The paper also presents structural diagrams, hardware, and a list of problems and difficulties that the authors encountered during the practical implementation and implementation of these systems. In the future, it is planned to expand the study of these systems when working with high-level channel virtualization and the search for methods to accelerate its work.</t>
  </si>
  <si>
    <t xml:space="preserve">[Carlsson, Anders] Blekinge Inst Technol, Dept Comp Sci, Karlskrona, Sweden; [Ageyev, Dmytro] Kharkiv Natl Univ Radioelect, Infocommun Engn Dept, Kharkiv, Ukraine; [Sadykov, Yaroslav] Helsi Ltd, Informat Technol Dept, Kiev, Ukraine; [Sokolov, Volodymyr] Borys Grinchenko Kyiv Univ, Dept Informat &amp; Cyber Secur, Kiev, Ukraine</t>
  </si>
  <si>
    <t xml:space="preserve">Blekinge Institute Technology; Ministry of Education &amp; Science of Ukraine; Kharkiv National University of Radio Electronics; Ministry of Education &amp; Science of Ukraine; Borys Grinchenko Kyiv Metropolitan University</t>
  </si>
  <si>
    <t xml:space="preserve">Carlsson, A (corresponding author), Blekinge Inst Technol, Dept Comp Sci, Karlskrona, Sweden.</t>
  </si>
  <si>
    <t xml:space="preserve">anders.carlsson@bth.se; dmytro.aheiev@nure.ua; y.sadykov@helsi.me; sokolov@kubg.edu.ua</t>
  </si>
  <si>
    <t xml:space="preserve">Ageyev, Dmytro/A-7274-2012; Sokolov, Volodymyr/O-2333-2017</t>
  </si>
  <si>
    <t xml:space="preserve">Ageyev, Dmytro/0000-0002-2686-3854; Sokolov, Volodymyr/0000-0002-9349-7946</t>
  </si>
  <si>
    <t xml:space="preserve">RAMECS; self-determined research funds of CCNU from the colleges' primary research and operation of MOE [CCNU19TS022]</t>
  </si>
  <si>
    <t xml:space="preserve">RAMECS; self-determined research funds of CCNU from the colleges' primary research and operation of MOE</t>
  </si>
  <si>
    <t xml:space="preserve">This scientific work was partially supported by RAMECS and self-determined research funds of CCNU from the colleges' primary research and operation of MOE (CCNU19TS022). The experiments were conducted with the assistance of the company Helsi Ltd. [13].</t>
  </si>
  <si>
    <t xml:space="preserve">978-1-7281-5566-1</t>
  </si>
  <si>
    <t xml:space="preserve">10.1109/TCSET49122.2020.235583</t>
  </si>
  <si>
    <t xml:space="preserve">Computer Science, Theory &amp; Methods; Engineering, Electrical &amp; Electronic; Telecommunications</t>
  </si>
  <si>
    <t xml:space="preserve">BQ1XG</t>
  </si>
  <si>
    <t xml:space="preserve">Green Published, Green Accepted</t>
  </si>
  <si>
    <t xml:space="preserve">WOS:000578041000204</t>
  </si>
  <si>
    <t xml:space="preserve">Mellerup, M; Sjöström, K; Örmon, K</t>
  </si>
  <si>
    <t xml:space="preserve">Mellerup, Marie; Sjostrom, Karin; Ormon, Karin</t>
  </si>
  <si>
    <t xml:space="preserve">Recovery at an Adult Psychiatric Day Hospital-A Qualitative Interview Study Describing Patients' Experiences</t>
  </si>
  <si>
    <t xml:space="preserve">ISSUES IN MENTAL HEALTH NURSING</t>
  </si>
  <si>
    <t xml:space="preserve">MENTAL-HEALTH-CARE; PEOPLE</t>
  </si>
  <si>
    <t xml:space="preserve">Psychiatric Day Hospitals offer time-limited active treatment programmes that are therapeutically intensive, coordinated, and with structured clinical services within a stable environment. No previous studies have described patients' experiences of recovery-oriented care at a Psychiatric Day Hospital in a Swedish or Nordic healthcare context. The aim of the study was to explore patients' experiences of a Psychiatric Day Hospital with focus on patient recovery. A qualitative method was used; 12 in-depth interviews were performed with patients all analysed with content analysis. The theme that emerged was A safe haven. To do something routinely and meaningful during the days, feelings of security, and to gain increased knowledge about mental ill health were concepts which felt important and contributed to recovery. Feelings of belonging and prevention of loneliness were also highlighted.</t>
  </si>
  <si>
    <t xml:space="preserve">[Mellerup, Marie] Habilitat &amp; Tech Aids, Dept Adult Psychiat Malmo Trelleborg, Off Psychiat, Trelleborg, Region Skane, Sweden; [Mellerup, Marie; Sjostrom, Karin; Ormon, Karin] Malmo Univ, Dept Care Sci, Fac Hlth &amp; Soc, Malmo, Sweden; [Ormon, Karin] Vastra Gotaland Reg Competence Ctr Intimate Partne, Gothenburg, Sweden; [Ormon, Karin] Blekinge Inst Technol, Dept Hlth, Karlskrona, Sweden; [Mellerup, Marie] Psychiat Malmo Trelleborg, Ahlmansgatan 1,4th Floor, S-20502 Malmo, Sweden</t>
  </si>
  <si>
    <t xml:space="preserve">Mellerup, M (corresponding author), Psychiat Malmo Trelleborg, Ahlmansgatan 1,4th Floor, S-20502 Malmo, Sweden.</t>
  </si>
  <si>
    <t xml:space="preserve">marie.k.mellerup@skane.se</t>
  </si>
  <si>
    <t xml:space="preserve">Sjostrom, Karin/0000-0002-7466-5086; Ormon, Karin/0000-0002-0228-1358; Mellerup, Marie/0009-0004-9168-9559</t>
  </si>
  <si>
    <t xml:space="preserve">0161-2840</t>
  </si>
  <si>
    <t xml:space="preserve">1096-4673</t>
  </si>
  <si>
    <t xml:space="preserve">ISSUES MENT HEALTH N</t>
  </si>
  <si>
    <t xml:space="preserve">Issues Ment. Health Nurs.</t>
  </si>
  <si>
    <t xml:space="preserve">JUN 2</t>
  </si>
  <si>
    <t xml:space="preserve">10.1080/01612840.2024.2330565</t>
  </si>
  <si>
    <t xml:space="preserve">Nursing; Psychiatry</t>
  </si>
  <si>
    <t xml:space="preserve">UY9N6</t>
  </si>
  <si>
    <t xml:space="preserve">WOS:001207009700001</t>
  </si>
  <si>
    <t xml:space="preserve">Lin, S; Zhao, L; Wang, S; Islam, MS; Wei, W; Huo, XL; Guo, ZX</t>
  </si>
  <si>
    <t xml:space="preserve">Lin, Sen; Zhao, Lun; Wang, Sen; Islam, Md Shafiqul; Wei, Wu; Huo, Xiaole; Guo, Zixin</t>
  </si>
  <si>
    <t xml:space="preserve">Non-destructive monitoring of forming quality of self-piercing riveting via a lightweight deep learning</t>
  </si>
  <si>
    <t xml:space="preserve">ALUMINUM-ALLOY; SPR JOINTS</t>
  </si>
  <si>
    <t xml:space="preserve">Self-piercing riveting (SPR) has been widely used in automobile body jointing. However, the riveting process is prone to various forming quality failures, such as empty riveting, repeated riveting, substrate cracking, and other riveting defects. This paper combines deep learning algorithms to achieve non-contact monitoring of SPR forming quality. And a lightweight convolutional neural network with higher accuracy and less computational effort is designed. The ablation and comparative experiments results show that the lightweight convolutional neural network proposed in this paper achieves improved accuracy and reduced computational complexity. Compared with the original algorithm, the algorithm's accuracy in this paper is increased by 4.5% , and the recall is increased by 1.4% . In addition, the amount of redundant parameters is reduced by 86.5% , and the amount of computation is reduced by 47.33% . This method can effectively overcome the limitations of low efficiency, high work intensity, and easy leakage of manual visual inspection methods and provide a more efficient solution for monitoring the quality of SPR forming quality.</t>
  </si>
  <si>
    <t xml:space="preserve">[Lin, Sen; Zhao, Lun; Huo, Xiaole; Guo, Zixin] Shenzhen Polytech, Inst Intelligent Mfg Technol, Shenzhen 518055, Peoples R China; [Wang, Sen] Kunming Univ Sci &amp; Technol, Fac Mech &amp; Elect Engn, Kunming 650500, Peoples R China; [Islam, Md Shafiqul] Blekinge Inst Technol, Dept Mech Engn, S-37179 Karlskrona, Sweden; [Wei, Wu] Guizhou Univ, Sch Mech Engn, Guiyang 550025, Peoples R China</t>
  </si>
  <si>
    <t xml:space="preserve">Shenzhen Polytechnic University; Kunming University of Science &amp; Technology; Blekinge Institute Technology; Guizhou University</t>
  </si>
  <si>
    <t xml:space="preserve">Zhao, L (corresponding author), Shenzhen Polytech, Inst Intelligent Mfg Technol, Shenzhen 518055, Peoples R China.</t>
  </si>
  <si>
    <t xml:space="preserve">Guo, Zixin/GMI-7752-2022; Islam, Md. Shafiqul/ABD-9092-2021</t>
  </si>
  <si>
    <t xml:space="preserve">Lun, Zhao/0000-0001-8293-9094; Wang, Sen/0000-0003-1259-8030; Islam, Md Shafiqul/0000-0002-1162-7023</t>
  </si>
  <si>
    <t xml:space="preserve">Scientific Research Startup Fund for Shenzhen High-Caliber Personnel of SZPT [6022310046K]</t>
  </si>
  <si>
    <t xml:space="preserve">Scientific Research Startup Fund for Shenzhen High-Caliber Personnel of SZPT</t>
  </si>
  <si>
    <t xml:space="preserve">AcknowledgementsThis research is supported by Scientific Research Startup Fund for Shenzhen High-Caliber Personnel of SZPT (No. 6022310046K).</t>
  </si>
  <si>
    <t xml:space="preserve">APR 13</t>
  </si>
  <si>
    <t xml:space="preserve">10.1038/s41598-023-32827-7</t>
  </si>
  <si>
    <t xml:space="preserve">F7YA9</t>
  </si>
  <si>
    <t xml:space="preserve">WOS:000984454500052</t>
  </si>
  <si>
    <t xml:space="preserve">Zepernick, HJ; Pieper, K; Spang, RP; Engelke, U; Hirth, M; Naderi, B</t>
  </si>
  <si>
    <t xml:space="preserve">Zepernick, Hans-Jurgen; Pieper, Kerstin; Spang, Robert P.; Engelke, Ulrich; Hirth, Matthias; Naderi, Babak</t>
  </si>
  <si>
    <t xml:space="preserve">On the Impact of COVID-19 on Subjective Digital Media Quality Assessment</t>
  </si>
  <si>
    <t xml:space="preserve">IEEE MMSP 2021: 2021 IEEE 23RD INTERNATIONAL WORKSHOP ON MULTIMEDIA SIGNAL PROCESSING (MMSP)</t>
  </si>
  <si>
    <t xml:space="preserve">IEEE International Workshop on Multimedia Signal Processing</t>
  </si>
  <si>
    <t xml:space="preserve">23rd IEEE International Workshop on Multimedia Signal Processing (IEEE MMSP)</t>
  </si>
  <si>
    <t xml:space="preserve">OCT 06-08, 2021</t>
  </si>
  <si>
    <t xml:space="preserve">Tampere, FINLAND</t>
  </si>
  <si>
    <t xml:space="preserve">IEEE,IEEE Signal Proc Soc, Multimedia Signal Proc Tech Comm</t>
  </si>
  <si>
    <t xml:space="preserve">The COVID-19 pandemic has induced dramatic effects in all areas of society worldwide. It has led to drastic restrictions on academic exchanges and caused research projects to be put on hold. The need to maintain social distancing has severely affected the research communities that rely on in-person studies. In particular, Quality of Experience (QoE) research relies heavily on user studies and in-person subjective tests as means of obtaining ground truths for system designs. In this position paper, we focus on the impact of COVID-19 on conducting subjective tests for digital media quality assessment. An overview of the related discussions that take place in associated research communities is provided. A number of challenges are posed in terms of hygiene, ethics, standardization, and research quality issues. Opportunities for consolidating QoE research under COVID-19 and beyond are put forward, including alternative experimental designs and adaptation of research methodologies. Numerous enablers are suggested and discussed, revealing various avenues that can be followed to assist in conducting subjective tests under pandemic conditions. We believe that this position paper will be helpful for researchers and practitioners relying on in-person studies to keep abreast about the potential measures that support coming out of the COVID-19 pandemic strong and being prepared for future endeavors.</t>
  </si>
  <si>
    <t xml:space="preserve">[Zepernick, Hans-Jurgen] Blekinge Inst Technol, SE-37179 Karlskrona, Sweden; [Pieper, Kerstin; Spang, Robert P.; Naderi, Babak] Tech Univ Berlin, D-10587 Berlin, Germany; [Engelke, Ulrich] CSIRO Data61, Bentley, WA 6102, Australia; [Hirth, Matthias] Tech Univ Ilmenau, D-98684 Ilmenau, Germany</t>
  </si>
  <si>
    <t xml:space="preserve">Blekinge Institute Technology; Technical University of Berlin; Commonwealth Scientific &amp; Industrial Research Organisation (CSIRO); Technische Universitat Ilmenau</t>
  </si>
  <si>
    <t xml:space="preserve">hans-jurgen.zepernick@bth.se; kerstin.pieper@tu-berlin.de; spang@tu-berlin.de; Ulrich.Engelke@data61.csiro.au; matthias.hirth@tu-ilmenau.de; babak.naderi@tu-berlin.de</t>
  </si>
  <si>
    <t xml:space="preserve">Hirth, Matthias/S-6290-2019; Spang, Robert P./AHB-8655-2022; Zepernick, Hans-Jürgen/AFJ-2429-2022</t>
  </si>
  <si>
    <t xml:space="preserve">Hirth, Matthias/0000-0002-1359-363X</t>
  </si>
  <si>
    <t xml:space="preserve">2163-3517</t>
  </si>
  <si>
    <t xml:space="preserve">978-1-6654-3287-0</t>
  </si>
  <si>
    <t xml:space="preserve">IEEE INT WORKSH MULT</t>
  </si>
  <si>
    <t xml:space="preserve">10.1109/MMSP53017.2021.9733583</t>
  </si>
  <si>
    <t xml:space="preserve">Computer Science, Software Engineering; Engineering, Electrical &amp; Electronic; Imaging Science &amp; Photographic Technology</t>
  </si>
  <si>
    <t xml:space="preserve">Computer Science; Engineering; Imaging Science &amp; Photographic Technology</t>
  </si>
  <si>
    <t xml:space="preserve">BT1UI</t>
  </si>
  <si>
    <t xml:space="preserve">WOS:000803057000063</t>
  </si>
  <si>
    <t xml:space="preserve">Moyón, F; Bayr, C; Mendez, D; Dännart, S; Beckers, K</t>
  </si>
  <si>
    <t xml:space="preserve">Chatzigeorgiou, A; Dondi, R; Herodotou, H; Kapoutsis, C; Manolopoulos, Y; Papadopoulos, GA; Sikora, F</t>
  </si>
  <si>
    <t xml:space="preserve">Moyon, Fabiola; Bayr, Christoph; Mendez, Daniel; Dannart, Sebastian; Beckers, Kristian</t>
  </si>
  <si>
    <t xml:space="preserve">A Light-Weight Tool for the Self-assessment of Security Compliance in Software Development - An Industry Case</t>
  </si>
  <si>
    <t xml:space="preserve">SOFSEM 2020: THEORY AND PRACTICE OF COMPUTER SCIENCE</t>
  </si>
  <si>
    <t xml:space="preserve">46th International Conference on Current Trends in Theory and Practice of Informatics (SOFSEM)</t>
  </si>
  <si>
    <t xml:space="preserve">JAN 20-24, 2020</t>
  </si>
  <si>
    <t xml:space="preserve">Security standards; Secure software engineering; Security assessment; Secure development process; Tool-support</t>
  </si>
  <si>
    <t xml:space="preserve">Companies are often challenged to modify and improve their software development processes in order to make them compliant with security standards. The complexity of these processes renders it difficult for practitioners to validate and foresee the effort required for compliance assessments. Further, performing gap analyses when processes are not yet mature enough is costly and involving auditors in early stages is, in our experience, often inefficient. An easier and more productive approach is conducting a self-assessment. However, practitioners, in particular developers, quality engineers, and product owners face difficulties to identify security-relevant process artifacts as required by standards. They would benefit from a proper and light-weight tool to perform early compliance assessments of their processes w.r.t. security standards before entering an in-depth audit. In this paper, we report on our current effort at Siemens Corporate Technology to develop such a light-weight assessment tool to assess the security compliance of software development processes with the IEC 62443-4-1 standard, and we discuss first results from an interview-based evaluation.</t>
  </si>
  <si>
    <t xml:space="preserve">[Moyon, Fabiola; Beckers, Kristian] Siemens CT Munich, Munich, Germany; [Moyon, Fabiola; Bayr, Christoph] Tech Univ Munich, Munich, Germany; [Mendez, Daniel] Blekinge Inst Technol, Karlskrona, Sweden; [Mendez, Daniel] Fortiss GmbH, Munich, Germany; [Dannart, Sebastian] INFODAS GmbH, Cologne, Germany</t>
  </si>
  <si>
    <t xml:space="preserve">Technical University of Munich; Blekinge Institute Technology; fortiss</t>
  </si>
  <si>
    <t xml:space="preserve">Moyón, F (corresponding author), Siemens CT Munich, Munich, Germany.;Moyón, F (corresponding author), Tech Univ Munich, Munich, Germany.</t>
  </si>
  <si>
    <t xml:space="preserve">fabiola.moyon@siemens.com; christoph.bayr@tum.de; daniel.mendez@bth.se; s.daennart@infodas.de; kristian.beckers@siemens.com</t>
  </si>
  <si>
    <t xml:space="preserve">Moyon Constante, Fabiola Paulina/0000-0003-0535-1371; Mendez Fernandez, Daniel/0000-0003-0619-6027</t>
  </si>
  <si>
    <t xml:space="preserve">978-3-030-38919-2; 978-3-030-38918-5</t>
  </si>
  <si>
    <t xml:space="preserve">10.1007/978-3-030-38919-2_33</t>
  </si>
  <si>
    <t xml:space="preserve">BR5IY</t>
  </si>
  <si>
    <t xml:space="preserve">WOS:000655605200033</t>
  </si>
  <si>
    <t xml:space="preserve">Abbas, Z; Zhao, L; Zeng, JQ; Kao-walter, S; Qi, XZ</t>
  </si>
  <si>
    <t xml:space="preserve">Abbas, Zeshan; Zhao, Lun; Zeng, Jiaqi; Kao-walter, Sharon; Qi, Xiaozhi</t>
  </si>
  <si>
    <t xml:space="preserve">Bonding analysis of ultrasonic welded multi-wire joints with additional root gaps</t>
  </si>
  <si>
    <t xml:space="preserve">ALEXANDRIA ENGINEERING JOURNAL</t>
  </si>
  <si>
    <t xml:space="preserve">Ultrasonic welding; Root gaps; Multi-wire harness; Forming quality and failure mode; Surface micro-topography</t>
  </si>
  <si>
    <t xml:space="preserve">ALLOYS</t>
  </si>
  <si>
    <t xml:space="preserve">This work presents four sets of welded multi-wires on Cu sheet (e.g., A-(95/95mm2), B-(35, 35, 25/35, 35, 25 mm2), C-(50, 35, 10/50, 35, 10 mm2), D-(35, 35, 25/50, 35, 10 mm2)) using ultrasonic wire harness welding (USWW). Forming quality of multi-wire joint, examination of microstructures, root gaps influence, fractographic analysis and surface micro-topography were investigated and clarified. Tensile strength and microhardness of samples in B-(35, 35, 25/35, 35, 25 mm2) increases up to peak load (6527.7 N and 484.5 HV) under welding energy of 1000 J. Tensile strength of B-(35, 35, 25/35, 35, 25 mm2/(6527.7 N)) is 29.2 % higher than A-(95/ 95mm2/(3681 N)) under effect of root gap. Maximum hardness of Cu plate in group B was obtained 484.5HV and maximum hardness of sample reached 363.2HV and 251HV in group C and A respectively. Stability of sample in group B is generally increased by 20.5 % compared to A3, C5 and D2. Failure displacement of joint A3 is 35 % higher than joint B1. Failure displacement of joint C5 is 15 % higher than joint D2. EDS analysis experienced Cu content at welded interface is higher compared to rest of locations which generates more fine grains structures to increase strength and weldability of joints. Kathmatic microscope investigated microtopographical features in group B sample wherein regular surface size was measured to be approximately 10 mu m. A standard root gap allows welded sheet to penetrate amid multi-wires being joined tightly and ensures a strong bond in group B.</t>
  </si>
  <si>
    <t xml:space="preserve">[Abbas, Zeshan; Zhao, Lun; Zeng, Jiaqi] Shenzhen Polytech Univ, Inst Ultrason Technol, Shenzhen 518055, Peoples R China; [Abbas, Zeshan; Qi, Xiaozhi] Chinese Acad Sci, Shenzhen Inst Adv Technol, Shenzhen 518055, Peoples R China; [Zhao, Lun] Yunnan Open Univ, Sch Mech &amp; Elect Engn, Kunming 650500, Peoples R China; [Kao-walter, Sharon] Blekinge Inst Technol, Dept Mech Engn, S-37179 Karlskrona, Sweden</t>
  </si>
  <si>
    <t xml:space="preserve">Shenzhen Polytechnic University; Chinese Academy of Sciences; Shenzhen Institute of Advanced Technology, CAS; Blekinge Institute Technology</t>
  </si>
  <si>
    <t xml:space="preserve">zhaolun_ultrasonic@126.com</t>
  </si>
  <si>
    <t xml:space="preserve">Abbas, Zeshan/MEO-8370-2025</t>
  </si>
  <si>
    <t xml:space="preserve">Postdoctoral Startup Fund of Shenzhen Polytechnic University [6023271014K]; National Natural Science Foundation of China [6022331008K]; [52375035]</t>
  </si>
  <si>
    <t xml:space="preserve">Postdoctoral Startup Fund of Shenzhen Polytechnic University; National Natural Science Foundation of China(National Natural Science Foundation of China (NSFC));</t>
  </si>
  <si>
    <t xml:space="preserve">This research is supported by Scientific Research Startup Fund for Shenzhen High-Caliber Personnel of Shenzhen Polytechnic University (No. 6024330003K; No. 6022310046K) ; SZPU-Newpower Ultrasonic welding R&amp;D (No. 602331009PQ) ; National Natural Science Foundation of China (No. 12104324) ; Postdoctoral Laterstage Foundation Project of Shenzhen Polytechnic University (No. 6023271014K) ; Postdoctoral Startup Fund of Shenzhen Polytechnic University (No. 6022331008K) ; National Natural Science Foundation of China (No. 52375035) .</t>
  </si>
  <si>
    <t xml:space="preserve">1110-0168</t>
  </si>
  <si>
    <t xml:space="preserve">2090-2670</t>
  </si>
  <si>
    <t xml:space="preserve">ALEX ENG J</t>
  </si>
  <si>
    <t xml:space="preserve">Alex. Eng. J.</t>
  </si>
  <si>
    <t xml:space="preserve">10.1016/j.aej.2024.12.082</t>
  </si>
  <si>
    <t xml:space="preserve">Engineering, Multidisciplinary</t>
  </si>
  <si>
    <t xml:space="preserve">S4D5E</t>
  </si>
  <si>
    <t xml:space="preserve">WOS:001397748800001</t>
  </si>
  <si>
    <t xml:space="preserve">Commentary on Plogmark, et al. Agreement between ultrasonic bubble grades using a handheld self-positioning Doppler product and 2D cardiac ultrasound Reply</t>
  </si>
  <si>
    <t xml:space="preserve">Decompression sickness; Doppler; Risk Factors; Risk Management; Scuba diving; Venous gas emboli</t>
  </si>
  <si>
    <t xml:space="preserve">[Plogmark, Oscar; Hjelte, Carl; Ekstrom, Magnus] Lund Univ, Dept Clin Sci Lund Resp Med &amp; Allergol, Fac Med, Lund, Sweden; [Plogmark, Oscar; Hjelte, Carl; Franberg, Oskar] Swedish Armed Forces Diving &amp; Naval Med Ctr, Swedish Armed Forces, Karlskrona, Sweden; [Hjelte, Carl] Sahlgrens Univ Hosp, Anesthesia &amp; Intens Care, Gothenburg, Sweden; [Franberg, Oskar] Blekinge Inst Technol, Dept Math &amp; Nat Sci, Karlskrona, Sweden</t>
  </si>
  <si>
    <t xml:space="preserve">Plogmark, O (corresponding author), Sten Bergmans vag 21, S-12146 Johanneshov, Sweden.</t>
  </si>
  <si>
    <t xml:space="preserve">Franberg, Oskar/KHU-8967-2024; Ekström, Magnus/ABA-2199-2021</t>
  </si>
  <si>
    <t xml:space="preserve">PMID 37718306</t>
  </si>
  <si>
    <t xml:space="preserve">10.2890/dhm53.3.291</t>
  </si>
  <si>
    <t xml:space="preserve">Z3CB2</t>
  </si>
  <si>
    <t xml:space="preserve">WOS:001110875100018</t>
  </si>
  <si>
    <t xml:space="preserve">Wang, XF; Martini, A; Nguyen-Duc, A; Stray, V; Wnuk, K</t>
  </si>
  <si>
    <t xml:space="preserve">Wang, Xiaofeng; Martini, Antonio; Nguyen-Duc, Anh; Stray, Viktoria; Wnuk, Kryzstof</t>
  </si>
  <si>
    <t xml:space="preserve">Special section on IST for ICSOB2021</t>
  </si>
  <si>
    <t xml:space="preserve">[Wang, Xiaofeng] Free Univ Bozen Bolzano, Bolzano, Italy; [Martini, Antonio; Stray, Viktoria] Univ Oslo, Oslo, Norway; [Nguyen-Duc, Anh] Univ South Eastern, Notodden, Norway; [Stray, Viktoria] SINTEF, Trondheim, Norway; [Wnuk, Kryzstof] Blekinge Inst Technol, Karlskrona, Sweden</t>
  </si>
  <si>
    <t xml:space="preserve">Free University of Bozen-Bolzano; University of Oslo; SINTEF; Blekinge Institute Technology</t>
  </si>
  <si>
    <t xml:space="preserve">Wang, XF (corresponding author), Free Univ Bozen Bolzano, Bolzano, Italy.</t>
  </si>
  <si>
    <t xml:space="preserve">Nguyen-Duc, Anh/AAB-5189-2020; Stray, Viktoria/E-9563-2016</t>
  </si>
  <si>
    <t xml:space="preserve">10.1016/j.infsof.2023.107243</t>
  </si>
  <si>
    <t xml:space="preserve">M9UL0</t>
  </si>
  <si>
    <t xml:space="preserve">WOS:001033590300001</t>
  </si>
  <si>
    <t xml:space="preserve">Olsson, T; Wnuk, K; Jansen, S</t>
  </si>
  <si>
    <t xml:space="preserve">Olsson, Thomas; Wnuk, Krzysztof; Jansen, Slinger</t>
  </si>
  <si>
    <t xml:space="preserve">A validated model for the scoping process of quality requirements: a multi-case study</t>
  </si>
  <si>
    <t xml:space="preserve">Quality requirements; Non-functional requirements; Case study</t>
  </si>
  <si>
    <t xml:space="preserve">Quality requirements are vital to developing successful software products. However, there exist evidence that quality requirements are managed mostly in an ad hoc manner and down-prioritized. This may result in insecure, unstable, slow products, and unhappy customers. We have developed a conceptual model for the scoping process of quality requirements - QREME - and an assessment model - Q-REPM - for companies to benchmark when evaluating and improving their quality requirements practices. Our model balances an upfront forward-loop with a data-driven feedback-loop. Furthermore, it addresses both strategic and operational decisions. We have evaluated the model in a multi-case study at two companies in Sweden and three companies in The Netherlands. We assessed the scoping process practices for quality requirements and provided improvement recommendations for which practices to improve. The study confirms the existence of the constructs underlying QREME. The companies perform, in the median, 24% of the suggested actions in Q-REPM. None of the companies work data-driven with their quality requirements, even though four out of five companies could technically do so. Furthermore, on the strategic level, quality requirements practices are not systematically performed by any of the companies. The conceptual model and assessment model capture a relevant view of the quality requirements practices and offer relevant improvement proposals. However, we believe there is a need for coupling quality requirements practices to internal and external success factors to motive companies to change their ways of working. We also see improvement potential in the area of business intelligence for QREME in selecting data sources and relevant stakeholders.</t>
  </si>
  <si>
    <t xml:space="preserve">[Olsson, Thomas] RISE Reserach Inst Sweden, Scheelevagen 17, S-22370 Lund, Sweden; [Wnuk, Krzysztof] Blekinge Inst Technol, Software Engn Res Grp, Karlskrona, Sweden; [Jansen, Slinger] Univ Utrecht, Utrecht, Netherlands; [Jansen, Slinger] LUT Univ, Sch Engn Sci, Lappeenranta, Finland</t>
  </si>
  <si>
    <t xml:space="preserve">Blekinge Institute Technology; Utrecht University; Lappeenranta-Lahti University of Technology LUT</t>
  </si>
  <si>
    <t xml:space="preserve">Olsson, T (corresponding author), RISE Reserach Inst Sweden, Scheelevagen 17, S-22370 Lund, Sweden.</t>
  </si>
  <si>
    <t xml:space="preserve">thomas.olsson@ri.se; krzystof.wnuk@bth.se; slinger.jansen@uu.nl</t>
  </si>
  <si>
    <t xml:space="preserve">Olsson, Thomas/AAB-8447-2019; Jansen, Slinger/Y-4244-2019</t>
  </si>
  <si>
    <t xml:space="preserve">Jansen, Slinger/0000-0003-3752-2868; Olsson, Thomas/0000-0002-2933-1925</t>
  </si>
  <si>
    <t xml:space="preserve">RISE Research Institutes of Sweden</t>
  </si>
  <si>
    <t xml:space="preserve">Open Access funding provided by RISE Research Institutes of Sweden</t>
  </si>
  <si>
    <t xml:space="preserve">MAR 2</t>
  </si>
  <si>
    <t xml:space="preserve">10.1007/s10664-020-09896-7</t>
  </si>
  <si>
    <t xml:space="preserve">QR7CF</t>
  </si>
  <si>
    <t xml:space="preserve">WOS:000625372100003</t>
  </si>
  <si>
    <t xml:space="preserve">Zabardast, E; Gonzalez-Huerta, J; Gorschek, T; Smite, D; Alégroth, E; Fagerholm, F</t>
  </si>
  <si>
    <t xml:space="preserve">Zabardast, Ehsan; Gonzalez-Huerta, Javier; Gorschek, Tony; Smite, Darja; Alegroth, Emil; Fagerholm, Fabian</t>
  </si>
  <si>
    <t xml:space="preserve">A taxonomy of assets for the development of software-intensive products and services</t>
  </si>
  <si>
    <t xml:space="preserve">Assets in software engineering; Asset management in software engineering; Assets for software-intensive products or services; Taxonomy</t>
  </si>
  <si>
    <t xml:space="preserve">TECHNICAL DEBT; REQUIREMENTS; MANAGEMENT; MODEL</t>
  </si>
  <si>
    <t xml:space="preserve">Context: Developing software-intensive products or services usually involves a plethora of software artefacts. Assets are artefacts intended to be used more than once and have value for organisations; examples include test cases, code, requirements, and documentation. During the development process, assets might degrade, affecting the effectiveness and efficiency of the development process. Therefore, assets are an investment that requires continuous management. Identifying assets is the first step for their effective management. However, there is a lack of awareness of what assets and types of assets are common in software-developing organisations. Most types of assets are understudied, and their state of quality and how they degrade over time have not been well-understood. Methods: We performed an analysis of secondary literature and a field study at five companies to investigate and identify assets to fill the gap in research. The results were analysed qualitatively and summarised in a taxonomy. Results: We present the first comprehensive, structured, yet extendable taxonomy of assets, containing 57 types of assets. Conclusions: The taxonomy serves as a foundation for identifying assets that are relevant for an organisation and enables the study of asset management and asset degradation concepts. (c) 2023 The Author(s). Published by Elsevier Inc. This is an open access article under the CC BY license (http://creativecommons.org/licenses/by/4.0/).</t>
  </si>
  <si>
    <t xml:space="preserve">[Zabardast, Ehsan; Gonzalez-Huerta, Javier; Gorschek, Tony; Smite, Darja; Alegroth, Emil; Fagerholm, Fabian] Blekinge Inst Technol, Software Engn Res Lab SERL, Campus Karlskrona,Valhallavagen 1, Karlskrona, Sweden; [Gorschek, Tony] Fortiss GmbH, Guerickestr 25, D-80805 Munich, Germany; [Fagerholm, Fabian] Aalto Univ, Dept Comp Sci, Espoo, Finland</t>
  </si>
  <si>
    <t xml:space="preserve">Blekinge Institute Technology; fortiss; Aalto University</t>
  </si>
  <si>
    <t xml:space="preserve">ehsan.zabardast@bth.se; javier.gonzalez.huerta@bth.se; tony.gorschek@bth.se; darja.smite@bth.se; emil.alegroth@bth.se; fabian.fagerholm@aalto.fi</t>
  </si>
  <si>
    <t xml:space="preserve">Zabardast, Ehsan/AAZ-8119-2021; Gorschek, Tony/E-3445-2013; Gonzalez-Huerta, Javier/V-4258-2019; Fagerholm, Fabian/B-1952-2015</t>
  </si>
  <si>
    <t xml:space="preserve">Fagerholm, Fabian/0000-0002-7298-3021; Zabardast, Ehsan/0000-0002-1729-5154</t>
  </si>
  <si>
    <t xml:space="preserve">10.1016/j.jss.2023.111701</t>
  </si>
  <si>
    <t xml:space="preserve">F7LL9</t>
  </si>
  <si>
    <t xml:space="preserve">WOS:000984121100001</t>
  </si>
  <si>
    <t xml:space="preserve">Yasin, A; Fatima, R; Ghazi, AN; Wei, ZQ</t>
  </si>
  <si>
    <t xml:space="preserve">Yasin, Affan; Fatima, Rubia; Ghazi, Ahmad Nauman; Wei, Ziqi</t>
  </si>
  <si>
    <t xml:space="preserve">Python data odyssey: Mining user feedback from google play store</t>
  </si>
  <si>
    <t xml:space="preserve">DATA IN BRIEF</t>
  </si>
  <si>
    <t xml:space="preserve">Data mining; App reviews; User reviews; Crowd-source data; NLP</t>
  </si>
  <si>
    <t xml:space="preserve">Context: The Google Play Store is widely recognized as one of the largest platforms for downloading applications, both free and paid 1 . On a daily basis, millions of users avail themselves of this marketplace, sharing their thoughts through various means such as star ratings, user comments, suggestions, and feedback. These insights, in the form of comments and feedback, constitute a valuable resource for organizations, competitors, and emerging companies seeking to expand their market presence. These comments provide insights into app deficiencies, suggestions for new features, identified issues, and potential enhancements. Unlocking the potential of this repository of suggestions holds significant value. Objective: This study sought to gather and analyze user reviews from the Google Play store for leading game apps. The primary aim was to construct a dataset for subsequent analysis utilizing requirements engineering, machine learning, and competitive assessment. Methodology: The authors employed a Python-based web scraping method to extract a comprehensive set of over 429,000+ reviews from the Google Play pages of selected apps. The scraped data encompassed reviewer names (removed due to privacy), ratings, and the textual content of the reviews. Results: The outcome was a dataset comprising the extracted user reviews, ratings, and associated metadata. A total of 429,0 0 0 + reviews were acquired through the scraping process for popular apps like Subway Surfers, Candy Crush Saga, PUBG Mobile, among others. This dataset not only serves as a valuable educational resource for instructors, aiding in the training of students in data analysis, but also offers practitioners the opportunity for in-depth examination and insights (in the past data of top apps). (c) 2024 The Authors. Published by Elsevier Inc. This is an open access article under the CC BY license ( http://creativecommons.org/licenses/by/4.0/ )</t>
  </si>
  <si>
    <t xml:space="preserve">[Yasin, Affan] Northwestern Polytech Univ, Sch Software, Xian 710072, Shaanxi, Peoples R China; [Fatima, Rubia] Emerson Univ, Dept Comp Sci, Multan, Pakistan; [Ghazi, Ahmad Nauman] Blekinge Inst Technol, Dept Software Engn, SE-37179 Karlskrona, Sweden; [Wei, Ziqi] Chinese Acad Sci, Inst Automat, Beijing, Peoples R China</t>
  </si>
  <si>
    <t xml:space="preserve">Northwestern Polytechnical University; Blekinge Institute Technology; Chinese Academy of Sciences; Institute of Automation, CAS</t>
  </si>
  <si>
    <t xml:space="preserve">Ghazi, AN (corresponding author), Blekinge Inst Technol, Dept Software Engn, SE-37179 Karlskrona, Sweden.</t>
  </si>
  <si>
    <t xml:space="preserve">Fatima, Rubia/GPT-2295-2022; Yasin, Affan/GON-8035-2022; Ghazi, Ahmad Nauman/R-1982-2016</t>
  </si>
  <si>
    <t xml:space="preserve">Yasin, Affan/0000-0002-0166-2239; Wei, Ziqi/0000-0001-9402-8386; Ghazi, Ahmad Nauman/0000-0001-9336-4361</t>
  </si>
  <si>
    <t xml:space="preserve">Department of Software Engineering (DIPT) , Blekinge Institute of Technology, Sweden</t>
  </si>
  <si>
    <t xml:space="preserve">The study is financially supported by the Department of Software Engineering (DIPT) , Blekinge Institute of Technology, Sweden.</t>
  </si>
  <si>
    <t xml:space="preserve">2352-3409</t>
  </si>
  <si>
    <t xml:space="preserve">DATA BRIEF</t>
  </si>
  <si>
    <t xml:space="preserve">Data Brief</t>
  </si>
  <si>
    <t xml:space="preserve">10.1016/j.dib.2024.110499</t>
  </si>
  <si>
    <t xml:space="preserve">YB8T0</t>
  </si>
  <si>
    <t xml:space="preserve">WOS:001266124000002</t>
  </si>
  <si>
    <t xml:space="preserve">Tavassoli, S; Jienwatcharamongkhol, V; Arenius, P</t>
  </si>
  <si>
    <t xml:space="preserve">Tavassoli, Sam; Jienwatcharamongkhol, Viroj; Arenius, Pia</t>
  </si>
  <si>
    <t xml:space="preserve">Colocation of Entrepreneurs and New Firm Survival: Role of New Firm Founder's Experiential Relatedness to Local Entrepreneurs</t>
  </si>
  <si>
    <t xml:space="preserve">ENTREPRENEURSHIP THEORY AND PRACTICE</t>
  </si>
  <si>
    <t xml:space="preserve">colocation; entrepreneurial learning; new firm survival; experiential relatedness; entrepreneurial performance</t>
  </si>
  <si>
    <t xml:space="preserve">KNOWLEDGE RELATEDNESS; ABSORPTIVE-CAPACITY; INNOVATION; CLUSTERS; INDUSTRY; GROWTH; AGGLOMERATION; DETERMINANTS; PERSPECTIVE; PERFORMANCE</t>
  </si>
  <si>
    <t xml:space="preserve">Geographical clustering (colocation) influences new firm survival; however, not all new firms within a cluster are impacted equally. In this paper, we elaborate on how the colocation of local entrepreneurs may have different influences on new firm founder's learning depending on his/her fit, in terms of his/her experiential relatedness, to that of local entrepreneurs. We then associate such founder's learning with the higher survival of his/her new firm. We test our hypotheses using a matched founder-firm dataset that covers the population of the knowledge-intensive business service sector in Sweden during 2001-2012. We find support for our propositions concerning the relatedness of new firm founders' experiential background to that of local entrepreneurs. Specifically we find that high level of relatedness to local entrepreneurs enhances the survival rate of a new firm started by a novice founder, whereas intermediate level of relatedness suits better for a new firm started by an experienced founder.</t>
  </si>
  <si>
    <t xml:space="preserve">[Tavassoli, Sam; Arenius, Pia] RMIT Univ, Coll Business &amp; Law, Sch Management, 440 Elizabeth St, Melbourne, Vic 3000, Australia; [Tavassoli, Sam] Lund Univ, Ctr Innovat Res CIRCLE, Lund, Sweden; [Jienwatcharamongkhol, Viroj] Blekinge Inst Technol, Dept Ind Econ, Karlskrona, Sweden</t>
  </si>
  <si>
    <t xml:space="preserve">Royal Melbourne Institute of Technology (RMIT); Lund University; Blekinge Institute Technology</t>
  </si>
  <si>
    <t xml:space="preserve">Tavassoli, S (corresponding author), RMIT Univ, Coll Business &amp; Law, Sch Management, 440 Elizabeth St, Melbourne, Vic 3000, Australia.</t>
  </si>
  <si>
    <t xml:space="preserve">Sam.Tavassoli@rmit.edu.au</t>
  </si>
  <si>
    <t xml:space="preserve">Arenius, Pia/AAR-4223-2020; Tavassoli, Sam/JXM-6351-2024</t>
  </si>
  <si>
    <t xml:space="preserve">Tavassoli, Sam/0000-0002-4581-736X; Arenius, Pia/0000-0002-3008-348X</t>
  </si>
  <si>
    <t xml:space="preserve">1042-2587</t>
  </si>
  <si>
    <t xml:space="preserve">1540-6520</t>
  </si>
  <si>
    <t xml:space="preserve">ENTREP THEORY PRACT</t>
  </si>
  <si>
    <t xml:space="preserve">Entrep. Theory Pract.</t>
  </si>
  <si>
    <t xml:space="preserve">10.1177/10422587211057029</t>
  </si>
  <si>
    <t xml:space="preserve">J8OE5</t>
  </si>
  <si>
    <t xml:space="preserve">WOS:000748743400001</t>
  </si>
  <si>
    <t xml:space="preserve">Alégroth, E; Ardito, L; Coppola, R; Feldt, R</t>
  </si>
  <si>
    <t xml:space="preserve">Alegroth, Emil; Ardito, Luca; Coppola, Riccardo; Feldt, Robert</t>
  </si>
  <si>
    <t xml:space="preserve">Special issue on new generations of UI testing</t>
  </si>
  <si>
    <t xml:space="preserve">[Alegroth, Emil] Blekinge Inst Technol, Fac Comp, Dept Software Engn, Karlskrona, Sweden; [Ardito, Luca; Coppola, Riccardo] Politecn Torino, Dept Control &amp; Comp Engn, Corso Duca Abruzzi 24, I-10129 Turin, Italy; [Feldt, Robert] Chalmers Univ Technol, Dept Comp Sci &amp; Engn, Gothenburg, Sweden</t>
  </si>
  <si>
    <t xml:space="preserve">Blekinge Institute Technology; Polytechnic University of Turin; Chalmers University of Technology</t>
  </si>
  <si>
    <t xml:space="preserve">Alégroth, E (corresponding author), Blekinge Inst Technol, Fac Comp, Dept Software Engn, Karlskrona, Sweden.</t>
  </si>
  <si>
    <t xml:space="preserve">ARDITO, LUCA/0000-0002-0501-7886</t>
  </si>
  <si>
    <t xml:space="preserve">e1770</t>
  </si>
  <si>
    <t xml:space="preserve">10.1002/stvr.1770</t>
  </si>
  <si>
    <t xml:space="preserve">RS1LD</t>
  </si>
  <si>
    <t xml:space="preserve">WOS:000629661700001</t>
  </si>
  <si>
    <t xml:space="preserve">Dalarsson, M; Ivanenko, Y; Nordebo, S</t>
  </si>
  <si>
    <t xml:space="preserve">Dalarsson, Mariana; Ivanenko, Yevhen; Nordebo, Sven</t>
  </si>
  <si>
    <t xml:space="preserve">Wave propagation in waveguides with graded plasmonic obstacles</t>
  </si>
  <si>
    <t xml:space="preserve">JOURNAL OF THE OPTICAL SOCIETY OF AMERICA B-OPTICAL PHYSICS</t>
  </si>
  <si>
    <t xml:space="preserve">FUNDAMENTAL LIMITS</t>
  </si>
  <si>
    <t xml:space="preserve">In this paper, wave propagation in a hollow waveguide with a graded dielectric layer is studied. Analytic formulas are derived for the electric field components as well as general analytical results for the reflection and transmission coefficients for propagating waves. These results are all valid for waveguides of arbitrary cross sections, and the derived reflection and transmission coefficients are in exact asymptotic agreement with those obtained for a wry thin homogeneous dielectric layer using cascading and mode-matching techniques. Furthermore, the power transmission, reflection, and absorption coefficients, as functions of frequency and layer width, are studied, showing the expected behavior of these parameters. The method proposed in this paper gives directly applicable results that do not require cascading and mode matching, while at the same time having the ability to model smooth transitions that are more realistic in several applications. (C) 2020 Optical Society of America</t>
  </si>
  <si>
    <t xml:space="preserve">[Dalarsson, Mariana] KTH Royal Inst Technol, Sch Elect Engn &amp; Comp Sci, Dept Elect Engn, S-10044 Stockholm, Sweden; [Ivanenko, Yevhen; Nordebo, Sven] Linnaeus Univ, Fac Technol, Dept Phys &amp; Elect Engn, S-35195 Vaxjo, Sweden; [Ivanenko, Yevhen] Blekinge Inst Technol, Dept Math &amp; Nat Sci, S-37179 Karlskrona, Sweden</t>
  </si>
  <si>
    <t xml:space="preserve">Royal Institute of Technology; Linnaeus University; Blekinge Institute Technology</t>
  </si>
  <si>
    <t xml:space="preserve">Dalarsson, M (corresponding author), KTH Royal Inst Technol, Sch Elect Engn &amp; Comp Sci, Dept Elect Engn, S-10044 Stockholm, Sweden.</t>
  </si>
  <si>
    <t xml:space="preserve">mardal@kth.se</t>
  </si>
  <si>
    <t xml:space="preserve">Ivanenko, Yevhen/0000-0002-3928-6064; Nordebo, Sven/0000-0002-7018-6248; Dalarsson, Mariana/0000-0003-0369-7520</t>
  </si>
  <si>
    <t xml:space="preserve">Vetenskapsradet [2018-05001]; Stiftelsen for Strategisk Forskning [AM13-0011]; Swedish Research Council [2018-05001] Funding Source: Swedish Research Council; Swedish Foundation for Strategic Research (SSF) [AM13-0011] Funding Source: Swedish Foundation for Strategic Research (SSF)</t>
  </si>
  <si>
    <t xml:space="preserve">Vetenskapsradet(Swedish Research Council); Stiftelsen for Strategisk Forskning(Swedish Foundation for Strategic Research); Swedish Research Council(Swedish Research Council); Swedish Foundation for Strategic Research (SSF)(Swedish Foundation for Strategic Research)</t>
  </si>
  <si>
    <t xml:space="preserve">Vetenskapsradet (2018-05001); Stiftelsen for Strategisk Forskning (AM13-0011).</t>
  </si>
  <si>
    <t xml:space="preserve">OPTICAL SOC AMER</t>
  </si>
  <si>
    <t xml:space="preserve">2010 MASSACHUSETTS AVE NW, WASHINGTON, DC 20036 USA</t>
  </si>
  <si>
    <t xml:space="preserve">0740-3224</t>
  </si>
  <si>
    <t xml:space="preserve">1520-8540</t>
  </si>
  <si>
    <t xml:space="preserve">J OPT SOC AM B</t>
  </si>
  <si>
    <t xml:space="preserve">J. Opt. Soc. Am. B-Opt. Phys.</t>
  </si>
  <si>
    <t xml:space="preserve">JAN 1</t>
  </si>
  <si>
    <t xml:space="preserve">10.1364/JOSAB.410092</t>
  </si>
  <si>
    <t xml:space="preserve">PL9BO</t>
  </si>
  <si>
    <t xml:space="preserve">WOS:000603408200015</t>
  </si>
  <si>
    <t xml:space="preserve">Moyón, F; Méndez, D; Beckers, K; Klepper, S</t>
  </si>
  <si>
    <t xml:space="preserve">Bures, T; Dondi, R; Gamper, J; Guerrini, G; Jurdzinski, T; Pahl, C; Sikora, F; Wong, PWH</t>
  </si>
  <si>
    <t xml:space="preserve">Moyon, Fabiola; Mendez, Daniel; Beckers, Kristian; Klepper, Sebastian</t>
  </si>
  <si>
    <t xml:space="preserve">Using Process Models to Understand Security Standards</t>
  </si>
  <si>
    <t xml:space="preserve">SOFSEM 2021: THEORY AND PRACTICE OF COMPUTER SCIENCE</t>
  </si>
  <si>
    <t xml:space="preserve">47th International Conference on Current Trends in Theory and Practice of Computer Science (SOFSEM)</t>
  </si>
  <si>
    <t xml:space="preserve">JAN 25-29, 2021</t>
  </si>
  <si>
    <t xml:space="preserve">Bolzano-Bozen, ITALY</t>
  </si>
  <si>
    <t xml:space="preserve">Secure software engineering; Security standards; Business process modeling; Industrial control systems</t>
  </si>
  <si>
    <t xml:space="preserve">Many industrial software development processes today have to comply with security standards such as the IEC 62443-4-1. These standards, written in natural language, are ambiguous and complex to understand. This is especially true for non-security experts. Security practitioners thus invest much effort into comprehending standards and, later, into introducing them to development teams. However, our experience in the industry shows that development practitioners might very well also read such standards, but nevertheless end up inviting experts for interpretation (or confirmation). Such a scenario is not in tune with current trends and needs of increasing velocity in continuous software engineering. In this paper, we propose a tool-supported approach to make security standards more precise and easier to understand for both non-security as well as security experts by applying process models. This approach emerges from a large industrial company and encompasses so far the IEC 62443-4-1 standard. We further present a case study with 16 industry practitioners showing how the approach improves communication between development and security compliance practitioners.</t>
  </si>
  <si>
    <t xml:space="preserve">[Moyon, Fabiola] Siemens Technol, Munich, Germany; [Mendez, Daniel] Blekinge Inst Technol, Karlskrona, Sweden; [Beckers, Kristian] Social Engn Acad, Munich, Germany; [Moyon, Fabiola; Klepper, Sebastian] Tech Univ Munich TUM, Munich, Germany; [Mendez, Daniel] Fortiss GmbH, Munich, Germany</t>
  </si>
  <si>
    <t xml:space="preserve">Blekinge Institute Technology; Technical University of Munich; fortiss</t>
  </si>
  <si>
    <t xml:space="preserve">Moyón, F (corresponding author), Siemens Technol, Munich, Germany.;Moyón, F (corresponding author), Tech Univ Munich TUM, Munich, Germany.</t>
  </si>
  <si>
    <t xml:space="preserve">fabiola.moyon@siemens.com; daniel.mendez@bth.se; kristian.beckers@social-engineering.academy; sebastian.klepper@tum.de</t>
  </si>
  <si>
    <t xml:space="preserve">978-3-030-67730-5; 978-3-030-67731-2</t>
  </si>
  <si>
    <t xml:space="preserve">10.1007/978-3-030-67731-2_34</t>
  </si>
  <si>
    <t xml:space="preserve">Computer Science, Software Engineering; Computer Science, Theory &amp; Methods; Mathematics, Applied</t>
  </si>
  <si>
    <t xml:space="preserve">BU6QW</t>
  </si>
  <si>
    <t xml:space="preserve">WOS:000927597000034</t>
  </si>
  <si>
    <t xml:space="preserve">Chatzipetrou, P; Papatheocharous, E; Wnuk, K; Borg, M; Alegroth, E; Gorschek, T</t>
  </si>
  <si>
    <t xml:space="preserve">Chatzipetrou, Panagiota; Papatheocharous, Efi; Wnuk, Krzysztof; Borg, Markus; Alegroth, Emil; Gorschek, Tony</t>
  </si>
  <si>
    <t xml:space="preserve">Component attributes and their importance in decisions and component selection</t>
  </si>
  <si>
    <t xml:space="preserve">Component-based software engineering; Component sourcing options; Decision making; Compositional data analysis; Cumulative voting</t>
  </si>
  <si>
    <t xml:space="preserve">SOFTWARE; COTS; FRAMEWORK</t>
  </si>
  <si>
    <t xml:space="preserve">Component-based software engineering is a common approach in the development and evolution of contemporary software systems. Different component sourcing options are available, such as: (1) Software developed internally (in-house), (2) Software developed outsourced, (3) Commercial off-the-shelf software, and (4) Open-Source Software. However, there is little available research on what attributes of a component are the most important ones when selecting new components. The objective of this study is to investigate what matters the most to industry practitioners when they decide to select a component. We conducted a cross-domain anonymous survey with industry practitioners involved in component selection. First, the practitioners selected the most important attributes from a list. Next, they prioritized their selection using the Hundred-Dollar ($100) test. We analyzed the results using compositional data analysis. The results of this exploratory analysis showed that cost was clearly considered to be the most important attribute for component selection. Other important attributes for the practitioners were: support of the component, longevity prediction, and level of off-the-shelf fit to product. Moreover, several practitioners still consider in-house software development to be the sole option when adding or replacing a component. On the other hand, there is a trend to complement it with other component sourcing options and, apart from cost, different attributes factor into their decision. Furthermore, in our analysis, nonparametric tests and biplots were used to further investigate the practitioners' inherent characteristics. It seems that smaller and larger organizations have different views on what attributes are the most important, and the most surprising finding is their contrasting views on the cost attribute: larger organizations with mature products are considerably more cost aware.</t>
  </si>
  <si>
    <t xml:space="preserve">[Chatzipetrou, Panagiota] Orebro Univ, Sch Business, CERIS, Dept Informat, SE-70182 Orebro, Sweden; [Papatheocharous, Efi; Borg, Markus] RISE Res Inst Sweden AB, Stockholm, Sweden; [Wnuk, Krzysztof; Alegroth, Emil; Gorschek, Tony] Blekinge Inst Technol, Software Engn Res Lab SERL, Karlskrona, Sweden</t>
  </si>
  <si>
    <t xml:space="preserve">Orebro University; RISE Research Institutes of Sweden; Blekinge Institute Technology</t>
  </si>
  <si>
    <t xml:space="preserve">Chatzipetrou, P (corresponding author), Orebro Univ, Sch Business, CERIS, Dept Informat, SE-70182 Orebro, Sweden.</t>
  </si>
  <si>
    <t xml:space="preserve">panagiota.chatzipetrou@oru.se; efi.papatheocharous@ri.se; krzyszstof.wnuk@bth.se; markus.borg@ri.se; emil.alegroth@bth.se; tony.gorschek@bth.se</t>
  </si>
  <si>
    <t xml:space="preserve">Gorschek, Tony/E-3445-2013; Borg, Markus/F-3609-2010</t>
  </si>
  <si>
    <t xml:space="preserve">10.1007/s11219-019-09465-2</t>
  </si>
  <si>
    <t xml:space="preserve">LV4AI</t>
  </si>
  <si>
    <t xml:space="preserve">WOS:000538379800008</t>
  </si>
  <si>
    <t xml:space="preserve">Niklasson, J; Fagerstroem, C; Backaberg, S; Bergman, P; Lindberg, T</t>
  </si>
  <si>
    <t xml:space="preserve">Niklasson, Joakim; Fagerstroem, Cecilia; Backaberg, Sofia; Bergman, Patrick; Lindberg, Terese</t>
  </si>
  <si>
    <t xml:space="preserve">Exploring predictors of the five-time sit-to-stand test based on cross-sectional findings from the Swedish National Study on Aging and Care (SNAC)</t>
  </si>
  <si>
    <t xml:space="preserve">Aging; Balance; Physical activity; Physical function; Quality of life; Sedentary behavior; Sit-to-stand</t>
  </si>
  <si>
    <t xml:space="preserve">POPULATION</t>
  </si>
  <si>
    <t xml:space="preserve">Background As we age, staying physically active and reducing sedentary behavior becomes crucial. To understand how to achieve this, factors related to daily physical function such as five-time sit-to-stand (STS) time should be explored. This study aimed to investigate the associations between STS time, self-rated physical activity, physical function, health-related quality of life, physical and mental health in community-dwelling older adults aged &gt;= 60 years. Method Cross-sectional design with self-reported and objectively measured data from adults aged &gt;= 60 years (n = 819), acquired from the Swedish National Study on Aging and Care. Data was analyzed through multiple linear regression. Results The model (R-2 = 0.268) showed that STS time was predicted by grip strength (beta' = -0.204, p &lt; 0.05), age (beta' = 0.202, p &lt; 0.05), health-related quality of life (beta' = -0.192, p &lt; 0.05), having fallen within the preceding twelve months (beta' = -0.127, p &lt; 0.05), physical activities of perceived light to moderate intensity (beta' = -0.121, p &lt; 0.05), one-leg stand (beta' = -0.099, p &lt; 0.05), and education level (beta' = -0.092, p &lt; 0.05). For STS time, health-related quality of life (beta = -0.354, confidence interval [CI] (-0.509)-(-0.199)), having fallen within the preceding twelve months (beta = -0.222, CI (-0.365)-(-0.078)), and physical activities of perceived light to moderate intensity (beta = -0.166, CI (-0.278)-(-0.053)) were the most prominent predictors. Conclusion The model highlights the importance of grip strength and health-related quality of life in predicting STS time in older adults. Clinicians can use these insights to develop interventions that maintain physical function by regularly assessing and monitoring these factors. Future research should explore the relationship between fall history, faster STS time, and the impact of grip strength and health-related quality of life on sedentary behavior among older adults.</t>
  </si>
  <si>
    <t xml:space="preserve">[Niklasson, Joakim; Fagerstroem, Cecilia] Linnaeus Univ, Fac Hlth &amp; Life Sci, Kalmar, Sweden; [Fagerstroem, Cecilia] Reg Kalmar Cty, Dept Res, Kalmar, Sweden; [Backaberg, Sofia] Linnaeus Univ, Fac Hlth &amp; Life Sci, Vaxjo, Sweden; [Backaberg, Sofia] Univ Calgary, Fac Kinesiol, Calgary, AB, Canada; [Bergman, Patrick] Linnaeus Univ, ehlth Inst, Fac Hlth &amp; Life Sci, Dept Med &amp; Optometry, Kalmar, Sweden; [Niklasson, Joakim; Lindberg, Terese] Blekinge Inst Technol, Dept Hlth, Karlskrona, Sweden</t>
  </si>
  <si>
    <t xml:space="preserve">Linnaeus University; Linnaeus University; University of Calgary; Linnaeus University; Blekinge Institute Technology</t>
  </si>
  <si>
    <t xml:space="preserve">Niklasson, J (corresponding author), Linnaeus Univ, Fac Hlth &amp; Life Sci, Kalmar, Sweden.;Niklasson, J (corresponding author), Blekinge Inst Technol, Dept Hlth, Karlskrona, Sweden.</t>
  </si>
  <si>
    <t xml:space="preserve">We would like to thank all the participants in this study. We would also like to acknowledge the support for this study from Linnaeus University and direct our gratitude to SNAC database manager Ulrika Isaksson for great support during data collection.</t>
  </si>
  <si>
    <t xml:space="preserve">FEB 4</t>
  </si>
  <si>
    <t xml:space="preserve">10.1186/s12877-025-05737-8</t>
  </si>
  <si>
    <t xml:space="preserve">U8N5I</t>
  </si>
  <si>
    <t xml:space="preserve">WOS:001414294100001</t>
  </si>
  <si>
    <t xml:space="preserve">IEEE Computer Society</t>
  </si>
  <si>
    <t xml:space="preserve">2022 ACM/IEEE 44TH INTERNATIONAL CONFERENCE ON SOFTWARE ENGINEERING: SOFTWARE ENGINEERING IN SOCIETY (ICSE-SEIS 2022)</t>
  </si>
  <si>
    <t xml:space="preserve">44th IEEE/ACM International Conference on Software Engineering - Software Engineering in Society (ICSE-SEIS)</t>
  </si>
  <si>
    <t xml:space="preserve">GENDER STEREOTYPES; EXPERIENCES; STUDENTS; LEAVE; LAW</t>
  </si>
  <si>
    <t xml:space="preserve">Northern Arizona University; Ericsson; Blekinge Institute Technology; Universidade Tecnologica Federal do Parana; Pontificia Universidade Catolica do Parana; Universidade Federal do Parana</t>
  </si>
  <si>
    <t xml:space="preserve">Gerosa, Marco/A-6686-2009; Igor, Steinmacher/B-6414-2012; Trinkenreich, Bianca/ABE-4435-2020</t>
  </si>
  <si>
    <t xml:space="preserve">Gerosa, Marco/0000-0003-1399-7535</t>
  </si>
  <si>
    <t xml:space="preserve">978-1-6654-9594-3</t>
  </si>
  <si>
    <t xml:space="preserve">Computer Science, Interdisciplinary Applications; Computer Science, Software Engineering; Computer Science, Theory &amp; Methods; Social Issues</t>
  </si>
  <si>
    <t xml:space="preserve">Computer Science; Social Issues</t>
  </si>
  <si>
    <t xml:space="preserve">BT7NJ</t>
  </si>
  <si>
    <t xml:space="preserve">WOS:000850206000003</t>
  </si>
  <si>
    <t xml:space="preserve">Nedelciu, CE; Ragnarsdottir, KV; Schlyter, P; Stjernquist, I</t>
  </si>
  <si>
    <t xml:space="preserve">Nedelciu, C. E.; Ragnarsdottir, K., V; Schlyter, P.; Stjernquist, I</t>
  </si>
  <si>
    <t xml:space="preserve">Global phosphorus supply chain dynamics: Assessing regional impact to 2050</t>
  </si>
  <si>
    <t xml:space="preserve">GLOBAL FOOD SECURITY-AGRICULTURE POLICY ECONOMICS AND ENVIRONMENT</t>
  </si>
  <si>
    <t xml:space="preserve">Phosphorus; Fertilizers; System dynamics modelling; Population growth; Food security; Regional</t>
  </si>
  <si>
    <t xml:space="preserve">RESOURCES</t>
  </si>
  <si>
    <t xml:space="preserve">Phosphorus (P) availability is essential for global food security. A system dynamics model running from 1961 to 2050 was built for this study, linking global P supply to social, economic and environmental dynamics at regional level. Simulation results show that phosphate rock (PR) production needs to double by 2050 compared to present levels, in order to match regional P requirements. South Asia, Latin America and the Caribbean, and Sub-Saharan Africa are regions highly dependent on phosphate imports, yet it is here that most of the population growth and future P requirement will occur. Climate impact, eutrophication and phosphogypsum production are some of the main negative environmental dynamics that are becoming increasingly challenging in the coming decades.</t>
  </si>
  <si>
    <t xml:space="preserve">[Nedelciu, C. E.; Stjernquist, I] Stockholm Univ, Dept Phys Geog, Stockholm, Sweden; [Nedelciu, C. E.; Ragnarsdottir, K., V] Univ Iceland, Fac Earth Sci, Reykjavik, Iceland; [Schlyter, P.] Blekinge Inst Technol, Dept Spatial Planning, Karlskrona, Sweden</t>
  </si>
  <si>
    <t xml:space="preserve">Stockholm University; University of Iceland; Blekinge Institute Technology</t>
  </si>
  <si>
    <t xml:space="preserve">Nedelciu, CE (corresponding author), Room T323,Svante Arrhenius Vag 8, S-10691 Stockholm, Sweden.</t>
  </si>
  <si>
    <t xml:space="preserve">eduard.nedelciu@natgeo.su.se</t>
  </si>
  <si>
    <t xml:space="preserve">Ragnarsdottir, Kristin Vala/L-5369-2016</t>
  </si>
  <si>
    <t xml:space="preserve">Ragnarsdottir, Kristin Vala/0000-0001-6958-0734; Schlyter, Peter/0009-0009-1522-4692</t>
  </si>
  <si>
    <t xml:space="preserve">European Commission (H2020-MSCA ITN-2015) [675153]; Stockholm University; Swedish Society for Anthropology and Geography [SSAG scholarship 2020]</t>
  </si>
  <si>
    <t xml:space="preserve">European Commission (H2020-MSCA ITN-2015); Stockholm University; Swedish Society for Anthropology and Geography [SSAG scholarship 2020]</t>
  </si>
  <si>
    <t xml:space="preserve">The authors are thankful to Dr. Salim Belyazid at the Department of Physical Geography, Stockholm University, for his invaluable insights into the conceptualization of this model. This article is part of Adaptation to a new economic reality (AdaptEconll) Marie Curie Innovative Training Network, funded by the European Commission (H2020-MSCA ITN-2015, Grant No. 675153). The European Commission support for the production of this publication does not constitute an endorsement of the contents, which reflects the views only of the authors, and the Commission cannot be held responsible for any use that may be made of the information contained therein. This work was also supported by Stockholm University [Carl Mannerfelt Fond stipend 2020] and the Swedish Society for Anthropology and Geography [SSAG scholarship 2020].</t>
  </si>
  <si>
    <t xml:space="preserve">2211-9124</t>
  </si>
  <si>
    <t xml:space="preserve">GLOB FOOD SECUR-AGR</t>
  </si>
  <si>
    <t xml:space="preserve">Glob. Food Secur.-Agric.Policy</t>
  </si>
  <si>
    <t xml:space="preserve">10.1016/j.gfs.2020.100426</t>
  </si>
  <si>
    <t xml:space="preserve">Food Science &amp; Technology</t>
  </si>
  <si>
    <t xml:space="preserve">PL1KA</t>
  </si>
  <si>
    <t xml:space="preserve">WOS:000602888500021</t>
  </si>
  <si>
    <t xml:space="preserve">Yang, F; Ismail, NA; Pang, YY; Kebande, VR; Al-Dhaqm, A; Koh, TW</t>
  </si>
  <si>
    <t xml:space="preserve">Yang, Fan; Ismail, Nor Azman; Pang, Yee Yong; Kebande, Victor R.; Al-Dhaqm, Arafat; Koh, Tieng Wei</t>
  </si>
  <si>
    <t xml:space="preserve">A Systematic Literature Review of Deep Learning Approaches for Sketch-Based Image Retrieval: Datasets, Metrics, and Future Directions</t>
  </si>
  <si>
    <t xml:space="preserve">Deep learning; Image retrieval; Surveys; Feature extraction; Measurement; Systematics; Databases; Sketch-based image retrieval; SBIR; SLR; PRISMA; deep learning</t>
  </si>
  <si>
    <t xml:space="preserve">CONVOLUTIONAL NEURAL-NETWORKS; REPRESENTATIONS; FEATURES; COMPACT; FUSION</t>
  </si>
  <si>
    <t xml:space="preserve">Sketch-based image retrieval (SBIR) utilizes sketches to search for images containing similar objects or scenes. Due to the proliferation of touch-screen devices, sketching has become more accessible and therefore has received increasing attention. Deep learning has emerged as a potential tool for SBIR, allowing models to automatically extract image features and learn from large amounts of data. To the best of our knowledge, there is currently no systematic literature review (SLR) of SBIR with deep learning. Therefore, the aim of this review is to incorporate related works into a systematic study, highlighting the main contributions of individual researchers over the years, with a focus on past, present and future trends. To achieve the purpose of this study, 90 studies from 2016 to June 2023 in 4 databases were collected and analyzed using the Preferred Reporting Items for Systematic reviews and Meta-Analyses (PRISMA) framework. The specific models, datasets, evaluation metrics, and applications of deep learning in SBIR are discussed in detail. This study found that Convolutional Neural Networks (CNN) and Generative Adversarial Networks (GAN) are the most widely used deep learning methods for SBIR. A commonly used dataset is Sketchy, especially in the latest Zero-shot sketch-based image retrieval (ZS-SBIR) task. The results show that Mean Average Precision (mAP) is the most commonly used metric for quantitative evaluation of SBIR. Finally, we provide some future directions and guidance for researchers based on the results of this review.</t>
  </si>
  <si>
    <t xml:space="preserve">[Yang, Fan; Ismail, Nor Azman; Pang, Yee Yong] Univ Teknol Malaysia UTM, Fac Comp, Skudai 81310, Johor, Malaysia; [Kebande, Victor R.] Blekinge Inst Technol, Dept Comp Sci DIDA, Karlskrona 37179, Sweden; [Al-Dhaqm, Arafat; Koh, Tieng Wei] Univ Teknol PETRONAS, Comp &amp; Informat Sci Dept, Bandar Seri Iskandar 32610, Perak, Malaysia</t>
  </si>
  <si>
    <t xml:space="preserve">Universiti Teknologi Malaysia; Blekinge Institute Technology; Universiti Teknologi Petronas</t>
  </si>
  <si>
    <t xml:space="preserve">Yang, F (corresponding author), Univ Teknol Malaysia UTM, Fac Comp, Skudai 81310, Johor, Malaysia.;Kebande, VR (corresponding author), Blekinge Inst Technol, Dept Comp Sci DIDA, Karlskrona 37179, Sweden.</t>
  </si>
  <si>
    <t xml:space="preserve">fyang@graduate.utm.my; victor.kebande@bth.se</t>
  </si>
  <si>
    <t xml:space="preserve">Ismail, Nor/AAX-5015-2021; Pang, Yee Yong/GLV-5183-2022; Kebande, Victor/AAE-4855-2019; Koh, Tieng Wei/JNR-3231-2023; R. Kebande, Victor/F-3934-2019</t>
  </si>
  <si>
    <t xml:space="preserve">Yang, Fan/0009-0003-5446-2534; Ismail, Nor Azman/0000-0003-1785-008X; R. Kebande, Victor/0000-0003-4071-4596</t>
  </si>
  <si>
    <t xml:space="preserve">Blekinge Institute of Technology, Sweden, through the Grant Funded Research</t>
  </si>
  <si>
    <t xml:space="preserve">10.1109/ACCESS.2024.3357939</t>
  </si>
  <si>
    <t xml:space="preserve">HJ3M6</t>
  </si>
  <si>
    <t xml:space="preserve">WOS:001159093400001</t>
  </si>
  <si>
    <t xml:space="preserve">Lenberg, P; Feldt, R; Gren, L; Tengberg, LGW; Tidefors, I; Graziotin, D</t>
  </si>
  <si>
    <t xml:space="preserve">Lenberg, Per; Feldt, Robert; Gren, Lucas; Tengberg, Lars Goeran Wallgren; Tidefors, Inga; Graziotin, Daniel</t>
  </si>
  <si>
    <t xml:space="preserve">Qualitative software engineering research: Reflections and guidelines</t>
  </si>
  <si>
    <t xml:space="preserve">behavioral software engineering; COREQ; interpretive phenomenological analysis; narrative and discourse analysis; qualitative research; reflexivity</t>
  </si>
  <si>
    <t xml:space="preserve">GROUNDED THEORY; DISCOURSE ANALYSIS; RESEARCH METHODOLOGIES; CONCEPTUAL-FRAMEWORK; GOOGLE SCHOLAR; REFLEXIVITY; CHALLENGES; HEALTH; VALIDITY; SCIENCE</t>
  </si>
  <si>
    <t xml:space="preserve">Researchers are increasingly recognizing the importance of human aspects in software development. Because qualitative methods are used to explore human behavior in-depth, we believe that studies using such methods will become more common. Existing qualitative software engineering guidelines do not cover the full breadth of qualitative methods and the knowledge on how to use them like in social sciences. The purpose of this study was to extend the software engineering community's current body of knowledge regarding available qualitative methods and their quality assurance frameworks and to provide recommendations and guidelines for their use. With the support of an epistemological argument and a survey of the literature, we suggest that future research would benefit from (1) utilizing a broader set of research methods, (2) more strongly emphasizing reflexivity, and (3) employing qualitative guidelines and quality criteria. We present an overview of three qualitative methods commonly used in social sciences but rarely seen in software engineering research, namely interpretative phenomenological analysis, narrative analysis, and discourse analysis. Furthermore, we discuss the meaning of reflexivity in relation to the software engineering context and suggest means of fostering it. Our paper will help software engineering researchers better select and then guide the application of a broader set of qualitative research methods. The behavioral and social sciences have an established history and research tradition to study human behavior, cognition, motivation, and affect quantitatively. To a fair extent, this expertise extends to qualitative research. We argue that qualitative software engineering research would greatly benefit from a knowledge transfer from these disciplines. We introduce (a) qualitative methods that are novel to software engineering, (b) new practices that enrich qualitative research in software engineering, and (c) quality assurance frameworks. image</t>
  </si>
  <si>
    <t xml:space="preserve">[Lenberg, Per; Feldt, Robert; Gren, Lucas] Univ Gothenburg, Dept Comp Sci, Gothenburg, Sweden; [Feldt, Robert] Blekinge Inst Technol, Dept Software Engn, Gothenburg, Sweden; [Tengberg, Lars Goeran Wallgren; Tidefors, Inga] Univ Gothenburg, Dept Psychol, Gothenburg, Sweden; [Graziotin, Daniel] Univ Stuttgart, Inst Software Engn, Stuttgart, Germany</t>
  </si>
  <si>
    <t xml:space="preserve">University of Gothenburg; Blekinge Institute Technology; University of Gothenburg; University of Stuttgart</t>
  </si>
  <si>
    <t xml:space="preserve">Lenberg, P (corresponding author), Univ Gothenburg, Dept Comp Sci, Gothenburg, Sweden.</t>
  </si>
  <si>
    <t xml:space="preserve">perle@chalmers.se</t>
  </si>
  <si>
    <t xml:space="preserve">Graziotin, Daniel/0000-0002-9107-7681; Gren, Lucas/0000-0001-5488-9894</t>
  </si>
  <si>
    <t xml:space="preserve">Alexander von Humboldt-Stiftung; Swedish Armed Forces; Swedish Governmental Agency for Innovation Systems (VINNOVA) [2017-04874]; Alexander von Humboldt (AvH) Foundation; Vinnova [2017-04874] Funding Source: Vinnova</t>
  </si>
  <si>
    <t xml:space="preserve">Alexander von Humboldt-Stiftung(Alexander von Humboldt Foundation); Swedish Armed Forces; Swedish Governmental Agency for Innovation Systems (VINNOVA)(Vinnova); Alexander von Humboldt (AvH) Foundation(Alexander von Humboldt Foundation); Vinnova(Vinnova)</t>
  </si>
  <si>
    <t xml:space="preserve">Alexander von Humboldt-Stiftung; Swedish Armed Forces; Swedish Governmental Agency for Innovation Systems (VINNOVA), Grant/Award Number: 2017-04874; Alexander von Humboldt (AvH) Foundation</t>
  </si>
  <si>
    <t xml:space="preserve">2023 SEP 12</t>
  </si>
  <si>
    <t xml:space="preserve">10.1002/smr.2607</t>
  </si>
  <si>
    <t xml:space="preserve">R4TM8</t>
  </si>
  <si>
    <t xml:space="preserve">WOS:001064285800001</t>
  </si>
  <si>
    <t xml:space="preserve">Alves, DI; Muller, C; Palm, BG; Pettersson, M; Vu, VT; Machado, R; Uchôa, BF; Dammert, P; Hellsten, H</t>
  </si>
  <si>
    <t xml:space="preserve">Alves, Dimas, I; Muller, Cristian; Palm, Bruna G.; Pettersson, Mats, I; Vu, Viet T.; Machado, Renato; Uchoa-Filho, Bartolomeu F.; Dammert, Patrik; Hellsten, Hans</t>
  </si>
  <si>
    <t xml:space="preserve">Neyman-Pearson Criterion-Based Change Detection Methods for Wavelength-Resolution SAR Image Stacks</t>
  </si>
  <si>
    <t xml:space="preserve">Synthetic aperture radar; Radar polarimetry; Surveillance; Rician channels; Sensors; Probability; Clutter; Coherent all radio band sensing (CARABAS) II; change detection (CD) methods; image stack; very-high-frequency (VHF) ultrawideband (UWB) synthetic aperture radar (SAR)</t>
  </si>
  <si>
    <t xml:space="preserve">This letter presents two new change detection (CD) methods for synthetic aperture radar (SAR) image stacks based on the Neyman-Pearson criterion. The first proposed method uses the data from wavelength-resolution images stack to obtain background statistics, which are used in a hypothesis test to detect changes in a surveillance image. The second method considers a priori information about the targets to obtain the target statistics, which are used together with the previously obtained background statistics, to perform a hypothesis test to detect changes in a surveillance image. A straightforward processing scheme is presented to test the proposed CD methods. To assess the performance of both proposed methods, we considered the coherent all radio band sensing (CARABAS)-II SAR images. In particular, to obtain the temporal background statistics required by the derived methods, we used stacks with six images. The experimental results show that the proposed techniques provide a competitive performance in terms of probability of detection and false alarm rate compared with other CD methods.</t>
  </si>
  <si>
    <t xml:space="preserve">[Alves, Dimas, I; Muller, Cristian] Fed Univ PAMPA UNIPAMPA, Campus Alegrete, BR-97546550 Alegrete, Brazil; [Palm, Bruna G.; Machado, Renato] Aeronaut Inst Technol ITA, BR-12228900 Sao Jose Dos Campos, SP, Brazil; [Pettersson, Mats, I; Vu, Viet T.] Blekinge Inst Technol BTH, S-37179 Karlskrona, Sweden; [Uchoa-Filho, Bartolomeu F.] Fed Univ Santa Catarina UFSC, Dept Elect &amp; Elect Engn, BR-88040900 Florianopolis, SC, Brazil; [Dammert, Patrik; Hellsten, Hans] Saab AB, Saab Surveillance, S-41289 Gothenburg, Sweden</t>
  </si>
  <si>
    <t xml:space="preserve">Universidade Federal do Pampa; Blekinge Institute Technology; Saab Group</t>
  </si>
  <si>
    <t xml:space="preserve">Alves, DI (corresponding author), Fed Univ PAMPA UNIPAMPA, Campus Alegrete, BR-97546550 Alegrete, Brazil.</t>
  </si>
  <si>
    <t xml:space="preserve">dimasalves@unipampa.edu.br</t>
  </si>
  <si>
    <t xml:space="preserve">Machado, Renato/P-8515-2018; G. Palm, Bruna/AAZ-4107-2021; Irion Alves, Dimas/AAY-4651-2021; Vu, Viet/JDW-0738-2023; Pettersson, Mats/N-1063-2016; Uchoa-Filho, Bartolomeu/C-5437-2013</t>
  </si>
  <si>
    <t xml:space="preserve">G. Palm, Bruna/0000-0003-0423-9927; Dammert, Patrik/0000-0002-7339-849X; Irion Alves, Dimas/0000-0002-5443-6446; Pettersson, Mats/0000-0002-6643-312X; Machado, Renato/0000-0003-0856-5391; Uchoa-Filho, Bartolomeu/0000-0003-3727-3988</t>
  </si>
  <si>
    <t xml:space="preserve">Brazilian National Council for Scientific and Technological Development (CNPq); Brazilian Coordination for the Improvement of Higher Education Personnel (CAPES); Swedish-Brazilian Research and Innovation Center (CISB); Saab AB</t>
  </si>
  <si>
    <t xml:space="preserve">Brazilian National Council for Scientific and Technological Development (CNPq)(Conselho Nacional de Desenvolvimento Cientifico e Tecnologico (CNPQ)); Brazilian Coordination for the Improvement of Higher Education Personnel (CAPES)(Coordenacao de Aperfeicoamento de Pessoal de Nivel Superior (CAPES)); Swedish-Brazilian Research and Innovation Center (CISB); Saab AB</t>
  </si>
  <si>
    <t xml:space="preserve">This work was supported in part by the Brazilian National Council for Scientific and Technological Development (CNPq), in part by the Brazilian Coordination for the Improvement of Higher Education Personnel (CAPES), in part by the Swedish-Brazilian Research and Innovation Center (CISB), and in part by Saab AB.</t>
  </si>
  <si>
    <t xml:space="preserve">10.1109/LGRS.2021.3080616</t>
  </si>
  <si>
    <t xml:space="preserve">WOS:000733539300001</t>
  </si>
  <si>
    <t xml:space="preserve">Zixin, G; Zhao, L; Abbas, Z; Yuanyuan, G; Xiaole, H; Sen, L; Haibo, W; Islam, MS</t>
  </si>
  <si>
    <t xml:space="preserve">Zixin, Guo; Zhao, Lun; Abbas, Zeshan; Yuanyuan, Guo; Xiaole, Huo; Sen, Lin; Haibo, Wang; Islam, Md Shafiqul</t>
  </si>
  <si>
    <t xml:space="preserve">The effects of three profiles on the mechanical properties and grain size of self-piercing riveting joints using ultrasonic welding</t>
  </si>
  <si>
    <t xml:space="preserve">INTERNATIONAL JOURNAL OF ADVANCED MANUFACTURING TECHNOLOGY</t>
  </si>
  <si>
    <t xml:space="preserve">Ultrasonic self-piercing riveting; Mechanical behavior; Microscopic failure; Hardness; Structural analysis</t>
  </si>
  <si>
    <t xml:space="preserve">Ultrasonic welding has become a key joining approach in batteries and energy vehicles. This work reports the optimization in static property and stability of self-piercing riveting joints which is becoming the most versatile way to join microstructures. Tool heads of three different knurling profiles (e.g., A, B, and C) are used to perform ultrasonic composite with riveting. Based on tensile-shear tests, SEM, EDS, XRD, and Vickers microhardness analysis were conducted to investigate the comparative study of the fracture morphology, element distribution, phase structure, and hardness. The results indicated that all three types of knurling generate solid phase welding at the sheet joints. Thus, it improved the forming quality and mechanical properties of self-piercing riveting joints. The C-shaped welding tool head has advantageous effect on optimizing the mechanical properties of joints. Further, it enhanced the average peak load by 25.6%, the average failure displacement by 31.1%, and the average energy absorption by 88.8%. The microscopic results showed that a large amount of oxides are precipitated at the edge of welding joints when the B-shape knurling tool is used. The distribution of the hardness value of joints horizontal line is M shape. Besides, the coarse grains in the joint area and the interplanar space increase significantly after ultrasonic welding which softens the sheet.</t>
  </si>
  <si>
    <t xml:space="preserve">[Zixin, Guo; Zhao, Lun; Abbas, Zeshan; Xiaole, Huo; Sen, Lin; Haibo, Wang] Shenzhen Polytech Univ, Inst Ultrason Technol, Shenzhen 518055, Peoples R China; [Zixin, Guo; Yuanyuan, Guo] Univ Sci &amp; Technol Liaoning, Surface Engn Inst, Anshan 114051, Peoples R China; [Abbas, Zeshan] Dalian Univ Technol, Key Lab Micro Nano Technol &amp; Syst Liaoning Prov, Dalian 116024, Peoples R China; [Islam, Md Shafiqul] Blekinge Inst Technol, Dept Mech Engn, S-37179 Karlskrona, Sweden</t>
  </si>
  <si>
    <t xml:space="preserve">Shenzhen Polytechnic University; University of Science &amp; Technology Liaoning; Dalian University of Technology; Blekinge Institute Technology</t>
  </si>
  <si>
    <t xml:space="preserve">Abbas, Zeshan/MEO-8370-2025; Islam, Shafiqul/AAA-7809-2021</t>
  </si>
  <si>
    <t xml:space="preserve">Islam, Md Shafiqul/0000-0002-1162-7023; Lun, Zhao/0000-0001-8293-9094</t>
  </si>
  <si>
    <t xml:space="preserve">0268-3768</t>
  </si>
  <si>
    <t xml:space="preserve">1433-3015</t>
  </si>
  <si>
    <t xml:space="preserve">INT J ADV MANUF TECH</t>
  </si>
  <si>
    <t xml:space="preserve">Int. J. Adv. Manuf. Technol.</t>
  </si>
  <si>
    <t xml:space="preserve">11-12</t>
  </si>
  <si>
    <t xml:space="preserve">10.1007/s00170-023-12567-8</t>
  </si>
  <si>
    <t xml:space="preserve">Automation &amp; Control Systems; Engineering, Manufacturing</t>
  </si>
  <si>
    <t xml:space="preserve">AH4T2</t>
  </si>
  <si>
    <t xml:space="preserve">WOS:001099851300001</t>
  </si>
  <si>
    <t xml:space="preserve">Scurati, GW; Nylander, JW; Ferrise, F; Bertoni, M</t>
  </si>
  <si>
    <t xml:space="preserve">Scurati, Giulia Wally; Nylander, Johanna Wallin; Ferrise, Francesco; Bertoni, Marco</t>
  </si>
  <si>
    <t xml:space="preserve">Sustainability awareness in engineering design through serious gaming</t>
  </si>
  <si>
    <t xml:space="preserve">gamification; serious gaming; decision-making; sustainability; design space exploration; aerospace</t>
  </si>
  <si>
    <t xml:space="preserve">GAME; GAMIFICATION; CONSUMPTION; MANAGEMENT; INNOVATION; EDUCATION; LESSONS; SUPPORT</t>
  </si>
  <si>
    <t xml:space="preserve">Sustainability considerations are traditionally difficult to trade-off with technical and business requirements in an early design phase. Hence, design teams need support to reflect early on in the process, on how sustainability may affect profitability and customer value fulfilment in the long term. The commoditisation of modelling and simulation techniques points to gamification and serious gaming as emerging approaches to raise awareness among the design team - as well as users and stakeholders - of the expected behaviour of a solution along its life cycle. The objective of this paper is to explore how serious games can be used to inform decision-makers about the value versus cost implications of being (or not being) 'sustainability compliant' when designing products and systems. The paper initially presents the findings from a descriptive study focused on the definition of 'design support' intended to raise sustainability awareness through serious gaming. It further describes the development, application and testing of one of such games for material selection in the aerospace industry.</t>
  </si>
  <si>
    <t xml:space="preserve">[Scurati, Giulia Wally; Bertoni, Marco] Blekinge Inst Technol, Dept Mech Engn, Karlskrona, Sweden; [Nylander, Johanna Wallin] GKN Aerosp, Trollhattan, Sweden; [Ferrise, Francesco] Politecn Milan, Dept Mech Engn, Milan, Italy</t>
  </si>
  <si>
    <t xml:space="preserve">Blekinge Institute Technology; GKN; GKN Aerospace; Polytechnic University of Milan</t>
  </si>
  <si>
    <t xml:space="preserve">Scurati, GW (corresponding author), Blekinge Inst Technol, Dept Mech Engn, Karlskrona, Sweden.</t>
  </si>
  <si>
    <t xml:space="preserve">gws@bth.se</t>
  </si>
  <si>
    <t xml:space="preserve">Ferrise, Francesco/0000-0001-8951-8807; Scurati, Giulia Wally/0000-0002-0389-4279; Bertoni, Marco/0000-0002-5076-3300</t>
  </si>
  <si>
    <t xml:space="preserve">Swedish Knowledge and Competence Development Foundation (Stiftelsen for kunskapsoch kompetensutveckling) through the Model-Driven Development and Decision Support research profile at the Blekinge Institute of Technology</t>
  </si>
  <si>
    <t xml:space="preserve">The research leading to these results has received financial support by the Swedish Knowledge and Competence Development Foundation (Stiftelsen for kunskapsoch kompetensutveckling) through the Model-Driven Development and Decision Support research profile at the Blekinge Institute of Technology.</t>
  </si>
  <si>
    <t xml:space="preserve">MAR 18</t>
  </si>
  <si>
    <t xml:space="preserve">e12</t>
  </si>
  <si>
    <t xml:space="preserve">10.1017/dsj.2022.9</t>
  </si>
  <si>
    <t xml:space="preserve">ZV2GS</t>
  </si>
  <si>
    <t xml:space="preserve">WOS:000770354700001</t>
  </si>
  <si>
    <t xml:space="preserve">Högström, E; Berglund-Snodgrass, L; Fjellfeldt, M</t>
  </si>
  <si>
    <t xml:space="preserve">Hogstrom, Ebba; Berglund-Snodgrass, Lina; Fjellfeldt, Maria</t>
  </si>
  <si>
    <t xml:space="preserve">The Challenges of Social Infrastructure for Urban Planning</t>
  </si>
  <si>
    <t xml:space="preserve">community; localisation; social infrastructure; urban planning; vulnerable groups; welfare</t>
  </si>
  <si>
    <t xml:space="preserve">This editorial addresses social infrastructure in relation to urban planning and localisation, drawing together the themes in this thematic issue on Localizing Social Infrastructures: Welfare, Equity, and Community. Having contextualised social infrastructure, we present each of the 12 contributions by theme: (a) the social consequences of the localisation of social infrastructure for individuals, (b) the preconditions for localising social infrastructure in the urban landscape, and (c) the social consequences for the long-term social sustainability of the wider community. We conclude with the openings for future research, such as the need to continue researching localisation (for example, the ways localisations of social infras-tructure support, maintain, or hinder inclusion and community-building, and which benefits would come out of using localisation as a strategic planning tool); second, funding (the funding of non-commercial social infrastructure and who would take on the responsibility); and third, situated knowledge (the knowledge needed by planners, architects, social service officials, decision makers, and the like to address and safeguard the importance of social infrastructure in urban development and regeneration processes).</t>
  </si>
  <si>
    <t xml:space="preserve">[Hogstrom, Ebba] Blekinge Inst Technol, Dept Spatial Planning, Karlskrona, Sweden; [Berglund-Snodgrass, Lina] Swedish Univ Agr Sci, Dept Landscape Architecture Planning &amp; Management, Uppsala, Sweden; [Fjellfeldt, Maria] Dalarna Univ, Dept Hlth &amp; Welf, Falun, Sweden</t>
  </si>
  <si>
    <t xml:space="preserve">Blekinge Institute Technology; Swedish University of Agricultural Sciences; Dalarna University</t>
  </si>
  <si>
    <t xml:space="preserve">Högström, E (corresponding author), Blekinge Inst Technol, Dept Spatial Planning, Karlskrona, Sweden.</t>
  </si>
  <si>
    <t xml:space="preserve">ebba.hogstrom@bth.se</t>
  </si>
  <si>
    <t xml:space="preserve">Formas-Swedish Research Council for Sustainable Development; Forte-Swedish Research Council for Health, Working Life and Welfare; [2018-00058]; [2018-00192]; [2018-01325]</t>
  </si>
  <si>
    <t xml:space="preserve">Formas-Swedish Research Council for Sustainable Development; Forte-Swedish Research Council for Health, Working Life and Welfare; ; ;</t>
  </si>
  <si>
    <t xml:space="preserve">Acknowledgments This thematic issue was supported by Formas-Swedish Research Council for Sustainable Development (Grant No. 2018-00058 and 2018-00192) and Forte-Swedish Research Council for Health, Working Life and Welfare (Grant No. 2018-01325) . Ebba, Lina, and Maria would like to thank the anonymous reviewers of the articles, whose work was important in improving everyone?s work. We wish to thank the contributors for providing such a range of articles and comingtogether to develop the vari-ety of approaches this topic affords. We are also grateful to everyone who took part in the sessions on social infras-tructure we organised at RGS-IBG 2021 and NGM 2022 for their valuable comments and reflections on the topic of this thematic issue.</t>
  </si>
  <si>
    <t xml:space="preserve">10.17645/up.v7i4.6526</t>
  </si>
  <si>
    <t xml:space="preserve">7K4YV</t>
  </si>
  <si>
    <t xml:space="preserve">WOS:000905291000001</t>
  </si>
  <si>
    <t xml:space="preserve">Lugnet, J; Ericson, Å; Larsson, A</t>
  </si>
  <si>
    <t xml:space="preserve">Lugnet, Johan; Ericson, Asa; Larsson, Andreas</t>
  </si>
  <si>
    <t xml:space="preserve">Realization of Agile Methods in Established Processes: Challenges and Barriers</t>
  </si>
  <si>
    <t xml:space="preserve">engineering design; teamwork; user-centered design; design practice; agile innovation</t>
  </si>
  <si>
    <t xml:space="preserve">PROJECT-MANAGEMENT; DESIGN; IMPLEMENTATION; FUTURE</t>
  </si>
  <si>
    <t xml:space="preserve">This paper presents an explorative study and the results of 17 interviews with informants from different companies. Its purpose is to identify the challenges associated with implementing agile methods along with the established procedures for early design. The study exemplifies project leaders' experiences and implementation efforts. As leaders of design projects, they have proposed the use of a new method that involves teams engaging in testing and evaluation, which aids in the understanding and introduction of change initiatives. The challenges that are identified are as follows: (1) a lack of approval not only from top managers but also from critical peers; (2) an unprepared organization that did not allow teamwork; and (3) a lack of specific company success factors to support new methods.</t>
  </si>
  <si>
    <t xml:space="preserve">[Lugnet, Johan; Ericson, Asa] Lulea Univ Technol, Digital Serv &amp; Syst, SE-97187 Lulea, Sweden; [Ericson, Asa] UiT Arctic Univ Norway, Dept Ind Engn, NO-8514 Narvik, Norway; [Larsson, Andreas] Blekinge Inst Technol, Dept Mech Engn, SE-37179 Karlskrona, Sweden</t>
  </si>
  <si>
    <t xml:space="preserve">Lulea University of Technology; UiT The Arctic University of Tromso; Blekinge Institute Technology</t>
  </si>
  <si>
    <t xml:space="preserve">johan.lugnet@ltu.se; asa.ericson@ltu.se; andreas.larsson@bth.se</t>
  </si>
  <si>
    <t xml:space="preserve">Lugnet, Johan/AAO-2593-2020</t>
  </si>
  <si>
    <t xml:space="preserve">Lugnet, Johan/0000-0002-0280-3160; Ericson, Asa/0000-0002-5706-4588</t>
  </si>
  <si>
    <t xml:space="preserve">10.3390/app11052043</t>
  </si>
  <si>
    <t xml:space="preserve">QV4NM</t>
  </si>
  <si>
    <t xml:space="preserve">WOS:000627950500001</t>
  </si>
  <si>
    <t xml:space="preserve">Desai, S; Eklund, JE; Lappi, E</t>
  </si>
  <si>
    <t xml:space="preserve">Desai, Sameeksha; Eklund, Johan E.; Lappi, Emma</t>
  </si>
  <si>
    <t xml:space="preserve">Entry Regulation and Persistence of Profits in Incumbent Firms</t>
  </si>
  <si>
    <t xml:space="preserve">REVIEW OF INDUSTRIAL ORGANIZATION</t>
  </si>
  <si>
    <t xml:space="preserve">Entry; Entrepreneurship; Entry regulation; Profit; Incumbent firm; Creative destruction</t>
  </si>
  <si>
    <t xml:space="preserve">PANEL-DATA; BARRIERS; BEHAVIOR; ENTREPRENEURSHIP; PROFITABILITY; SPECIFICATION; PRODUCTIVITY; TRANSITION; INNOVATION; IMPACT</t>
  </si>
  <si>
    <t xml:space="preserve">In line with the theory of creative destruction, industries where incumbent firms generate high profits will attract entry, which should drive down profits. This disciplinary effect of entry implies that profits above the norm should not exist in the long run. Factors that affect entry-such as entry regulations-could affect this profits convergence process. Using an unbalanced panel of firm- and country-level data for approximately 13,000 firms in 33 countries between 2005 and 2013, we examine the profit dynamics of incumbent firms in the context of entry and entry regulations.</t>
  </si>
  <si>
    <t xml:space="preserve">[Desai, Sameeksha] Indiana Univ, 1315 E 10th St, Bloomington, IN 47405 USA; [Eklund, Johan E.; Lappi, Emma] Swedish Entrepreneurship Forum, Grevgatan 34,3rd Floor, S-11453 Stockholm, Sweden; [Eklund, Johan E.; Lappi, Emma] Jonkoping Int Business Sch, POB 1026, S-55111 Jonkoping, Sweden; [Eklund, Johan E.] Blekinge Inst Technol, S-37179 Karlskrona, Sweden</t>
  </si>
  <si>
    <t xml:space="preserve">Indiana University System; Indiana University Bloomington; Jonkoping University; Blekinge Institute Technology</t>
  </si>
  <si>
    <t xml:space="preserve">Lappi, E (corresponding author), Swedish Entrepreneurship Forum, Grevgatan 34,3rd Floor, S-11453 Stockholm, Sweden.;Lappi, E (corresponding author), Jonkoping Int Business Sch, POB 1026, S-55111 Jonkoping, Sweden.</t>
  </si>
  <si>
    <t xml:space="preserve">desai@indiana.edu; johan.eklund@entreprenorskapsforum.se; emma.lappi@ju.se</t>
  </si>
  <si>
    <t xml:space="preserve">Eklund, Johan/HPC-9141-2023; Lappi, Emma/AFS-7709-2022</t>
  </si>
  <si>
    <t xml:space="preserve">Lappi, Emma/0000-0002-3950-931X</t>
  </si>
  <si>
    <t xml:space="preserve">0889-938X</t>
  </si>
  <si>
    <t xml:space="preserve">1573-7160</t>
  </si>
  <si>
    <t xml:space="preserve">REV IND ORGAN</t>
  </si>
  <si>
    <t xml:space="preserve">Rev. Ind. Organ.</t>
  </si>
  <si>
    <t xml:space="preserve">10.1007/s11151-020-09787-7</t>
  </si>
  <si>
    <t xml:space="preserve">Economics; Management</t>
  </si>
  <si>
    <t xml:space="preserve">OB4FE</t>
  </si>
  <si>
    <t xml:space="preserve">WOS:000572836500001</t>
  </si>
  <si>
    <t xml:space="preserve">Jiang, YN; Wang, W; Ding, JG; Lu, X; Jing, YG</t>
  </si>
  <si>
    <t xml:space="preserve">Jiang, Yuning; Wang, Wei; Ding, Jianguo; Lu, Xin; Jing, Yanguo</t>
  </si>
  <si>
    <t xml:space="preserve">Leveraging Digital Twin Technology for Enhanced Cybersecurity in Cyber-Physical Production Systems</t>
  </si>
  <si>
    <t xml:space="preserve">cybersecurity; asset visibility; dependence analysis; mitigation prioritization; cyber-physical system (CPS); digital twin (DT); manufacturing system</t>
  </si>
  <si>
    <t xml:space="preserve">SECURITY; ATTACK; VULNERABILITIES; FUTURE</t>
  </si>
  <si>
    <t xml:space="preserve">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</si>
  <si>
    <t xml:space="preserve">[Jiang, Yuning] Natl Univ Singapore, Sch Comp, Singapore 639798, Singapore; [Wang, Wei] Univ Skovde, Dept Prod &amp; Automat Engn, S-54128 Skovde, Sweden; [Ding, Jianguo] Blekinge Inst Technol, Dept Comp Sci, S-37179 Karlskrona, Sweden; [Lu, Xin; Jing, Yanguo] Leeds Trinity Univ, Fac Business Comp &amp; Digital Ind, Leeds LS18 5HD, England</t>
  </si>
  <si>
    <t xml:space="preserve">National University of Singapore; University of Skovde; Blekinge Institute Technology; Leeds Trinity University</t>
  </si>
  <si>
    <t xml:space="preserve">Jiang, YN (corresponding author), Natl Univ Singapore, Sch Comp, Singapore 639798, Singapore.</t>
  </si>
  <si>
    <t xml:space="preserve">yuning_j@nus.edu.sg; wei.wang@his.se; jianguo.ding@bth.se; x.lu@leedstrinity.ac.uk; y.jing@leedstrinity.ac.uk</t>
  </si>
  <si>
    <t xml:space="preserve">Ding, Jianguo/B-5748-2008; Jiang, Yuning/C-2983-2018; Jing, Yanguo/AGV-2533-2022</t>
  </si>
  <si>
    <t xml:space="preserve">Wang, Wei/0000-0003-1781-2753; Ding, Jianguo/0000-0002-8927-0968; Jiang, Yuning/0000-0003-4791-8452; Jing, Yanguo/0000-0001-9581-4215; Lu, Xin/0000-0001-9885-6031</t>
  </si>
  <si>
    <t xml:space="preserve">Knowledge Foundation (KKS), Sweden, through the VF-KDO project; EU</t>
  </si>
  <si>
    <t xml:space="preserve">Knowledge Foundation (KKS), Sweden, through the VF-KDO project; EU(European Union (EU))</t>
  </si>
  <si>
    <t xml:space="preserve">The work is supported by the Knowledge Foundation (KKS), Sweden, through the VF-KDO project and the EU H2020 SYMBIO-TIC project. The authors used Grammarly to check the grammar and for English language enhancement. After using this tool, the authors reviewed and edited the content as needed. The authors take full responsibility for the content of this publication.</t>
  </si>
  <si>
    <t xml:space="preserve">10.3390/fi16040134</t>
  </si>
  <si>
    <t xml:space="preserve">OW2D8</t>
  </si>
  <si>
    <t xml:space="preserve">WOS:001210241000001</t>
  </si>
  <si>
    <t xml:space="preserve">Lakas, BO; Berdjouh, C; Bouanane, K; Kherfi, ML; Aiadi, O; Laouamer, L; Cheddad, A</t>
  </si>
  <si>
    <t xml:space="preserve">Yang, XS; Sherratt, S; Dey, N; Joshi, A</t>
  </si>
  <si>
    <t xml:space="preserve">Lakas, Badia Ouissam; Berdjouh, Chemousse; Bouanane, Khadra; Kherfi, Mohammed Lamine; Aiadi, Oussama; Laouamer, Lamri; Cheddad, Abbas</t>
  </si>
  <si>
    <t xml:space="preserve">Enhancing Diabetic Retinopathy Grading with Advanced Diffusion Models</t>
  </si>
  <si>
    <t xml:space="preserve">PROCEEDINGS OF NINTH INTERNATIONAL CONGRESS ON INFORMATION AND COMMUNICATION TECHNOLOGY, ICICT 2024, VOL 3</t>
  </si>
  <si>
    <t xml:space="preserve">9th International Congress on Information and Communication Technology (ICICT)</t>
  </si>
  <si>
    <t xml:space="preserve">FEB 19-22, 2024</t>
  </si>
  <si>
    <t xml:space="preserve">Global Knowledge Res Foundat</t>
  </si>
  <si>
    <t xml:space="preserve">Diffusion models; Data augmentation; Diabetic retinopathy; Deep learning classifier; IDRiD dataset; Medical images</t>
  </si>
  <si>
    <t xml:space="preserve">Recently, there has been a substantial surge in interest surrounding diffusion models, which are considered a prominent class of generative models. This surge is primarily attributed to their potential applications in a variety of deep learning problems. The primary objective of this study is to assess the effectiveness of diffusion models as a data augmentation technique in the context of medical image analysis. Furthermore, it aims to conduct a comparative analysis of the performance exhibited by deep learning classifiers trained on two distinct datasets. One dataset is augmented using the diffusion model, while the other dataset undergoes traditional data augmentation techniques. Utilizing the IDRiD dataset for the purpose of diabetic retinopathy diagnosis, the results demonstrate the efficiency of the diffusion model as a data augmentation technique for medical images compared to traditional data augmentation techniques. The integration of diffusion model augmented data yields superior performance for both classifiers. Namely, the fine-tuned ResNet-50 reached an accuracy of 53.40%, and the proposed CNN-based approach reached an accuracy of 44.66%, surpassing the performance of classifiers trained using traditional data augmentation techniques.</t>
  </si>
  <si>
    <t xml:space="preserve">[Lakas, Badia Ouissam; Berdjouh, Chemousse; Bouanane, Khadra; Kherfi, Mohammed Lamine; Aiadi, Oussama] Kasdi Merbah Univ, Ouargla, Algeria; [Kherfi, Mohammed Lamine] Univ Quebec Trois Rivieres, Trois Rivieres, PQ, Canada; [Laouamer, Lamri] Qassim Univ, Buraydah, Saudi Arabia; [Cheddad, Abbas] Blekinge Inst Technol, Karlskrona, Sweden</t>
  </si>
  <si>
    <t xml:space="preserve">Universite Kasdi Merbah Ouargla; University of Quebec; University of Quebec Trois Rivieres; Qassim University; Blekinge Institute Technology</t>
  </si>
  <si>
    <t xml:space="preserve">Kherfi, Mohammed/AAF-2930-2020; Cheddad, Abbas/R-7061-2018; aiadi, oussama/AAW-7992-2021</t>
  </si>
  <si>
    <t xml:space="preserve">[C00L07UN300120220002]</t>
  </si>
  <si>
    <t xml:space="preserve">This work was conducted in the context of the project Techniques avancees de vision par ordinateur pour les soins de sante et l'analyse d'images medicales code number C00L07UN300120220002, in which Khadra Bouanane and Oussama Aiadi were project members.</t>
  </si>
  <si>
    <t xml:space="preserve">SPRINGER-VERLAG SINGAPORE PTE LTD</t>
  </si>
  <si>
    <t xml:space="preserve">152 BEACH ROAD, #21-01/04 GATEWAY EAST, SINGAPORE, 189721, SINGAPORE</t>
  </si>
  <si>
    <t xml:space="preserve">978-981-97-3558-7; 978-981-97-3559-4</t>
  </si>
  <si>
    <t xml:space="preserve">10.1007/978-981-97-3559-4_17</t>
  </si>
  <si>
    <t xml:space="preserve">Computer Science, Artificial Intelligence; Computer Science, Interdisciplinary Applications; Computer Science, Theory &amp; Methods; Telecommunications</t>
  </si>
  <si>
    <t xml:space="preserve">BX7UL</t>
  </si>
  <si>
    <t xml:space="preserve">WOS:001326996900017</t>
  </si>
  <si>
    <t xml:space="preserve">Alkhabbas, F; Alawadi, S; Ayyad, M; Spalazzese, R; Davidsson, P</t>
  </si>
  <si>
    <t xml:space="preserve">Alkhabbas, Fahed; Alawadi, Sadi; Ayyad, Majed; Spalazzese, Romina; Davidsson, Paul</t>
  </si>
  <si>
    <t xml:space="preserve">ART4FL: An Agent-based Architectural Approach for Trustworthy Federated Learning in the IoT</t>
  </si>
  <si>
    <t xml:space="preserve">Trustworthy Federated Learning; Internet of Things; Machine Learning; Agents</t>
  </si>
  <si>
    <t xml:space="preserve">The integration of the Internet of Things (IoT) and Machine Learning (ML) technologies has opened up for the development of novel types of systems and services. Federated Learning (FL) has enabled the systems to collaboratively train their ML models while preserving the privacy of the data collected by their IoT devices and objects. Several FL frameworks have been developed, however, they do not enable FL in open, distributed, and heterogeneous IoT environments. Specifically, they do not support systems that collect similar data to dynamically discover each other, communicate, and negotiate about the training terms (e.g., accuracy, communication latency, and cost). Towards bridging this gap, we propose ART4FL, an end-to-end framework that enables FL in open IoT settings. The framework enables systems' users to configure agents that participate in FL on their behalf. Those agents negotiate and make commitments (i.e., contractual agreements) to dynamically form federations. To perform FL, the framework deploys the needed services dynamically, monitors the training rounds, and calculates agents' trust scores based on the established commitments. ART4FL exploits a blockchain network to maintain the trust scores, and it provides those scores to negotiating agents' during the federations' formation phase.</t>
  </si>
  <si>
    <t xml:space="preserve">[Alkhabbas, Fahed; Spalazzese, Romina; Davidsson, Paul] Malmo Univ, Internet Things &amp; People Res Ctr, Malmo, Sweden; [Alkhabbas, Fahed; Spalazzese, Romina; Davidsson, Paul] Malmo Univ, Dept Comp Sci &amp; Media Technol, Malmo, Sweden; [Alawadi, Sadi] Halmstad Univ, Sch Informat Technol, Halmstad, Sweden; [Alawadi, Sadi] Blekinge Inst Technol, Dept Comp Sci, Karlskrona, Sweden; [Ayyad, Majed] Birzeit Univ, Dept Comp Sci, Birzeit, Israel</t>
  </si>
  <si>
    <t xml:space="preserve">Malmo University; Malmo University; Halmstad University; Blekinge Institute Technology; Birzeit University</t>
  </si>
  <si>
    <t xml:space="preserve">Alkhabbas, F (corresponding author), Malmo Univ, Internet Things &amp; People Res Ctr, Malmo, Sweden.;Alkhabbas, F (corresponding author), Malmo Univ, Dept Comp Sci &amp; Media Technol, Malmo, Sweden.</t>
  </si>
  <si>
    <t xml:space="preserve">fahed.alkhabbas@mau.se; sadi.alawadi@hh.se; mayyad@birzeit.edu; romina.spalazzese@mau.se; paul.davidsson@mau.se</t>
  </si>
  <si>
    <t xml:space="preserve">alawadi, sadi/Q-8576-2016; Spalazzese, Romina/J-5388-2014; Davidsson, Paul/B-2969-2012</t>
  </si>
  <si>
    <t xml:space="preserve">Spalazzese, Romina/0000-0003-0326-0556</t>
  </si>
  <si>
    <t xml:space="preserve">Knowledge Foundation (KK-Stiftelsen) via the project Intelligent and Trustworthy IoT Systems [20220087]</t>
  </si>
  <si>
    <t xml:space="preserve">Knowledge Foundation (KK-Stiftelsen) via the project Intelligent and Trustworthy IoT Systems</t>
  </si>
  <si>
    <t xml:space="preserve">This work was partially funded by the Knowledge Foundation (KK-Stiftelsen) via the project Intelligent and Trustworthy IoT Systems (Grant 20220087).</t>
  </si>
  <si>
    <t xml:space="preserve">10.1109/FMEC59375.2023.10306036</t>
  </si>
  <si>
    <t xml:space="preserve">WOS:001103180200036</t>
  </si>
  <si>
    <t xml:space="preserve">Alves, DI; Palm, BG; Hellsten, H; Vu, VT; Pettersson, MI; Machado, R; Uchôa, BF; Dammert, P</t>
  </si>
  <si>
    <t xml:space="preserve">Alves, Dimas Irion; Palm, Bruna Gregory; Hellsten, Hans; Vu, Viet Thuy; Pettersson, Mats I.; Machado, Renato; Uchoa-Filho, Bartolomeu F.; Dammert, Patrik</t>
  </si>
  <si>
    <t xml:space="preserve">Wavelength-Resolution SAR Change Detection Using Bayes' Theorem</t>
  </si>
  <si>
    <t xml:space="preserve">Bayes' theorem; CARABAS; change detection; synthetic aperture radar (SAR); wavelength resolution</t>
  </si>
  <si>
    <t xml:space="preserve">This article presents Bayes' theorem for wavelength-resolution synthetic aperture radar (SAR) change detection method development. Different change detection methods can be derived using Bayes' theorem in combination with the target model, clutter-plus-noise model, iterative implementation, and noniterative implementation. As an example of the Bayes' theorem use for wavelength-resolution SAR change detection method development, we propose a simple change detection method with a clutter-plus-noise model and noniterative implementation. In spite of simplicity, the proposed method provides a very competitive performance in terms of probability of detection and false alarm rate. The best result was a probability of detection of $\text{98.7}\%$ versus a false alarm rate of one per square kilometer.</t>
  </si>
  <si>
    <t xml:space="preserve">[Alves, Dimas Irion] Fed Univ Pampa, Alegrete 97546550, Brazil; [Alves, Dimas Irion; Uchoa-Filho, Bartolomeu F.] Univ Fed Santa Catarina, Florianopolis 88040900, SC, Brazil; [Palm, Bruna Gregory; Machado, Renato] Aeronaut Inst Technol, Sao Jose Dos Campos 12228900, SP, Brazil; [Hellsten, Hans; Dammert, Patrik] Saab AB, Saab Surveillance, Gothenburg 41289, Sweden; [Vu, Viet Thuy; Pettersson, Mats I.] Blekinge Inst Technol, Karlskrona 37179, Sweden</t>
  </si>
  <si>
    <t xml:space="preserve">Universidade Federal do Pampa; Universidade Federal de Santa Catarina (UFSC); Saab Group; Blekinge Institute Technology</t>
  </si>
  <si>
    <t xml:space="preserve">Alves, DI (corresponding author), Fed Univ Pampa, Alegrete 97546550, Brazil.</t>
  </si>
  <si>
    <t xml:space="preserve">dimasalves@unipampa.edu.br; brunagpalm@gmail.com; hans.hellsten@saabgroup.com; viet.thuy.vu@bth.se; mats.pettersson@bth.se; renatomachado@ieee.org; bart.uchoa@gmail.com; patrik.dammert@saabgroup.com</t>
  </si>
  <si>
    <t xml:space="preserve">G. Palm, Bruna/0000-0003-0423-9927; Pettersson, Mats/0000-0002-6643-312X; Machado, Renato/0000-0003-0856-5391; Irion Alves, Dimas/0000-0002-5443-6446; Uchoa-Filho, Bartolomeu/0000-0003-3727-3988</t>
  </si>
  <si>
    <t xml:space="preserve">Brazilian National Council for Scientific and Technological Development (CNPq); Swedish-Brazilian Research and Innovation Centre (CISB); Coordination for the Improvement of Higher Education Personnel (CAPES); Saab AB</t>
  </si>
  <si>
    <t xml:space="preserve">Brazilian National Council for Scientific and Technological Development (CNPq)(Conselho Nacional de Desenvolvimento Cientifico e Tecnologico (CNPQ)); Swedish-Brazilian Research and Innovation Centre (CISB); Coordination for the Improvement of Higher Education Personnel (CAPES)(Coordenacao de Aperfeicoamento de Pessoal de Nivel Superior (CAPES)); Saab AB</t>
  </si>
  <si>
    <t xml:space="preserve">This work was supported in part by the Brazilian National Council for Scientific and Technological Development (CNPq), in part by the Swedish-Brazilian Research and Innovation Centre (CISB), in part by Coordination for the Improvement of Higher Education Personnel (CAPES), and in part by Saab AB.</t>
  </si>
  <si>
    <t xml:space="preserve">10.1109/JSTARS.2020.3025089</t>
  </si>
  <si>
    <t xml:space="preserve">NW0ZX</t>
  </si>
  <si>
    <t xml:space="preserve">WOS:000574738600004</t>
  </si>
  <si>
    <t xml:space="preserve">Angermeir, F; Voggenreiter, M; Moyón, F; Mendez, D</t>
  </si>
  <si>
    <t xml:space="preserve">Angermeir, Florian; Voggenreiter, Markus; Moyon, Fabiola; Mendez, Daniel</t>
  </si>
  <si>
    <t xml:space="preserve">Enterprise-Driven Open Source Software: A Case Study on Security Automation</t>
  </si>
  <si>
    <t xml:space="preserve">Security; Secure Software Engineering; Continuous Integration; Open Source Software; DevOps; Industrial Companies; DevSecOps</t>
  </si>
  <si>
    <t xml:space="preserve">Agile and DevOps are widely adopted by the industry. Hence, integrating security activities with industrial practices. such as continuous integration (CI) pipelines, is necessary to detect security flaws and adhere to regulators' demands early. In this paper, we analyze automated security activities in CI pipelines of enterprise-driven open source software (OSS). This shall allow us, in the long-run, to better understand the extent to which security activities are (or should be) part of automated pipelines. In particular, we mine publicly available OSS repositories and survey a sample of project maintainers to better understand the role that security activities and their related tools play in their CI pipelines. To increase transparency and allow other researchers to replicate our study (and to take different perspectives), we further disclose our research artefacts. Our results indicate that security activities in enterprise-driven OSS projects are scarce and protection coverage is rather low. Only 6.83% of the analyzed 8,243 projects apply security automation in their CI pipelines, even though maintainers consider security to be rather important. This alerts industry to keep the focus on vulnerabilities of 3rd Party software and it opens space for other improvements or practice which we outline in this manuscript.</t>
  </si>
  <si>
    <t xml:space="preserve">[Angermeir, Florian; Moyon, Fabiola] Tech Univ Munich, Munich, Germany; [Voggenreiter, Markus; Moyon, Fabiola] Siemens Technol, Mumbai, Maharashtra, India; [Voggenreiter, Markus] Ludwig Maximilians Univ Munchen, Munich, Germany; [Mendez, Daniel] Blekinge Inst Technol, Karlskrona, Sweden; [Mendez, Daniel] Fortiss GmbH, Munich, Germany</t>
  </si>
  <si>
    <t xml:space="preserve">Technical University of Munich; University of Munich; Blekinge Institute Technology; fortiss</t>
  </si>
  <si>
    <t xml:space="preserve">Angermeir, F (corresponding author), Tech Univ Munich, Munich, Germany.</t>
  </si>
  <si>
    <t xml:space="preserve">The authors would like to thank the project maintainers that participated in the survey. Moreover, the authors acknowledge industry security practitioners who endorse to empirical studies concerning secure compliant agile and DevOps. Parts of this work was supported by the KKS foundation through the S.E.R.T. Research Profile project at Blekinge Institute of Technology and SERL Lab.</t>
  </si>
  <si>
    <t xml:space="preserve">10.1109/ICSE-SEIP52600.2021.00037</t>
  </si>
  <si>
    <t xml:space="preserve">WOS:000684234800029</t>
  </si>
  <si>
    <t xml:space="preserve">Fan, T; Zhao, L; Wang, HX; Abbas, Z; Adnan, M; Islam, MS; Kao-Walter, S</t>
  </si>
  <si>
    <t xml:space="preserve">Fan, Teng; Zhao, Lun; Wang, Haixiong; Abbas, Zeshan; Adnan, Muhammad; Islam, Md Shafiqul; Kao-Walter, Sharon</t>
  </si>
  <si>
    <t xml:space="preserve">Microstructural and Mechanical Characteristics Examination of Ultrasonically Welded Joints Using Orthogonal Experimentation</t>
  </si>
  <si>
    <t xml:space="preserve">INTERNATIONAL JOURNAL OF PRECISION ENGINEERING AND MANUFACTURING</t>
  </si>
  <si>
    <t xml:space="preserve">Ultrasonic welding; Microstructures; Electrical conductivity; Mechanical property; Failure mode</t>
  </si>
  <si>
    <t xml:space="preserve">OPTIMIZATION; COPPER</t>
  </si>
  <si>
    <t xml:space="preserve">In this paper, we present an investigation of ultrasonic welding performance for 25 mm2 copper wire and T2 copper plate across various welding parameters using orthogonal experimentation. The objective of this work was to explore the influence of operational parameters on the resulting welds. A comprehensive study of the mechanical properties and microstructure of the copper wire-to-copper plate joint was carried out using a series of sophisticated instruments. It includes a universal tensile machine, resistance measuring equipment, SEM, EDS and temperature measuring tool. This multifaceted approach enabled a detailed analysis of the joint's integral features and properties. This provides further insight into its performance and durability. Findings indicate that welding pressure has the most significant effect on welded joints. The optimal combination of parameters is achieved with the welding energy set at 6000 J, the welding amplitude at 85% and the welding pressure at 260 kPa. In different sets of welding parameters, joint strength is positively related to welding parameters and increases with increasing welding parameters. Joint resistance decreases with increasing joint tensile load and conductivity can be used to evaluate ultrasonic welding. It has been found that the development of the welded joint is achieved gradually in a direction moving inwards from the welding tool head, exhibiting a methodical forming process. Three distinct failure modes are observed in welded joints such as joint pullout, joint tearing and busbar breakage. The peak temperature during the welding process was recorded at 373 degrees C which indicates that the ultrasonic welding is a solid state connection.</t>
  </si>
  <si>
    <t xml:space="preserve">[Fan, Teng; Zhao, Lun; Abbas, Zeshan] Shenzhen Polytech Univ, Inst Ultrason Technol, Shenzhen 518055, Peoples R China; [Fan, Teng; Wang, Haixiong] Guilin Univ Technol, Sch Mech &amp; Control Engn, Guilin 541004, Guangxi, Peoples R China; [Adnan, Muhammad] Univ West, Dept Engn Sci, S-46186 Trollhattan, Sweden; [Islam, Md Shafiqul; Kao-Walter, Sharon] Blekinge Inst Technol, S-37179 Karlskrona, Sweden</t>
  </si>
  <si>
    <t xml:space="preserve">Shenzhen Polytechnic University; Guilin University of Technology; University West - Sweden; Blekinge Institute Technology</t>
  </si>
  <si>
    <t xml:space="preserve">Abbas, Zeshan/MEO-8370-2025; Islam, Md. Shafiqul/ABD-9092-2021; Adnan, Muhammad/HDL-9249-2022</t>
  </si>
  <si>
    <t xml:space="preserve">Lun, Zhao/0000-0001-8293-9094; Adnan, Muhammad/0009-0000-5926-7701</t>
  </si>
  <si>
    <t xml:space="preserve">KOREAN SOC PRECISION ENG</t>
  </si>
  <si>
    <t xml:space="preserve">12F, SKY1004 Bldg., 50-1 Jungnim-ro, Jung-gu, SEOUL, SOUTH KOREA</t>
  </si>
  <si>
    <t xml:space="preserve">2234-7593</t>
  </si>
  <si>
    <t xml:space="preserve">2005-4602</t>
  </si>
  <si>
    <t xml:space="preserve">INT J PRECIS ENG MAN</t>
  </si>
  <si>
    <t xml:space="preserve">Int. J. Precis. Eng. Manuf.</t>
  </si>
  <si>
    <t xml:space="preserve">10.1007/s12541-024-01044-1</t>
  </si>
  <si>
    <t xml:space="preserve">Engineering, Manufacturing; Engineering, Mechanical</t>
  </si>
  <si>
    <t xml:space="preserve">H2T3L</t>
  </si>
  <si>
    <t xml:space="preserve">WOS:001235496100002</t>
  </si>
  <si>
    <t xml:space="preserve">Javeed, A; Dallora, AL; Berglund, JS; Anderberg, P</t>
  </si>
  <si>
    <t xml:space="preserve">Javeed, Ashir; Dallora, Ana Luiza; Berglund, Johan Sanmartin; Anderberg, Peter</t>
  </si>
  <si>
    <t xml:space="preserve">An Intelligent Learning System for Unbiased Prediction of Dementia Based on Autoencoder and Adaboost Ensemble Learning</t>
  </si>
  <si>
    <t xml:space="preserve">LIFE-BASEL</t>
  </si>
  <si>
    <t xml:space="preserve">balanced accuracy; bachine learning; oversampling; dementia prediction</t>
  </si>
  <si>
    <t xml:space="preserve">INSTRUMENTAL ACTIVITIES; CLASSIFICATION; DEPRESSION; DIAGNOSIS; PEOPLE; STATE; CARE</t>
  </si>
  <si>
    <t xml:space="preserve">Dementia is a neurological condition that primarily affects older adults and there is still no cure or therapy available to cure it. The symptoms of dementia can appear as early as 10 years before the beginning of actual diagnosed dementia. Hence, machine learning (ML) researchers have presented several methods for early detection of dementia based on symptoms. However, these techniques suffer from two major flaws. The first issue is the bias of ML models caused by imbalanced classes in the dataset. Past research did not address this issue well and did not take preventative precautions. Different ML models were developed to illustrate this bias. To alleviate the problem of bias, we deployed a synthetic minority oversampling technique (SMOTE) to balance the training process of the proposed ML model. The second issue is the poor classification accuracy of ML models, which leads to a limited clinical significance. To improve dementia prediction accuracy, we proposed an intelligent learning system that is a hybrid of an autoencoder and adaptive boost model. The autoencoder is used to extract relevant features from the feature space and the Adaboost model is deployed for the classification of dementia by using an extracted subset of features. The hyperparameters of the Adaboost model are fine-tuned using a grid search algorithm. Experimental findings reveal that the suggested learning system outperforms eleven similar systems which were proposed in the literature. Furthermore, it was also observed that the proposed learning system improves the strength of the conventional Adaboost model by 9.8% and reduces its time complexity. Lastly, the proposed learning system achieved classification accuracy of 90.23%, sensitivity of 98.00% and specificity of 96.65%.</t>
  </si>
  <si>
    <t xml:space="preserve">[Javeed, Ashir] Karolinska Inst, Aging Res Ctr, S-17165 Stockholm, Sweden; [Javeed, Ashir; Dallora, Ana Luiza; Berglund, Johan Sanmartin; Anderberg, Peter] Blekinge Inst Technol, Dept Hlth, S-37179 Karlskrona, Sweden; [Anderberg, Peter] Univ Skovde, Sch Hlth Sci, S-54128 Skovde, Sweden</t>
  </si>
  <si>
    <t xml:space="preserve">Karolinska Institutet; Blekinge Institute Technology; University of Skovde</t>
  </si>
  <si>
    <t xml:space="preserve">Anderberg, P (corresponding author), Blekinge Inst Technol, Dept Hlth, S-37179 Karlskrona, Sweden.;Anderberg, P (corresponding author), Univ Skovde, Sch Hlth Sci, S-54128 Skovde, Sweden.</t>
  </si>
  <si>
    <t xml:space="preserve">ashir.javeed@ki.se; ada@bth.se; johan.sanmartin.berglund@bth.se; peter.anderberg@bth.se</t>
  </si>
  <si>
    <t xml:space="preserve">Sanmartin Berglund, Johan/HGB-0471-2022; Javeed, Ashir/ABG-2567-2022; Anderberg, Peter/B-5541-2012</t>
  </si>
  <si>
    <t xml:space="preserve">Anderberg, Peter/0000-0001-9870-8477; Dallora Moraes, Ana Luiza/0000-0002-6752-017X; javeed, ashir/0000-0003-4190-3532; Berglund, Johan/0000-0003-4312-2246</t>
  </si>
  <si>
    <t xml:space="preserve">National E-Infrastructure for Aging Research (NEAR), Sweden</t>
  </si>
  <si>
    <t xml:space="preserve">The first author's learning process was supported by the National E-Infrastructure for Aging Research (NEAR), Sweden. NEAR is working on improving the health condition of older adults in Sweden.</t>
  </si>
  <si>
    <t xml:space="preserve">2075-1729</t>
  </si>
  <si>
    <t xml:space="preserve">Life-Basel</t>
  </si>
  <si>
    <t xml:space="preserve">10.3390/life12071097</t>
  </si>
  <si>
    <t xml:space="preserve">Biology; Microbiology</t>
  </si>
  <si>
    <t xml:space="preserve">Life Sciences &amp; Biomedicine - Other Topics; Microbiology</t>
  </si>
  <si>
    <t xml:space="preserve">3H1MS</t>
  </si>
  <si>
    <t xml:space="preserve">WOS:000831806600001</t>
  </si>
  <si>
    <t xml:space="preserve">Vu, VT; Pettersson, MI; Palm, BG; Alves, DI; Gomes, NR</t>
  </si>
  <si>
    <t xml:space="preserve">Vu, Viet T.; Pettersson, Mats, I; Palm, Bruna G.; Alves, Dimas, I; Gomes, Natanael R.</t>
  </si>
  <si>
    <t xml:space="preserve">Changing flight heading during pass to enhance SAR change detection performance</t>
  </si>
  <si>
    <t xml:space="preserve">IET RADAR SONAR AND NAVIGATION</t>
  </si>
  <si>
    <t xml:space="preserve">Due to the wavelength-resolution characteristics, wavelength-resolution synthetic aperture radar (SAR) is considered for the change detection application aiming to achieve high detection probability and low false alarm rate. However, wavelength-resolution SAR change detection suffers from the problems caused by specular reflection of the elongated structure in the SAR scene, the dependency of radar cross-section on incident angle of electromagnetic wave, the interference due to antenna backlobe and so forth. Hardware and software solutions are therefore desired to deal with these problems. The authors propose to change flight heading during passes as a natural solution. The proposed solution is tested with the CARABAS data using a typical SAR change detection method. The achieved change detection results show the good performance of the proposed solution, for example, the detection probability is up to 100% with the false alarm rate of 0.5 per square kilometre.</t>
  </si>
  <si>
    <t xml:space="preserve">[Vu, Viet T.; Pettersson, Mats, I] Blekinge Inst Technol, Karlskrona, Sweden; [Palm, Bruna G.] Aeronaut Inst Technol, Sao Jose Dos Campos, Brazil; [Alves, Dimas, I] Fed Univ Pampa, Alegrete, Brazil; [Gomes, Natanael R.] Univ Fed Santa Maria, Santa Maria, RS, Brazil</t>
  </si>
  <si>
    <t xml:space="preserve">Blekinge Institute Technology; Comando-Geral de Tecnologia Aeroespacial (CTA); Instituto Tecnologico de Aeronautica (ITA); Universidade Federal do Pampa; Universidade Federal de Santa Maria (UFSM)</t>
  </si>
  <si>
    <t xml:space="preserve">Irion Alves, Dimas/AAY-4651-2021; Vu, Viet/JDW-0738-2023; G. Palm, Bruna/AAZ-4107-2021; Pettersson, Mats/N-1063-2016</t>
  </si>
  <si>
    <t xml:space="preserve">Pettersson, Mats/0000-0002-6643-312X; G. Palm, Bruna/0000-0003-0423-9927; Irion Alves, Dimas/0000-0002-5443-6446</t>
  </si>
  <si>
    <t xml:space="preserve">1751-8784</t>
  </si>
  <si>
    <t xml:space="preserve">1751-8792</t>
  </si>
  <si>
    <t xml:space="preserve">IET RADAR SONAR NAV</t>
  </si>
  <si>
    <t xml:space="preserve">IET Radar Sonar Navig.</t>
  </si>
  <si>
    <t xml:space="preserve">10.1049/rsn2.12058</t>
  </si>
  <si>
    <t xml:space="preserve">TP5PX</t>
  </si>
  <si>
    <t xml:space="preserve">WOS:000639367200001</t>
  </si>
  <si>
    <t xml:space="preserve">Dallora, AL; Kvist, O; Berglund, JS; Ruiz, SD; Boldt, M; Flodmark, CE; Anderberg, P</t>
  </si>
  <si>
    <t xml:space="preserve">Dallora, Ana Luiza; Kvist, Ola; Berglund, Johan Sanmartin; Ruiz, Sandra Diaz; Boldt, Martin; Flodmark, Carl-Erik; Anderberg, Peter</t>
  </si>
  <si>
    <t xml:space="preserve">Chronological Age Assessment in Young Individuals Using Bone Age Assessment Staging and Nonradiological Aspects: Machine Learning Multifactorial Approach</t>
  </si>
  <si>
    <t xml:space="preserve">JMIR MEDICAL INFORMATICS</t>
  </si>
  <si>
    <t xml:space="preserve">chronological age assessment; bone age; skeletal maturity; machine learning; magnetic resonance imaging; radius; distal tibia; proximal tibia; distal femur; calcaneus</t>
  </si>
  <si>
    <t xml:space="preserve">PUBERTAL CHANGES; CARTILAGE; OSSIFICATION; COEFFICIENT; MATURATION; CHILDHOOD; AGREEMENT; PATTERN; GROWTH; WRIST</t>
  </si>
  <si>
    <t xml:space="preserve">Background: Bone age assessment (BAA) is used in numerous pediatric clinical settings as well as in legal settings when entities need an estimate of chronological age (CA) when valid documents are lacking. The latter case presents itself as critical as the law is harsher for adults and granted rights along with imputability changes drastically if the individual is a minor. Traditional BAA methods have drawbacks such as exposure of minors to radiation, they do not consider factors that might affect the bone age, and they mostly focus on a single region. Given the critical scenarios in which BAA can affect the lives of young individuals, it is important to focus on the drawbacks of the traditional methods and investigate the potential of estimating CA through BAA. Objective: This study aims to investigate CA estimation through BAA in young individuals aged 14-21 years with machine learning methods, addressing the drawbacks of research using magnetic resonance imaging (MRI), assessment of multiple regions of interest, and other factors that may affect the bone age. Methods: MRI examinations of the radius, distal tibia, proximal tibia, distal femur, and calcaneus were performed on 465 men and 473 women (aged 14-21 years). Measures of weight and height were taken from the subjects, and a questionnaire was given for additional information (self-assessed Tanner Scale, physical activity level, parents' origin, and type of residence during upbringing). Two pediatric radiologists independently assessed the MRI images to evaluate their stage of bone development (blinded to age, gender, and each other). All the gathered information was used in training machine learning models for CA estimation and minor versus adult classification (threshold of 18 years). Different machine learning methods were investigated. Results: The minor versus adult classification produced accuracies of 0.90 and 0.84 for male and female subjects, respectively, with high recalls for the classification of minors. The CA estimation for the 8 age groups (aged 14-21 years) achieved mean absolute errors of 0.95 years and 1.24 years for male and female subjects, respectively. However, for the latter, a lower error occurred only for the ages of 14 and 15 years. Conclusions: This study investigates CA estimation through BAA using machine learning methods in 2 ways: minor versus adult classification and CA estimation in 8 age groups (aged 14-21 years), while addressing the drawbacks in the research on BAA. The first achieved good results; however, for the second case, the BAA was not precise enough for the classification.</t>
  </si>
  <si>
    <t xml:space="preserve">[Dallora, Ana Luiza; Berglund, Johan Sanmartin; Anderberg, Peter] Blekinge Inst Technol, Dept Hlth, Valhallavagen 1, S-37141 Karlskrona, Sweden; [Kvist, Ola; Ruiz, Sandra Diaz] Karolinska Univ Hosp, Dept Pediat Radiol, Stockholm, Sweden; [Boldt, Martin] Blekinge Inst Technol, Dept Comp Sci, Karlskrona, Sweden; [Flodmark, Carl-Erik] Lund Univ, Dept Clin Sci, Lund, Sweden</t>
  </si>
  <si>
    <t xml:space="preserve">Blekinge Institute Technology; Karolinska Institutet; Karolinska University Hospital; Blekinge Institute Technology; Lund University</t>
  </si>
  <si>
    <t xml:space="preserve">peter.anderberg@bth.se</t>
  </si>
  <si>
    <t xml:space="preserve">Diaz Ruiz, Sandra/HMW-0601-2023; Kvist, Ola/AFZ-5000-2022; Sanmartin Berglund, Johan/HGB-0471-2022; Boldt, Martin/J-4958-2019; Anderberg, Peter/B-5541-2012</t>
  </si>
  <si>
    <t xml:space="preserve">Boldt, Martin/0000-0002-9316-4842; Flodmark, Carl-Erik/0000-0001-9705-4766; Dallora Moraes, Ana Luiza/0000-0002-6752-017X; Diaz Ruiz, Sandra/0000-0003-2016-4195; Anderberg, Peter/0000-0001-9870-8477; Kvist, Ola/0000-0002-8730-5901; Berglund, Johan/0000-0003-4312-2246</t>
  </si>
  <si>
    <t xml:space="preserve">National Board of Health and Welfare of Sweden (Socialstyrelsen)</t>
  </si>
  <si>
    <t xml:space="preserve">The authors would like to express their greatest appreciation to the participants and staff who participated in our study. This work was supported by the National Board of Health and Welfare of Sweden (Socialstyrelsen). The funding source had no involvement in the study design, data collection, analysis, interpretation, or reporting of this work.</t>
  </si>
  <si>
    <t xml:space="preserve">2291-9694</t>
  </si>
  <si>
    <t xml:space="preserve">JMIR MED INF</t>
  </si>
  <si>
    <t xml:space="preserve">JMIR Med. Inf.</t>
  </si>
  <si>
    <t xml:space="preserve">e18846</t>
  </si>
  <si>
    <t xml:space="preserve">10.2196/18846</t>
  </si>
  <si>
    <t xml:space="preserve">NZ8ZE</t>
  </si>
  <si>
    <t xml:space="preserve">WOS:000577388800006</t>
  </si>
  <si>
    <t xml:space="preserve">Lång, C; Tell, J; Johansen, K</t>
  </si>
  <si>
    <t xml:space="preserve">Lang, Christina; Tell, Johanna; Johansen, Kine</t>
  </si>
  <si>
    <t xml:space="preserve">Parents want Swedish child health services to focus more on motor development and practical advice</t>
  </si>
  <si>
    <t xml:space="preserve">ACTA PAEDIATRICA</t>
  </si>
  <si>
    <t xml:space="preserve">developmental surveillance; infant; motor development; parents' experiences; well‐ child surveillance</t>
  </si>
  <si>
    <t xml:space="preserve">CEREBRAL-PALSY; EARLY INTERVENTION; DIAGNOSIS; CARE; FAMILIES</t>
  </si>
  <si>
    <t xml:space="preserve">Aim Parents' experiences and expectations are key to developing evidence-based approaches that respond to family needs. However, little is known about how parents regard the motor assessments in well-child surveillance and what they need to support their child's motor development. This study explored their experiences. Methods We conducted 11 semi-structured interviews with Swedish-speaking parents whose children had been referred to a physiotherapist by child health services (CHS) before 18 months of age. Consecutive sampling was conducted from March to November 2018. The data were analysed using systematic text condensation. Results The three themes that emerged were that that parents liked the CHS setting, but had concerns about the lack of focus on motor development during routine health visits and wanted more dialogue about this area. The parents said that the assessments varied considerably and that their concerns were not always taken seriously. They wanted to know more about the professionals' observations, how their child was expected to develop and what they could do to support their motor development. Conclusion Parents wanted a greater focus on motor development during routine health visits. This included advice on how they could support their child's development.</t>
  </si>
  <si>
    <t xml:space="preserve">[Lang, Christina] Blekinge Hosp Karlskrona, Rehabil Clin, Karlskrona, Sweden; [Tell, Johanna] Blekinge Inst Technol, Dept Hlth, Karlskrona, Sweden; [Johansen, Kine] Uppsala Univ, Dept Womens &amp; Childrens Hlth, Uppsala, Sweden</t>
  </si>
  <si>
    <t xml:space="preserve">Blekinge Institute Technology; Uppsala University</t>
  </si>
  <si>
    <t xml:space="preserve">Johansen, K (corresponding author), Uppsala Univ, Dept Womens &amp; Childrens Hlth, Akad Sjukhuset, S-75185 Uppsala, Sweden.</t>
  </si>
  <si>
    <t xml:space="preserve">kine.johansen@kbh.uu.se</t>
  </si>
  <si>
    <t xml:space="preserve">Johansen, Kine/AAN-8208-2020</t>
  </si>
  <si>
    <t xml:space="preserve">Tell, Johanna/0000-0002-1714-0785; Johansen, Kine/0000-0002-9212-8452</t>
  </si>
  <si>
    <t xml:space="preserve">0803-5253</t>
  </si>
  <si>
    <t xml:space="preserve">1651-2227</t>
  </si>
  <si>
    <t xml:space="preserve">ACTA PAEDIATR</t>
  </si>
  <si>
    <t xml:space="preserve">Acta Paediatr.</t>
  </si>
  <si>
    <t xml:space="preserve">10.1111/apa.15876</t>
  </si>
  <si>
    <t xml:space="preserve">Pediatrics</t>
  </si>
  <si>
    <t xml:space="preserve">TJ3XV</t>
  </si>
  <si>
    <t xml:space="preserve">WOS:000647938300001</t>
  </si>
  <si>
    <t xml:space="preserve">Lifelo, Z; Ding, JG; Ning, HS; Dhelim, S</t>
  </si>
  <si>
    <t xml:space="preserve">Lifelo, Zita; Ding, Jianguo; Ning, Huansheng; Dhelim, Sahraoui</t>
  </si>
  <si>
    <t xml:space="preserve">Artificial Intelligence-Enabled Metaverse for Sustainable Smart Cities: Technologies, Applications, Challenges, and Future Directions</t>
  </si>
  <si>
    <t xml:space="preserve">artificial intelligence; digital twins; metaverse; generative AI; large language models; smart cities; sustainable cities; adaptive urban systems; urban transformation; urban planning</t>
  </si>
  <si>
    <t xml:space="preserve">SEMANTIC COMMUNICATION; IOT APPLICATIONS; BIG DATA; INTERNET; CITY; NETWORKS; MODEL; ARCHITECTURE; PREDICTION; MANAGEMENT</t>
  </si>
  <si>
    <t xml:space="preserve">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</si>
  <si>
    <t xml:space="preserve">[Lifelo, Zita; Ning, Huansheng] Univ Sci &amp; Technol Beijing, Sch Comp &amp; Commun Engn, Beijing 100083, Peoples R China; [Ding, Jianguo] Blekinge Inst Technol, Dept Comp Sci, S-37179 Karlskrona, Sweden; [Dhelim, Sahraoui] Dublin City Univ, Sch Comp, Dublin, Ireland</t>
  </si>
  <si>
    <t xml:space="preserve">University of Science &amp; Technology Beijing; Blekinge Institute Technology; Dublin City University</t>
  </si>
  <si>
    <t xml:space="preserve">b20200691@xs.ustb.edu.cn; jianguo.ding@bth.se; ninghuansheng@ustb.edu.cn</t>
  </si>
  <si>
    <t xml:space="preserve">Ding, Jianguo/B-5748-2008; DHELIM, Sahraoui/L-5176-2017</t>
  </si>
  <si>
    <t xml:space="preserve">DHELIM, Sahraoui/0000-0002-3620-1395; Lifelo, Zita/0009-0006-3262-7264; Ding, Jianguo/0000-0002-8927-0968; Ning, Huansheng/0000-0001-6413-193X</t>
  </si>
  <si>
    <t xml:space="preserve">10.3390/electronics13244874</t>
  </si>
  <si>
    <t xml:space="preserve">Q7Y2T</t>
  </si>
  <si>
    <t xml:space="preserve">WOS:001386778700001</t>
  </si>
  <si>
    <t xml:space="preserve">Su, JX; Zhao, L; Abbas, Z; Li, JG; Wei, W; Kao-walter, S</t>
  </si>
  <si>
    <t xml:space="preserve">Su, Jianxiong; Zhao, Lun; Abbas, Zeshan; Li, Jiguang; Wei, Wu; Kao-walter, Sharon</t>
  </si>
  <si>
    <t xml:space="preserve">Microscopic mechanism of ultrasonically welded joints: The role of terminal roughness and wire diameter</t>
  </si>
  <si>
    <t xml:space="preserve">MATERIALS CHARACTERIZATION</t>
  </si>
  <si>
    <t xml:space="preserve">Ultrasonic welding; Wire harness; Terminals; Material parameters; Microanalysis</t>
  </si>
  <si>
    <t xml:space="preserve">MICROSTRUCTURE; COPPER</t>
  </si>
  <si>
    <t xml:space="preserve">The ultrasonic welding technology is widely promoted as a new connection approach in the field of current energy vehicle wiring harness connection. In this paper, three kinds of 25mm2 copper wire harnesses with different wire diameters and T2 copper terminals with different surface roughness were welded by ultrasonic welding. The mechanical properties of the joints were investigated by tensile experiments and the microstructure of joints was characterised using SEM and EBSD techniques. Excessive roughness increases plastic deformation at the weld interface during ultrasonic welding. This increases the dislocation density at the weld interface and refines the grain size. However, at the same time it inhibits recrystallisation to a certain extent. The lower roughness facilitates recrystallisation, but the low density of HAGBs makes the interface susceptible to slip in extended crystallographic plane and direction. Appropriate roughness allows the weld interface to generate fine equiaxed grains and a high density of HAGBs. This facilitates the obstruction of dislocation movement and improves the strength of joint. In addition, the high porosity of a longitudinal cross-section of the conductor with its small diameter was investigated. This results in a large number of wires remaining on the terminals when force is applied. It was determined that the larger a diameter of wire, the higher a cross-sectional porosity. The copper wire breaks at a weak point in cross-section when the force is applied, resulting in the entire wire being left on terminal. At a wire diameter of 0.2 mm, the porosity of a cross-section reaches an equilibrium and the strength of joint is even higher than the strength of material itself, resulting in the joint pulling off. The maximum strength reaches 4703.77 N.</t>
  </si>
  <si>
    <t xml:space="preserve">[Su, Jianxiong; Zhao, Lun; Abbas, Zeshan] Shenzhen Polytech Univ, Inst Ultrason Technol, Shenzhen 518055, Peoples R China; [Su, Jianxiong; Li, Jiguang] Univ Sci &amp; Technol Liaoning, Fac Mat &amp; Met, Anshan 114051, Peoples R China; [Wei, Wu] Guizhou Univ, Sch Mech Engn, Guiyang 550025, Peoples R China; [Kao-walter, Sharon] Blekinge Inst Technol, S-37179 Karlskrona, Sweden</t>
  </si>
  <si>
    <t xml:space="preserve">Shenzhen Polytechnic University; University of Science &amp; Technology Liaoning; Guizhou University; Blekinge Institute Technology</t>
  </si>
  <si>
    <t xml:space="preserve">Wei, Wu/AGX-5769-2022; Abbas, Zeshan/MEO-8370-2025</t>
  </si>
  <si>
    <t xml:space="preserve">National Natural Science Foundation of China [12104324]; Scientific Research Startup Fund for Shenzhen High -Caliber Personnel of SZPU [6022331008K]; SZPU- Newpower Ultrasonic welding R D [602331009PQ]; Post -doctoral Later -stage Foundation Project of Shenzhen Polytechnic University [6023271014K1, 6021211014K1]</t>
  </si>
  <si>
    <t xml:space="preserve">National Natural Science Foundation of China(National Natural Science Foundation of China (NSFC)); Scientific Research Startup Fund for Shenzhen High -Caliber Personnel of SZPU; SZPU- Newpower Ultrasonic welding R D; Post -doctoral Later -stage Foundation Project of Shenzhen Polytechnic University</t>
  </si>
  <si>
    <t xml:space="preserve">Acknowledgements This research is supported by National Natural Science Foundation of China (Grant No. 12104324) ; Scientific Research Startup Fund for Shenzhen High -Caliber Personnel of SZPU (No. 6022331008K) ; SZPU- Newpower Ultrasonic welding R &amp; D (602331009PQ) ; Post -doctoral Later -stage Foundation Project of Shenzhen Polytechnic University (6023271014K1, 6021211014K1) .</t>
  </si>
  <si>
    <t xml:space="preserve">1044-5803</t>
  </si>
  <si>
    <t xml:space="preserve">1873-4189</t>
  </si>
  <si>
    <t xml:space="preserve">MATER CHARACT</t>
  </si>
  <si>
    <t xml:space="preserve">Mater. Charact.</t>
  </si>
  <si>
    <t xml:space="preserve">10.1016/j.matchar.2024.114063</t>
  </si>
  <si>
    <t xml:space="preserve">Materials Science, Multidisciplinary; Metallurgy &amp; Metallurgical Engineering; Materials Science, Characterization &amp; Testing</t>
  </si>
  <si>
    <t xml:space="preserve">WV3Y4</t>
  </si>
  <si>
    <t xml:space="preserve">WOS:001257620800001</t>
  </si>
  <si>
    <t xml:space="preserve">Kim, J; Pham, QT; Ha, J; Kim, YS</t>
  </si>
  <si>
    <t xml:space="preserve">Kim, Jinjae; Pham, Quoc Tuan; Ha, Jinjin; Kim, Young Suk</t>
  </si>
  <si>
    <t xml:space="preserve">Constitutive modeling of commercial pure titanium sheet based on non-associated flow rule and differential hardening</t>
  </si>
  <si>
    <t xml:space="preserve">INTERNATIONAL JOURNAL OF MECHANICAL SCIENCES</t>
  </si>
  <si>
    <t xml:space="preserve">Commercial pure titanium; Differential hardening; Anisotropic yield function; Non-associated flow rule; Evolutionary parameters; Finite element analysis</t>
  </si>
  <si>
    <t xml:space="preserve">ANISOTROPIC PLASTICITY MODEL; ALUMINUM-ALLOY SHEETS; ALPHA-TITANIUM; YIELD FUNCTION; DUCTILE DAMAGE; DEFORMATION; STRAIN; METAL; MICROSTRUCTURE; CRITERION</t>
  </si>
  <si>
    <t xml:space="preserve">The commercial-pure titanium (CP-Ti) sheet has attracted a great interest from biomedical and aerospace industries because of its strong mechanical advantages such as lightweight, high strength, good formability, and corrosion-resistance. However, strong anisotropic features, such as evolutionary yield surface and strength difference in tension and compression, of the CP-Ti require advanced constitutive modeling compared to standard advanced high strength steel sheets. This study took into account the differential hardening behavior and the changing R-value of CP-Ti sheet observed during the uniaxial tensile and bulge tests in developing a material model. The observed behaviors are modeled by Hill48 quadratic function based on non-associated flow rule with equivalent plastic work dependent evolutionary parameters. The developed material model was then implemented into a user material subroutine (VUMAT) for ABAQUS/EXPLICIT and used to simulate a circular deep drawing to verify the developed model. Simulation results are compared with those of a material model coupling Yld2000-2d yield function with associated flow rule. The comparison shows that the developed material model provides not only a good agreement with the experiment for yield and potential surfaces but also accurate predictions in forming simulations.</t>
  </si>
  <si>
    <t xml:space="preserve">[Kim, Jinjae] Kyungpook Natl Univ, Grad Sch Mech Engn, Daegu 41566, South Korea; [Kim, Jinjae; Ha, Jinjin] Univ New Hampshire, Dept Mech Engn, Durham, NH 03824 USA; [Pham, Quoc Tuan] Blekinge Inst Technol, Dept Mech Engn, Karlskrona, Sweden; [Kim, Young Suk] Kyungpook Natl Univ, Sch Mech Engn, Daegu 41566, South Korea</t>
  </si>
  <si>
    <t xml:space="preserve">Kyungpook National University (KNU); University System Of New Hampshire; University of New Hampshire; Blekinge Institute Technology; Kyungpook National University (KNU)</t>
  </si>
  <si>
    <t xml:space="preserve">Kim, YS (corresponding author), Kyungpook Natl Univ, Sch Mech Engn, Daegu 41566, South Korea.</t>
  </si>
  <si>
    <t xml:space="preserve">caekim@knu.ac.kr</t>
  </si>
  <si>
    <t xml:space="preserve">Ha, Jinjin/AIC-8684-2022; Kim, Sang-Hoon/AAA-2248-2020; Pham, Quoc Tuan/AAH-8010-2019</t>
  </si>
  <si>
    <t xml:space="preserve">Ha, Jinjin/0000-0002-9264-1790</t>
  </si>
  <si>
    <t xml:space="preserve">National Research Foundation of Korea [NRF-2019R1A2C1011224]; Brain Korea 21 (BK21) - Ministry of Education, Korea [4199990314305]</t>
  </si>
  <si>
    <t xml:space="preserve">National Research Foundation of Korea(National Research Foundation of Korea); Brain Korea 21 (BK21) - Ministry of Education, Korea(Ministry of Education (MOE), Republic of Korea)</t>
  </si>
  <si>
    <t xml:space="preserve">This work was supported by the National Research Foundation of Korea (NRF-2019R1A2C1011224) and Brain Korea 21 (BK21) funded by the Ministry of Education, Korea (4199990314305) .</t>
  </si>
  <si>
    <t xml:space="preserve">0020-7403</t>
  </si>
  <si>
    <t xml:space="preserve">1879-2162</t>
  </si>
  <si>
    <t xml:space="preserve">INT J MECH SCI</t>
  </si>
  <si>
    <t xml:space="preserve">Int. J. Mech. Sci.</t>
  </si>
  <si>
    <t xml:space="preserve">SEP 15</t>
  </si>
  <si>
    <t xml:space="preserve">10.1016/j.ijmecsci.2022.107549</t>
  </si>
  <si>
    <t xml:space="preserve">Engineering, Mechanical; Mechanics</t>
  </si>
  <si>
    <t xml:space="preserve">6Q0KW</t>
  </si>
  <si>
    <t xml:space="preserve">WOS:000891311600001</t>
  </si>
  <si>
    <t xml:space="preserve">Lei, Y; Li, Y; Wan, RD; Chen, W; Zhou, HW</t>
  </si>
  <si>
    <t xml:space="preserve">Lei, Ying; Li, Yu; Wan, Run-Dong; Chen, Wen; Zhou, Hong-Wei</t>
  </si>
  <si>
    <t xml:space="preserve">Microwave synthesis and enhancement of thermoelectric performance in HfxTi1-xNiSn0.97Sb0.03 half-Heusler bulks</t>
  </si>
  <si>
    <t xml:space="preserve">RARE METALS</t>
  </si>
  <si>
    <t xml:space="preserve">Half-Heusler alloys; Microwave synthesis; Hf doping; Thermoelectric figure of merit</t>
  </si>
  <si>
    <t xml:space="preserve">LATTICE THERMAL-CONDUCTIVITY; TRANSPORT-PROPERTIES; TINISN; ALLOYS; ZRNISN; PHASE; BISMUTH</t>
  </si>
  <si>
    <t xml:space="preserve">We obtained TiNiSn-based half-Heusler HfxTi1-xNiSn0.97Sb0.03 bulks with 85%-96% relative densities via 5-min microwave synthesis and 20-min microwave sintering in sealed vacuum. The phase composition and microstructure of samples were characterized by X-ray diffractometer (XRD) and scanning electron microscopy (SEM). Thermoelectric (TE) properties were measured, i.e., Seebeck coefficient (S), electrical resistivity (rho), and thermal conductivity (kappa) through Seebeck coefficient/resistance analysis system (S/RAs) and laser flash thermal analyzer (LFT). The results show that the nearly single phase exists after microwave sintering. The grain sizes and the number of grain boundaries decrease with increase in Hf-doping amount due to an increase in point defects. The matrix grains for Hf0.1Ti0.9NiSn0.97Sb0.03 are ~10 mu m. The nanoscle pores and precipitates are present as second phases in matrix grain. The real composition for Hf0.1Ti0.9NiSn0.97Sb0.03 matrix grain is Hf3.51Ti28.76Ni34.76Sn31.55Sb1.43. The variation trends of electrical resistivity, Seebeck coefficient, power factor, and thermal conductivity were analyzed in detail. The maximum figure of merit (ZT) of 0.46 is obtained for Hf0.1Ti0.9NiSnSn0.97Sb0.03 at 723 K. The innovation route exhibits advantages for predation of TE bulks when compared to the conventional methods, especially in terms of efficiency while it still maintains TE performance.</t>
  </si>
  <si>
    <t xml:space="preserve">[Lei, Ying; Li, Yu] Anhui Univ Technol, Sch Met Engn, Maxiang Rd, Maanshan 243032, Peoples R China; [Lei, Ying; Li, Yu; Zhou, Hong-Wei] Lanzhou Univ Technol, State Key Lab Adv Proc &amp; Recycling Nonferrous Met, Lanzhou 730050, Peoples R China; [Wan, Run-Dong] Kunming Univ Sci &amp; Technol, Coll Mat Sci &amp; Engn, Kunming 650093, Yunnan, Peoples R China; [Wan, Run-Dong] Blekinge Inst Technol, Dept Mech Engn, S-37179 Karlskrona, Sweden; [Chen, Wen] Changsha Res Inst Min &amp; Met Co Ltd, Inst Mineral Resources Dev &amp; Utilizat, Changsha 410012, Peoples R China</t>
  </si>
  <si>
    <t xml:space="preserve">Anhui University of Technology; Lanzhou University of Technology; Kunming University of Science &amp; Technology; Blekinge Institute Technology</t>
  </si>
  <si>
    <t xml:space="preserve">Li, Y (corresponding author), Anhui Univ Technol, Sch Met Engn, Maxiang Rd, Maanshan 243032, Peoples R China.;Li, Y (corresponding author), Lanzhou Univ Technol, State Key Lab Adv Proc &amp; Recycling Nonferrous Met, Lanzhou 730050, Peoples R China.</t>
  </si>
  <si>
    <t xml:space="preserve">liyuahut@163.com</t>
  </si>
  <si>
    <t xml:space="preserve">Li, Yu/0000-0002-8411-1394; Lei, Ying/0000-0002-8074-7539</t>
  </si>
  <si>
    <t xml:space="preserve">NONFERROUS METALS SOC CHINA</t>
  </si>
  <si>
    <t xml:space="preserve">12B FUXIN RD, BEIJING 100814, PEOPLES R CHINA</t>
  </si>
  <si>
    <t xml:space="preserve">1001-0521</t>
  </si>
  <si>
    <t xml:space="preserve">1867-7185</t>
  </si>
  <si>
    <t xml:space="preserve">Rare Metals</t>
  </si>
  <si>
    <t xml:space="preserve">10.1007/s12598-019-01290-7</t>
  </si>
  <si>
    <t xml:space="preserve">W4PE3</t>
  </si>
  <si>
    <t xml:space="preserve">WOS:001091451800020</t>
  </si>
  <si>
    <t xml:space="preserve">Vogelsang, A; Eckhardt, J; Mendez, D; Berger, M</t>
  </si>
  <si>
    <t xml:space="preserve">Vogelsang, Andreas; Eckhardt, Jonas; Mendez, Daniel; Berger, Moritz</t>
  </si>
  <si>
    <t xml:space="preserve">Views on quality requirements in academia and practice: commonalities, differences, and context-dependent grey areas</t>
  </si>
  <si>
    <t xml:space="preserve">Quality requirements; Non-functional requirements; Context factors; Requirements engineering; Survey; Eempirical study</t>
  </si>
  <si>
    <t xml:space="preserve">CATEGORICAL-DATA</t>
  </si>
  <si>
    <t xml:space="preserve">Context Quality requirements (QRs) are a topic of constant discussions both in industry and academia. Debates entwine around the definition of quality requirements, the way how to handle them, or their importance for project success. While many academic endeavors contribute to the body of knowledge about QRs, practitioners may have different views. In fact, we still lack a consistent body of knowledge on QRs since much of the discussion around this topic is still dominated by observations that are strongly context-dependent. This holds for both academic and practitioners' views. Our assumption is that, in consequence, those views may differ. Objective: We report on a study to better understand the extent to which available research statements on quality requirements, as found in exemplary peer-reviewed and frequently cited publications, are reflected in the perception of practitioners. Our goal is to analyze differences, commonalities, and context-dependent grey areas in the views of academics and practitioners to allow a discussion on potential misconceptions (on either sides) and opportunities for future research. Method: We conducted a survey with 109 practitioners to assess whether they agree with research statements about QRs reflected in the literature. Based on a statistical model, we evaluate the impact of a set of context factors to the perception of research statements. Results: Our results show that a majority of the statements is well respected by practitioners; however, not all of them. When examining the different groups and backgrounds of respondents, we noticed interesting deviations of perceptions within different groups that may lead to new research questions. Conclusions:Our results help identifying prevalent context-dependent differences about how academics and practitioners view QRs and pinpointing statements where further research might be useful.</t>
  </si>
  <si>
    <t xml:space="preserve">[Vogelsang, Andreas] Tech Univ Berlin, Berlin, Germany; [Eckhardt, Jonas] Tableau Software, Frankfurt, Germany; [Mendez, Daniel] Blekinge Inst Technol, Karlskrona, Sweden; [Mendez, Daniel] Fortiss GmbH, Munich, Germany; [Berger, Moritz] Univ Bonn, Bonn, Germany</t>
  </si>
  <si>
    <t xml:space="preserve">Technical University of Berlin; Blekinge Institute Technology; fortiss; University of Bonn</t>
  </si>
  <si>
    <t xml:space="preserve">Vogelsang, A (corresponding author), Tech Univ Berlin, Berlin, Germany.</t>
  </si>
  <si>
    <t xml:space="preserve">andreas.vogelsang@tu-berlin.de; jonas@eckhardt.tv; daniel.mendez@bth.se; moritz.berger@imbie.uni-bonn.de</t>
  </si>
  <si>
    <t xml:space="preserve">Mendez, Daniel/ABA-4579-2021; Berger, Moritz/ABD-2233-2021</t>
  </si>
  <si>
    <t xml:space="preserve">10.1016/j.infsof.2019.106253</t>
  </si>
  <si>
    <t xml:space="preserve">KT0NB</t>
  </si>
  <si>
    <t xml:space="preserve">WOS:000518706200005</t>
  </si>
  <si>
    <t xml:space="preserve">Coding for intangible competitive advantage-mapping the distribution and characteristics of software-developing firms in the Swedish economy</t>
  </si>
  <si>
    <t xml:space="preserve">INDUSTRY AND INNOVATION</t>
  </si>
  <si>
    <t xml:space="preserve">software development; digitalisation; software; human capital; productivity</t>
  </si>
  <si>
    <t xml:space="preserve">CYBER-PHYSICAL SYSTEMS; TECHNICAL CHANGE; ABSORPTIVE-CAPACITY; DIGITAL INNOVATION; SECTORAL PATTERNS; EMPLOYEE AGE; TECHNOLOGY; TAXONOMY; INDUSTRY; PRODUCT</t>
  </si>
  <si>
    <t xml:space="preserve">Software is at the core of digitalisation and is often claimed to play a central role in innovation and in shaping competition across industries and firms. There are yet few studies of the extent and nature of software development across firms. We employ a unique firm-level survey comprising 3,929 firms across Sweden to analyse the distribution and characteristics of firms that invest in software development and the orientation of their investments. The results confirm that software development activities are present in most industries, but heterogeneously distributed across firms. Internal software development is associated with innovation-oriented large firms in high-tech and knowledge-intensive industries, and is often affiliated with MNEs. The results suggest that software development is comparable to R&amp;D investments and constitutes an example of digital innovation. This strengthens the value of studying software development activities to understand how firms invest in and build competitive advantage in the digitalised economy.</t>
  </si>
  <si>
    <t xml:space="preserve">[Andersson, Martin; Kusetogullari, Anna] Blekinge Inst Technol BTH, Dept Ind Econ, Circle, Karlskrona, Sweden; [Andersson, Martin] Res Inst Ind Econ IFN, Stockholm, Sweden; [Wernberg, Joakim] Lund Univ, Fac Engn, Inst Technol &amp; Soc, Lund, Sweden; [Andersson, Martin; Wernberg, Joakim] Swedish Entrepreneurship Forum, Stockholm, Sweden</t>
  </si>
  <si>
    <t xml:space="preserve">Blekinge Institute Technology; Research Institute of Industrial Economics (IFN); Lund University</t>
  </si>
  <si>
    <t xml:space="preserve">Kusetogullari, A (corresponding author), Swedish Entrepreneurship Forum, Stockholm, Sweden.;Kusetogullari, A (corresponding author), Lund Univ, Inst Technol &amp; Soc, Circle, Lund, Sweden.</t>
  </si>
  <si>
    <t xml:space="preserve">anna.kusetogullari@bth.se</t>
  </si>
  <si>
    <t xml:space="preserve">Andersson, Martin/AAB-5164-2021</t>
  </si>
  <si>
    <t xml:space="preserve">Andersson, Martin/0000-0002-0302-6244</t>
  </si>
  <si>
    <t xml:space="preserve">1366-2716</t>
  </si>
  <si>
    <t xml:space="preserve">1469-8390</t>
  </si>
  <si>
    <t xml:space="preserve">IND INNOV</t>
  </si>
  <si>
    <t xml:space="preserve">Ind. Innov.</t>
  </si>
  <si>
    <t xml:space="preserve">10.1080/13662716.2022.2112396</t>
  </si>
  <si>
    <t xml:space="preserve">8G3NP</t>
  </si>
  <si>
    <t xml:space="preserve">WOS:000844982300001</t>
  </si>
  <si>
    <t xml:space="preserve">Demir, G; Iheme, LO; Solmaz, G; Yazici, C; Tokat, F; Cayor, S; Bozaba, E; Tekin, ME; Özsoy, G; Ayalto, S; Kayhan, CK; Ince, U; Uzel, B; Kusetogullari, H</t>
  </si>
  <si>
    <t xml:space="preserve">Demir, Gokhan; Iheme, Leonard O.; Solmaz, Gizem; Yazici, Cisem; Tokat, Fatma; Cayor, Sercan; Bozaba, Engin; Tekin, Muhammet Eren; Ozsoy, Gülsah; Ayalto, Samet; Kayhan, Cavit Kerem; Ince, Umit; Uzel, Burak; Kusetogullari, Huseyin</t>
  </si>
  <si>
    <t xml:space="preserve">Whole slide histologic grading of breast cancer using convolutional neural networks.</t>
  </si>
  <si>
    <t xml:space="preserve">JOURNAL OF CLINICAL ONCOLOGY</t>
  </si>
  <si>
    <t xml:space="preserve">Annual Meeting of the American-Society-of-Clinical-Oncology (ASCO)</t>
  </si>
  <si>
    <t xml:space="preserve">JUN 03-07, 2022</t>
  </si>
  <si>
    <t xml:space="preserve">Amer Soc Clin Oncol</t>
  </si>
  <si>
    <t xml:space="preserve">Acibadem Maslak Hosp, Istanbul, Turkey; Virasoft, Istanbul, Turkey; Acobadem Med Fac, Istanbul, Turkey; Ozel Camlik Hosp, Istanbul, Turkey; Blekinge Inst Technol, Karlskrona, Sweden</t>
  </si>
  <si>
    <t xml:space="preserve">Acibadem Hospitals Group; Acibadem Hastaneleri; Acibadem University; Blekinge Institute Technology</t>
  </si>
  <si>
    <t xml:space="preserve">0732-183X</t>
  </si>
  <si>
    <t xml:space="preserve">1527-7755</t>
  </si>
  <si>
    <t xml:space="preserve">J CLIN ONCOL</t>
  </si>
  <si>
    <t xml:space="preserve">J. Clin. Oncol.</t>
  </si>
  <si>
    <t xml:space="preserve">S</t>
  </si>
  <si>
    <t xml:space="preserve">e13607</t>
  </si>
  <si>
    <t xml:space="preserve">Oncology</t>
  </si>
  <si>
    <t xml:space="preserve">5B6LX</t>
  </si>
  <si>
    <t xml:space="preserve">WOS:000863680302697</t>
  </si>
  <si>
    <t xml:space="preserve">Weiber, I; Tengland, PA; Berglund, JS; Eklund, M</t>
  </si>
  <si>
    <t xml:space="preserve">Weiber, Ingrid; Tengland, Per-Anders; Berglund, Johan Sanmartin; Eklund, Mona</t>
  </si>
  <si>
    <t xml:space="preserve">Everyday life when growing up with a mother with an intellectual or developmental disability: Four retrospective life-stories</t>
  </si>
  <si>
    <t xml:space="preserve">SCANDINAVIAN JOURNAL OF OCCUPATIONAL THERAPY</t>
  </si>
  <si>
    <t xml:space="preserve">Childhood experiences; intellectual disability; developmental disability; maternal; activity; qualitative interviews; support</t>
  </si>
  <si>
    <t xml:space="preserve">LEARNING-DIFFICULTIES; CHILDREN BORN; YOUNG-ADULTS; PARENTS; HEALTH; EXPERIENCES; SUPPORT; PEOPLE; PROFESSIONALS; PREVALENCE</t>
  </si>
  <si>
    <t xml:space="preserve">Background:The voices of those who have grown up in a family with maternal intellectual or developmental disability (IDD) are valuable for gaining an understanding of their situation, which is essential in order to be able to support these families and avoid potentially detrimental situations. Aim:The study aim was to describe the experience of having grown up in a family where the mother has an IDD, with a focus on everyday life and perceived health consequences in adult life. Method:A qualitative method with retrospective narrative interviews and narrative content analysis was chosen. In-depth interviews were performed with four women who had experiences of a childhood with maternal IDD. Findings:Four themes emerged: Living under adverse circumstances; Dealing with one's everyday life situation; Receiving insufficient support and wishing for more; and The echo from childhood into adult life. The findings revealed a distressing childhood, characterized by neglect, abuse, anxiety, and overburdening responsibilities, and also endeavors to keep the family situation a secret, while at the same time wanting the adult world to react. Discussion:The findings can hopefully stimulate occupational therapists and other professionals to more effectively identify the situation of these children and provide support to prevent adverse future health conditions and poor well-being.</t>
  </si>
  <si>
    <t xml:space="preserve">[Weiber, Ingrid; Tengland, Per-Anders; Eklund, Mona] Malmo Univ, Fac Hlth &amp; Soc, Malmo, Sweden; [Weiber, Ingrid; Berglund, Johan Sanmartin] Blekinge Inst Technol, Dept Hlth, Karlskrona, Sweden; [Eklund, Mona] Lund Univ, Dept Hlth Sci, Box 157, SE-22100 Lund, Sweden</t>
  </si>
  <si>
    <t xml:space="preserve">Malmo University; Blekinge Institute Technology; Lund University</t>
  </si>
  <si>
    <t xml:space="preserve">Eklund, M (corresponding author), Lund Univ, Dept Hlth Sci, Box 157, SE-22100 Lund, Sweden.</t>
  </si>
  <si>
    <t xml:space="preserve">mona.eklund@med.lu.se</t>
  </si>
  <si>
    <t xml:space="preserve">1103-8128</t>
  </si>
  <si>
    <t xml:space="preserve">1651-2014</t>
  </si>
  <si>
    <t xml:space="preserve">SCAND J OCCUP THER</t>
  </si>
  <si>
    <t xml:space="preserve">Scand. J. Occup. Ther.</t>
  </si>
  <si>
    <t xml:space="preserve">10.1080/11038128.2018.1554087</t>
  </si>
  <si>
    <t xml:space="preserve">MT6QP</t>
  </si>
  <si>
    <t xml:space="preserve">WOS:000555097700003</t>
  </si>
  <si>
    <t xml:space="preserve">Bodduluri, KC; Palma, F; Kurti, A; Jusufi, I; Löwenadler, H</t>
  </si>
  <si>
    <t xml:space="preserve">Bodduluri, Kailash Chowdary; Palma, Francis; Kurti, Arianit; Jusufi, Ilir; Lowenadler, Henrik</t>
  </si>
  <si>
    <t xml:space="preserve">Exploring the Landscape of Hybrid Recommendation Systems in E-Commerce: A Systematic Literature Review</t>
  </si>
  <si>
    <t xml:space="preserve">Recommender systems; Electronic commerce; Bibliographies; Business; Market research; Databases; Behavioral sciences; Reviews; Search methods; Performance analysis; E-commerce; hybrid recommendation systems; recommendation systems; systematic literature review</t>
  </si>
  <si>
    <t xml:space="preserve">USER</t>
  </si>
  <si>
    <t xml:space="preserve">This article presents a systematic literature review on hybrid recommendation systems (HRS) in the e-commerce sector, a field characterized by constant innovation and rapid growth. As the complexity and volume of digital data increases, recommendation systems have become essential in guiding customers to services or products that align with their interests. However, the effectiveness of single-architecture recommendation algorithms is often limited by issues such as data sparsity, challenges in understanding user needs, and the cold start problem. Hybridization, which combines multiple algorithms in different methods, has emerged as a dominant solution to these limitations. This approach is utilized in various domains, including e-commerce, where it significantly improves user experience and sales. To capture the recent trends and advancements in HRS within e-commerce over the past six years, we review the state-of-the-art overview of HRS within e-commerce. This review meticulously evaluates existing research, addressing primary inquiries and presenting findings that contribute to evidence-based decision-making, understanding research gaps, and maintaining transparency. The review begins by establishing fundamental concepts, followed by detailed methodologies, findings from addressing the research questions, and exploration of critical aspects of HRS. In summarizing and incorporating existing research, this paper offers valuable insights for researchers and outlines potential avenues for future research, ultimately providing a comprehensive overview of the current state and prospects of HRS in e-commerce.</t>
  </si>
  <si>
    <t xml:space="preserve">[Bodduluri, Kailash Chowdary; Kurti, Arianit] Linnaeus Univ, Dept Comp Sci &amp; Media Technol, S-35252 Vaxjo, Sweden; [Palma, Francis] Univ New Brunswick, Fac Comp Sci, Fredericton E3B 5A3, NB, Canada; [Jusufi, Ilir] Blekinge Inst Technol, Dept Comp Sci, S-37179 Karlskrona, Sweden; [Lowenadler, Henrik] HL Design, S-35230 Vaxjo, Sweden</t>
  </si>
  <si>
    <t xml:space="preserve">Linnaeus University; University of New Brunswick; Blekinge Institute Technology</t>
  </si>
  <si>
    <t xml:space="preserve">Bodduluri, KC (corresponding author), Linnaeus Univ, Dept Comp Sci &amp; Media Technol, S-35252 Vaxjo, Sweden.</t>
  </si>
  <si>
    <t xml:space="preserve">kailashchowdary.bodduluri@lnu.se</t>
  </si>
  <si>
    <t xml:space="preserve">Palma, Francis/HPC-9574-2023; Jusufi, Ilir/G-2932-2014</t>
  </si>
  <si>
    <t xml:space="preserve">Kurti, Arianit/0000-0003-0512-6350; Bodduluri, Kailash Chowdary/0009-0006-5065-7731; Lowenadler, Henrik/0009-0001-3975-7364; Jusufi, Ilir/0000-0001-6745-4398</t>
  </si>
  <si>
    <t xml:space="preserve">Swedish Knowledge Foundation as part of the Industry Graduate School for Data Intensive Applications (DIA), Linnaeus University</t>
  </si>
  <si>
    <t xml:space="preserve">10.1109/ACCESS.2024.3365828</t>
  </si>
  <si>
    <t xml:space="preserve">JP4B2</t>
  </si>
  <si>
    <t xml:space="preserve">WOS:001174345100001</t>
  </si>
  <si>
    <t xml:space="preserve">Nguyen, MHT; Bui, TT; Nguyen, LD; Garcia-Palacios, E; Zepernick, HJ; Duong, TQ</t>
  </si>
  <si>
    <t xml:space="preserve">Nguyen, Minh-Hien T.; Bui, Tinh T.; Nguyen, Long D.; Garcia-Palacios, Emiliano; Zepernick, Hans-Jurgen; Duong, Trung Q.</t>
  </si>
  <si>
    <t xml:space="preserve">Real-Time Large-Scale 6G Satellite-UAV Networks</t>
  </si>
  <si>
    <t xml:space="preserve">In this paper, we consider an Internet-of-Things network supported by several satellites and multiple cache-assisted unmanned aerial vehicles (UAVs). We propose an optimisation problem with the aim of minimising the total network latency. To reduce the complexity of the original problem, it is divided into three sub-problems, namely, clustering ground users associated with UAVs, cache placement in UAVs (to support the network in avoiding backhaul congestion), and power allocation for satellites and UAVs. A non-cooperative game is designed to obtain the solution to the clustering problem; a genetic algorithm, which is powerful in the scenario of many variables, is employed to obtain the optimal solution to the high-complexity caching problem; and a quick estimation technique is used for power allocation. The total network latency is then minimised by using alternating optimisation technique. Numerical results prove the efficiency of our methods compared to other traditional ones.</t>
  </si>
  <si>
    <t xml:space="preserve">[Nguyen, Minh-Hien T.; Garcia-Palacios, Emiliano; Duong, Trung Q.] Queens Univ Belfast, Belfast BT7 1NN, Antrim, North Ireland; [Bui, Tinh T.] Ho Chi Minh City Univ Technol, Ho Chi Minh City 700000, Vietnam; [Nguyen, Long D.] Dong Nai Univ, Bien Hoa 810000, Dong Nai, Vietnam; [Zepernick, Hans-Jurgen] Blekinge Inst Technol, SE-37179 Karlskrona, Sweden</t>
  </si>
  <si>
    <t xml:space="preserve">Queens University Belfast; Vietnam National University Ho Chi Minh City (VNUHCM) System; VNU-HCM University of Technology (HCMUT); Dong Nai University; Blekinge Institute Technology</t>
  </si>
  <si>
    <t xml:space="preserve">Bui, TT (corresponding author), Ho Chi Minh City Univ Technol, Ho Chi Minh City 700000, Vietnam.</t>
  </si>
  <si>
    <t xml:space="preserve">bttinh.sdh19@hcmut.edu.vn; dinhlonghcmut@gmail.com; hans-jurgen.zepernick@bth.se; trung.q.duong@qub.ac.uk</t>
  </si>
  <si>
    <t xml:space="preserve">Duong, Trung Q./AAI-6708-2020; Zepernick, Hans-Jürgen/AFJ-2429-2022; nguyen, long/KHV-1588-2024</t>
  </si>
  <si>
    <t xml:space="preserve">Nguyen, Minh-Hien T./0009-0001-5740-1812</t>
  </si>
  <si>
    <t xml:space="preserve">UKRI in the UKRI-Horizon Europe program; UKRI [10061165]; Horizon Europe Guarantee [10061165] Funding Source: Horizon Europe Guarantee</t>
  </si>
  <si>
    <t xml:space="preserve">UKRI in the UKRI-Horizon Europe program; UKRI(UK Research &amp; Innovation (UKRI)); Horizon Europe Guarantee(European Union (EU)Horizon Europe Guarantee)</t>
  </si>
  <si>
    <t xml:space="preserve">The work was supported by UKRI in the UKRI-Horizon Europe program with the UKRI reference number 10061165 under MISO project Autonomous Multi-Format In-Situ Observation Platform for Atmospheric Carbon Dioxide and Methane Monitoring in Permafrost &amp; Wetlands.</t>
  </si>
  <si>
    <t xml:space="preserve">10.1109/SSP53291.2023.10208078</t>
  </si>
  <si>
    <t xml:space="preserve">WOS:001051091700021</t>
  </si>
  <si>
    <t xml:space="preserve">Fischbach, J; Springer, T; Frattini, J; Femmer, H; Vogelsang, A; Mendez, D</t>
  </si>
  <si>
    <t xml:space="preserve">Fischbach, Jannik; Springer, Tobias; Frattini, Julian; Femmer, Henning; Vogelsang, Andreas; Mendez, Daniel</t>
  </si>
  <si>
    <t xml:space="preserve">Fine-Grained Causality Extraction From Natural Language Requirements Using Recursive Neural Tensor Networks</t>
  </si>
  <si>
    <t xml:space="preserve">[Context:] Causal relations (e.g., If A, then B) are prevalent in functional requirements. For various applications of AI4RE, e.g., the automatic derivation of suitable test cases from requirements, automatically extracting such causal statements are a basic necessity. [Problem:] We lack an approach that is able to extract causal relations from natural language requirements in fine-grained form. Specifically, existing approaches do not consider the combinatorics between causes and effects. They also do not allow to split causes and effects into more granular text fragments (e.g., variable and condition), making the extracted relations unsuitable for automatic test case derivation. [Objective &amp; Contributions:] We address this research gap and make the following contributions: First, we present the Causality Treebank, which is the first corpus of fully labeled binary parse trees representing the composition of 1,571 causal requirements. Second, we propose a fine-grained causality extractor based on Recursive Neural Tensor Networks. Our approach is capable of recovering the composition of causal statements written in natural language and achieves a F1 score of 74% in the evaluation on the Causality Treebank. Third, we disclose our open data sets as well as our code to foster the discourse on the automatic extraction of causality in the RE community.</t>
  </si>
  <si>
    <t xml:space="preserve">[Fischbach, Jannik; Femmer, Henning] Qualicen GmbH, Munich, Germany; [Springer, Tobias] Tech Univ Munich, Munich, Germany; [Frattini, Julian; Mendez, Daniel] Blekinge Inst Technol, Karlskrona, Sweden; [Vogelsang, Andreas] Univ Cologne, Cologne, Germany; [Mendez, Daniel] Fortiss GmbH, Munich, Germany</t>
  </si>
  <si>
    <t xml:space="preserve">Technical University of Munich; Blekinge Institute Technology; University of Cologne; fortiss</t>
  </si>
  <si>
    <t xml:space="preserve">jannik.fischbach@qualicen.de; tobias.springer@tum.de; julian.frattini@bth.se; henning.femmer@qualicen.de; vogelsang@cs.uni-koeln.de; mendez@fortiss.org</t>
  </si>
  <si>
    <t xml:space="preserve">10.1109/REW53955.2021.00016</t>
  </si>
  <si>
    <t xml:space="preserve">WOS:000788547300008</t>
  </si>
  <si>
    <t xml:space="preserve">Hossfeld, T; Heegaard, PE; Varela, M; Skorin-Kapov, L; Fiedler, M</t>
  </si>
  <si>
    <t xml:space="preserve">DeTurck, F; Chemouil, P; Wauters, T; Zhani, MF; Cerroni, W; Pasquini, R; Zhu, Z</t>
  </si>
  <si>
    <t xml:space="preserve">Hossfeld, Tobias; Heegaard, Poul E.; Varela, Martin; Skorin-Kapov, Lea; Fiedler, Markus</t>
  </si>
  <si>
    <t xml:space="preserve">From QoS Distributions to QoE Distributions: a System's Perspective</t>
  </si>
  <si>
    <t xml:space="preserve">PROCEEDINGS OF THE 2020 6TH IEEE CONFERENCE ON NETWORK SOFTWARIZATION (NETSOFT 2020): BRIDGING THE GAP BETWEEN AI AND NETWORK SOFTWARIZATION</t>
  </si>
  <si>
    <t xml:space="preserve">6th IEEE International Conference on Network Softwarization (NetSoft) - Bridging the Gap Between AI and Network Softwarization</t>
  </si>
  <si>
    <t xml:space="preserve">JUN 29-JUL 03, 2020</t>
  </si>
  <si>
    <t xml:space="preserve">IEEE,IEEE Commun Soc,Intel,Huawei</t>
  </si>
  <si>
    <t xml:space="preserve">In the context of QoE management, network and service providers commonly rely on models that map system QoS conditions (e.g., system response time, paket loss, etc.) to estimated end user QoE values. Observable QoS conditions in the system may be assumed to follow a certain distribution, meaning that different end users will experience different conditions. On the other hand, drawing from the results of subjective user studies, we know that user diversity leads to distributions of user scores for any given test conditions (in this case referring to the QoS parameters of interest). Our previous studies have shown that to correctly derive various QoE metrics (e.g., Mean Opinion Score (MOS), quantiles, probability of users rating good or better, etc.) in a system under given conditions, there is a need to consider rating distributions obtained from user studies, which are often times not available. In this paper we extend these findings to show how to approximate user rating distributions given a QoS-to-MOS mapping function and second order statistics. Such a user rating distribution may then be combined with a QoS distribution observed in a system to finally derive corresponding distributions of QoE scores. We provide two examples to illustrate this process: 1) analytical results using a Web QoE model relating waiting times to QoE, and 2) numerical results using measurements relating packet losses to video stall pattern, which are in turn mapped to QoE estimates.</t>
  </si>
  <si>
    <t xml:space="preserve">[Hossfeld, Tobias] Univ Wurzburg, Chair Commun Networks, Wurzburg, Germany; [Heegaard, Poul E.] Norwegian Univ Sci &amp; Technol, NTNU, Trondheim, Norway; [Skorin-Kapov, Lea] Univ Zagreb, Fac Elect Engn &amp; Comp, Zagreb, Croatia; [Fiedler, Markus] Blekinge Inst Technol, Dept Technol &amp; Aesthet, Karlshamn, Sweden</t>
  </si>
  <si>
    <t xml:space="preserve">University of Wurzburg; Norwegian University of Science &amp; Technology (NTNU); University of Zagreb; Blekinge Institute Technology</t>
  </si>
  <si>
    <t xml:space="preserve">Hossfeld, T (corresponding author), Univ Wurzburg, Chair Commun Networks, Wurzburg, Germany.</t>
  </si>
  <si>
    <t xml:space="preserve">tobias.hossfeld@uni-wuerzburg.de; poul.heegaard@ntnu.no; martin@varela.fi; lea.skorin-kapov@fer.hr; markus.fiedler@bth.se</t>
  </si>
  <si>
    <t xml:space="preserve">Skorin-Kapov, Lea/AAJ-4737-2021</t>
  </si>
  <si>
    <t xml:space="preserve">Heegaard, Poul/0000-0003-0083-5860; Hossfeld, Tobias/0000-0003-0173-595X</t>
  </si>
  <si>
    <t xml:space="preserve">NTNU; Croatian Science Foundation [IP-2019-04-9793]</t>
  </si>
  <si>
    <t xml:space="preserve">NTNU; Croatian Science Foundation</t>
  </si>
  <si>
    <t xml:space="preserve">This work was partly funded by NTNU hosting the Third International Symposium on Quality of Life (QoL-2020) in Trondheim, Norway, in February 2020. L. Skorin-Kapov's work has been supported in part by the Croatian Science Foundation under the project IP-2019-04-9793 (Q-MERSIVE).</t>
  </si>
  <si>
    <t xml:space="preserve">978-1-7281-5684-2</t>
  </si>
  <si>
    <t xml:space="preserve">Computer Science, Software Engineering; Telecommunications</t>
  </si>
  <si>
    <t xml:space="preserve">BQ8ZA</t>
  </si>
  <si>
    <t xml:space="preserve">WOS:000623436400008</t>
  </si>
  <si>
    <t xml:space="preserve">Zhao, L; Pan, YL; Wang, S; Zhang, L; Islam, MS</t>
  </si>
  <si>
    <t xml:space="preserve">Zhao, Lun; Pan, Yunlong; Wang, Sen; Zhang, Liang; Islam, Md Shafiqul</t>
  </si>
  <si>
    <t xml:space="preserve">A Hybrid Crack Detection Approach for Scanning Electron Microscope Image Using Deep Learning Method</t>
  </si>
  <si>
    <t xml:space="preserve">SCANNING</t>
  </si>
  <si>
    <t xml:space="preserve">HIGH-RESOLUTION; SEGMENTATION; SEM; ALLOY</t>
  </si>
  <si>
    <t xml:space="preserve">The scanning electron microscope (SEM) is widely used in the analysis and research of materials, including fracture analysis, microstructure morphology, and nanomaterial analysis. With the rapid development of materials science and computer vision technology, the level of detection technology is constantly improving. In this paper, the deep learning method is used to intelligently identify microcracks in the microscopic morphology of SEM image. A deep learning model based on image level is selected to reduce the interference of other complex microscopic topography, and a detection method with dense continuous bounding boxes suitable for SEM images is proposed. The dense and continuous bounding boxes were used to obtain the local features of the cracks and rotating the bounding boxes to reduce the feature differences between the bounding boxes. Finally, the bounding boxes with filled regression were used to highlight the microcrack detection effect. The results show that the detection accuracy of our approach reached 71.12%, and the highest mIOU reached 64.13%. Also, microcracks in different magnifications and in different backgrounds were detected successfully.</t>
  </si>
  <si>
    <t xml:space="preserve">[Zhao, Lun; Zhang, Liang] Shenzhen Polytech, Inst Intelligent Mfg Technol, Shenzhen 518055, Peoples R China; [Zhao, Lun] Chinese Acad Sci, Shenzhen Inst Adv Technol, Shenzhen 518055, Peoples R China; [Pan, Yunlong; Wang, Sen] Kunming Univ Sci &amp; Technol, Fac Mech &amp; Elect Engn, Kunming 650500, Yunnan, Peoples R China; [Islam, Md Shafiqul] Blekinge Inst Technol, Dept Mech Engn, Fac Engn, S-37179 Karlskrona, Sweden</t>
  </si>
  <si>
    <t xml:space="preserve">Shenzhen Polytechnic University; Chinese Academy of Sciences; Shenzhen Institute of Advanced Technology, CAS; Kunming University of Science &amp; Technology; Blekinge Institute Technology</t>
  </si>
  <si>
    <t xml:space="preserve">Zhang, L (corresponding author), Shenzhen Polytech, Inst Intelligent Mfg Technol, Shenzhen 518055, Peoples R China.;Wang, S (corresponding author), Kunming Univ Sci &amp; Technol, Fac Mech &amp; Elect Engn, Kunming 650500, Yunnan, Peoples R China.</t>
  </si>
  <si>
    <t xml:space="preserve">wangsen0401@126.com; zhangliang@szpt.edu.cn</t>
  </si>
  <si>
    <t xml:space="preserve">PAN, YUN LONG/0000-0002-5194-6299; Wang, Sen/0000-0003-1259-8030; Lun, Zhao/0000-0001-8293-9094; Islam, Md Shafiqul/0000-0002-1162-7023</t>
  </si>
  <si>
    <t xml:space="preserve">0161-0457</t>
  </si>
  <si>
    <t xml:space="preserve">1932-8745</t>
  </si>
  <si>
    <t xml:space="preserve">Scanning</t>
  </si>
  <si>
    <t xml:space="preserve">AUG 10</t>
  </si>
  <si>
    <t xml:space="preserve">10.1155/2021/5558668</t>
  </si>
  <si>
    <t xml:space="preserve">Instruments &amp; Instrumentation; Microscopy</t>
  </si>
  <si>
    <t xml:space="preserve">UD8FC</t>
  </si>
  <si>
    <t xml:space="preserve">WOS:000687437800001</t>
  </si>
  <si>
    <t xml:space="preserve">Xu, JS; Zhao, L; Ren, Y; Li, ZG; Abbas, Z; Zhang, L; Islam, S</t>
  </si>
  <si>
    <t xml:space="preserve">Xu, Jianshu; Zhao, Lun; Ren, Yu; Li, Zhigang; Abbas, Zeshan; Zhang, Lan; Islam, Shafiqul</t>
  </si>
  <si>
    <t xml:space="preserve">LightYOLO: Lightweight model based on YOLOv8n for defect detection of ultrasonically welded wire terminations</t>
  </si>
  <si>
    <t xml:space="preserve">ENGINEERING SCIENCE AND TECHNOLOGY-AN INTERNATIONAL JOURNAL-JESTECH</t>
  </si>
  <si>
    <t xml:space="preserve">Ultrasonic metal welding; Deep learning; Object detection; Lightweight</t>
  </si>
  <si>
    <t xml:space="preserve">Defect inspection of the surface in ultrasonically welded wire terminations is an important inspection procedure to ensure welding quality. However, the detection task of ultrasonic welding defects based on deep learning still faces the challenges of low detection accuracy and slow inference speed. Therefore, to solve the above problems, we propose a fast and effective lightweight detection model based on You Only Look Once v8 (YOLOv8n), named LightYOLO. Specifically, first, to achieve fast feature extraction, a Two-Convolution module with FasterNet block and Efficient multi-scale attention (CTFE) structures is introduced in the backbone network. Secondly, Group-Shuffle Convolution (GSConv) is used to construct the feature fusion structure of the neck, which enhances the fusion efficiency of multi-level features. Finally, an auxiliary head training method is introduced to extract shallow details of the network. To verify the effectiveness of the proposed method, we constructed a surface defect data set of ultrasonic welding wire terminals and conducted a series of experiments. The results of experiments show that the precision of LightYOLO is 93.4%, which is 3.5% higher than YOLOv8n(89.9%). In addition, the model size was reduced to 1/2 of the baseline model. LightYOLO shows the potential for rapid detection on edge computing devices. The source code and dataset for our project is accessible at https://github.com/JianshuXu/LightYOLO.</t>
  </si>
  <si>
    <t xml:space="preserve">[Xu, Jianshu; Zhao, Lun; Ren, Yu; Abbas, Zeshan; Zhang, Lan] Yunnan Open Univ, Sch Mech &amp; Elect Engn, Kunming 650223, Yunnan, Peoples R China; [Xu, Jianshu; Li, Zhigang] Univ Sci &amp; Technol Liaoning, Sch Elect &amp; Informat Engn, Anshan 114051, Peoples R China; [Ren, Yu] Shenzhen Univ, Sch Biomed Engn, Shenzhen 518060, Peoples R China; [Zhao, Lun; Islam, Shafiqul] Blekinge Inst Technol, Dept Mech Engn, S-37179 Karlskrona, Sweden</t>
  </si>
  <si>
    <t xml:space="preserve">University of Science &amp; Technology Liaoning; Shenzhen University; Blekinge Institute Technology</t>
  </si>
  <si>
    <t xml:space="preserve">Zhao, L (corresponding author), Yunnan Open Univ, Sch Mech &amp; Elect Engn, Kunming 650223, Yunnan, Peoples R China.</t>
  </si>
  <si>
    <t xml:space="preserve">JianshuXu@163.com; zhaolun@szpu.edu.cn; renyu2023@email.szu.edu.cn; li7275@163.com; abbasz@szpu.edu.cn; shafiqul.islam@bth.se</t>
  </si>
  <si>
    <t xml:space="preserve">National Natural Science Founda-tion of China [12104324]; Scientific Research Startup Fund for Shenzhen High-Caliber Personnel of SZPU [6022310046K]; SZPU-Newpower Ultrasonic welding R and D [602331009PQ]; Post-doctoral Later-stage Foundation Project of Shenzhen Polytechnic Uni-versity [6023271014K1]</t>
  </si>
  <si>
    <t xml:space="preserve">National Natural Science Founda-tion of China(National Natural Science Foundation of China (NSFC)); Scientific Research Startup Fund for Shenzhen High-Caliber Personnel of SZPU; SZPU-Newpower Ultrasonic welding R and D; Post-doctoral Later-stage Foundation Project of Shenzhen Polytechnic Uni-versity</t>
  </si>
  <si>
    <t xml:space="preserve">This research is supported by National Natural Science Founda-tion of China (Grant No. 12104324) ; Scientific Research Startup Fund for Shenzhen High-Caliber Personnel of SZPU (No. 6022310046K) ; SZPU-Newpower Ultrasonic welding R and D (602331009PQ) ; Post-doctoral Later-stage Foundation Project of Shenzhen Polytechnic Uni-versity (6023271014K1) .</t>
  </si>
  <si>
    <t xml:space="preserve">ELSEVIER - DIVISION REED ELSEVIER INDIA PVT LTD</t>
  </si>
  <si>
    <t xml:space="preserve">17-A/1 MAIN RING ROAD, LAJPAT NAGAR IV, NEW DELHI, 110024, INDIA</t>
  </si>
  <si>
    <t xml:space="preserve">2215-0986</t>
  </si>
  <si>
    <t xml:space="preserve">ENG SCI TECHNOL</t>
  </si>
  <si>
    <t xml:space="preserve">Eng. Sci. Technol.</t>
  </si>
  <si>
    <t xml:space="preserve">10.1016/j.jestch.2024.101896</t>
  </si>
  <si>
    <t xml:space="preserve">N3Y8H</t>
  </si>
  <si>
    <t xml:space="preserve">WOS:001363741500001</t>
  </si>
  <si>
    <t xml:space="preserve">Azhan, NAN; Ikuesan, RA; Abd Razak, S; Kebande, VR</t>
  </si>
  <si>
    <t xml:space="preserve">Azhan, Nor Amira Nor; Ikuesan, Richard Adeyemi; Abd Razak, Shukor; Kebande, Victor R.</t>
  </si>
  <si>
    <t xml:space="preserve">Error Level Analysis Technique for Identifying JPEG Block Unique Signature for Digital Forensic Analysis</t>
  </si>
  <si>
    <t xml:space="preserve">digital forensics; file fragment identification; JPEG fragment; file-carving; error level analysis; JPEG signature</t>
  </si>
  <si>
    <t xml:space="preserve">The popularity of unique image compression features of image files opens an interesting research analysis process, given that several digital forensics cases are related to diverse file types. Of interest has been fragmented file carving and recovery which forms a major aspect of digital forensics research on JPEG files. Whilst there exist several challenges, this paper focuses on the challenge of determining the co-existence of JPEG fragments within various file fragment types. Existing works have exhibited a high false-positive rate, therefore rendering the need for manual validation. This study develops a technique that can identify the unique signature of JPEG 8 x 8 blocks using the Error Level Analysis technique, implemented in MATLAB. The experimental result that was conducted with 21 images of JFIF format with 1008 blocks shows the efficacy of the proposed technique. Specifically, the initial results from the experiment show that JPEG 8 x 8 blocks have unique characteristics which can be leveraged for digital forensics. An investigator could, therefore, search for the unique characteristics to identify a JPEG fragment during a digital investigation process.</t>
  </si>
  <si>
    <t xml:space="preserve">[Azhan, Nor Amira Nor; Abd Razak, Shukor] Univ Teknol Malaysia UTM, Sch Comp, Fac Engn, Skudai 81310, Malaysia; [Ikuesan, Richard Adeyemi] Zayed Univ, Coll Technol Innovat, Dept Comp &amp; Appl Technol, POB 144534, Abu Dhabi, U Arab Emirates; [Kebande, Victor R.] Blekinge Inst Technol, Dept Comp Sci DIDA, S-37179 Karlskrona, Sweden</t>
  </si>
  <si>
    <t xml:space="preserve">Universiti Teknologi Malaysia; Zayed University; Blekinge Institute Technology</t>
  </si>
  <si>
    <t xml:space="preserve">Kebande, VR (corresponding author), Blekinge Inst Technol, Dept Comp Sci DIDA, S-37179 Karlskrona, Sweden.</t>
  </si>
  <si>
    <t xml:space="preserve">noramira.norazhan@gmail.com; richard.ikuesan@zu.ac.ae; shukorar@utm.my; victor.kebande@bth.se</t>
  </si>
  <si>
    <t xml:space="preserve">Ikuesan, Adeyemi/D-2583-2018; razak, shukor/AAN-1035-2020; R. Kebande, Victor/F-3934-2019; abd razak, shukor/F-5651-2011</t>
  </si>
  <si>
    <t xml:space="preserve">R. Kebande, Victor/0000-0003-4071-4596; abd razak, shukor/0000-0002-8824-6069; Ikuesan, Richard Adeyemi/0000-0001-7355-2314</t>
  </si>
  <si>
    <t xml:space="preserve">10.3390/electronics11091468</t>
  </si>
  <si>
    <t xml:space="preserve">1F6FW</t>
  </si>
  <si>
    <t xml:space="preserve">WOS:000795263600001</t>
  </si>
  <si>
    <t xml:space="preserve">Lappi, E; Eklund, JE; Klaesson, J</t>
  </si>
  <si>
    <t xml:space="preserve">Lappi, Emma; Eklund, Johan E.; Klaesson, Johan</t>
  </si>
  <si>
    <t xml:space="preserve">Does education matter for the earnings of former entrepreneurs? Longitudinal evidence using entry and exit dynamics</t>
  </si>
  <si>
    <t xml:space="preserve">JOURNAL OF EVOLUTIONARY ECONOMICS</t>
  </si>
  <si>
    <t xml:space="preserve">Earnings; Entrepreneurship exit; Education; Labor Mobility</t>
  </si>
  <si>
    <t xml:space="preserve">LABOR-MARKET CONSEQUENCES; SELF-EMPLOYMENT; GOOD TIMES; RETURNS; EXPERIENCE; SURVIVAL; HETEROGENEITY; INVESTMENT; WORKERS; FITTEST</t>
  </si>
  <si>
    <t xml:space="preserve">Wage employment is the most commonly observed type of employment after a spell of entrepreneurship. The purpose of this paper is to investigate the effects of having been an entrepreneur on earnings after individuals exit. The question is how the entrepreneurship spell influences their value in the labor market? Based on a theoretical framework and earlier literature, our specific interest lies in how these outcomes interact with education level and the nature of the entrepreneurial venture. To investigate this question, we use longitudinal register data on firms and individuals in Sweden. The empirical strategy builds on matching techniques and estimations of earnings equations in a difference-in-differences framework with heterogenous treatment years. We provide evidence that there exists an earnings penalty when highly educated entrepreneurs return to wage employment. This effect is persistent throughout the time period that we observe. For individuals with lower educational attainment, we find no or weak evidence of a wage penalty. Our results suggest that the wage penalty for highly educated individuals operates through the depreciation of specific specialized skills valuable in wage employment.</t>
  </si>
  <si>
    <t xml:space="preserve">[Lappi, Emma; Klaesson, Johan] Jonkoping Int Business Sch, Ctr Entrepreneurship &amp; Spatial Econ CEnSE, POB 1026, S-55111 Jonkoping, Sweden; [Lappi, Emma; Eklund, Johan E.] Swedish Entrepreneurship Forum, Grevgatan 34,3rd Floor, S-11453 Stockholm, Sweden; [Lappi, Emma] Copenhagen Business Sch, Dept Strategy &amp; Innovat, Kilevej 14A 2nd Floor, DK-2000 Frederiksberg, Denmark; [Eklund, Johan E.] Blekinge Inst Technol, Dept Ind Econ, S-37179 Karlskrona, Sweden; [Klaesson, Johan] Res Inst Ind Econ IFN, Grevgatan 34,2nd Floor, S-10215 Stockholm, Sweden</t>
  </si>
  <si>
    <t xml:space="preserve">Jonkoping University; Copenhagen Business School; Blekinge Institute Technology; Research Institute of Industrial Economics (IFN)</t>
  </si>
  <si>
    <t xml:space="preserve">Lappi, E (corresponding author), Jonkoping Int Business Sch, Ctr Entrepreneurship &amp; Spatial Econ CEnSE, POB 1026, S-55111 Jonkoping, Sweden.;Lappi, E (corresponding author), Swedish Entrepreneurship Forum, Grevgatan 34,3rd Floor, S-11453 Stockholm, Sweden.;Lappi, E (corresponding author), Copenhagen Business Sch, Dept Strategy &amp; Innovat, Kilevej 14A 2nd Floor, DK-2000 Frederiksberg, Denmark.</t>
  </si>
  <si>
    <t xml:space="preserve">el.si@cbs.dk</t>
  </si>
  <si>
    <t xml:space="preserve">Jonkoping University; Marianne and Marcus Wallenberg Foundation; Vinnova</t>
  </si>
  <si>
    <t xml:space="preserve">Jonkoping University; Marianne and Marcus Wallenberg Foundation; Vinnova(Vinnova)</t>
  </si>
  <si>
    <t xml:space="preserve">Open access funding provided by Jonkoping University. Johan Eklund is grateful to the financial support from the Marianne and Marcus Wallenberg Foundation and Vinnova.</t>
  </si>
  <si>
    <t xml:space="preserve">0936-9937</t>
  </si>
  <si>
    <t xml:space="preserve">1432-1386</t>
  </si>
  <si>
    <t xml:space="preserve">J EVOL ECON</t>
  </si>
  <si>
    <t xml:space="preserve">J. Evol. Econ.</t>
  </si>
  <si>
    <t xml:space="preserve">10.1007/s00191-022-00770-x</t>
  </si>
  <si>
    <t xml:space="preserve">3U9CT</t>
  </si>
  <si>
    <t xml:space="preserve">WOS:000786305200001</t>
  </si>
  <si>
    <t xml:space="preserve">Guzman-Parra, J; Barnestein-Fonseca, P; Guerrero-Pertiñez, G; Anderberg, P; Jimenez-Fernandez, L; Valero-Moreno, E; Goodman-Casanova, JM; Cuesta-Vargas, A; Garolera, M; Quintana, M; Garcia-Betances, RI; Lemmens, E; Berglund, J; Mayoral-Cleries, F</t>
  </si>
  <si>
    <t xml:space="preserve">Guzman-Parra, Jose; Barnestein-Fonseca, Pilar; Guerrero-Pertinez, Gloria; Anderberg, Peter; Jimenez-Fernandez, Luis; Valero-Moreno, Esperanza; Marian Goodman-Casanova, Jessica; Cuesta-Vargas, Antonio; Garolera, Maite; Quintana, Maria; Garcia-Betances, Rebeca, I; Lemmens, Evi; Berglund, Johan; Mayoral-Cleries, Fermin</t>
  </si>
  <si>
    <t xml:space="preserve">Attitudes and Use of Information and Communication Technologies in Older Adults With Mild Cognitive Impairment or Early Stages of Dementia and Their Caregivers: Cross-Sectional Study</t>
  </si>
  <si>
    <t xml:space="preserve">aging; mild cognitive impairment; dementia eHealth; information and communication technology; technophilia</t>
  </si>
  <si>
    <t xml:space="preserve">INTERNET USE; HEALTH; PEOPLE; SYMPTOMS; PATTERNS; DEPRESSION; BARRIERS; SCALE; RISK</t>
  </si>
  <si>
    <t xml:space="preserve">Background: Information and communication technologies are promising tools to increase the quality of life of people with dementia or mild cognitive impairment and that of their caregivers. However, there are barriers to their use associated with sociodemographic factors and negative attitudes, as well as inadequate knowledge about technologies. Objective: The aim of this study was to analyze technophilia (attitudes toward new technologies) and the use of smartphones and tablets along with associated factors in people with dementia/mild cognitive impairment and their caregivers. Methods: Data from the first visit of the Support Monitoring and Reminder for Mild Dementia (SMART4MD) randomized multicenter clinical trial were used for this analysis. Data were obtained from two European countries, Spain and Sweden, and from three centers: Consorci Sanitari de Terrassa (Catalonia, Spain), Servicio Andaluz de Salud (Andalusia, Spain), and the Blekinge Institute of Technology (Sweden). Participants with a score between 20 and 28 in the Mini Mental State Examination, with memory problems (for more than 6 months), and who were over the age of 55 years were included in the study, along with their caregivers. The bivariate Chi square and Mann-Whitney tests, and multivariate linear and logistic regression models were used for statistical analysis. Results: A total of 1086 dyads were included (N=2172). Overall, 299 (27.53%) of people with dementia/mild cognitive impairment had a diagnosis of dementia. In addition, 588 (54.14%) of people with dementia/mild cognitive impairment reported using a smartphone almost every day, and 106 (9.76%) used specific apps or software to support their memory. Among the caregivers, 839 (77.26%) used smartphones and tablets almost every day, and 181 (16.67%) used specific apps or software to support their memory. The people with dementia/mild cognitive impairment showed a lower level of technophilia in comparison to that of their caregivers after adjusting for confounders (B=0.074, P=.02) with differences in technology enthusiasm (B=0.360, P&lt;.001), but not in technology anxiety (B=-0.042, P=.37). Technophilia was associated with lower age (B=-0.009, P=.004), male gender (B=-0.160, P&lt;.001), higher education level (P=.01), living arrangement (living with children vs single; B=-2.538, P=.01), country of residence (Sweden vs Spain; B=0.256, P&lt;.001), lower depression (B=-0.046, P&lt;.001), and better health status (B=0.004, P&lt;.001) in people with dementia/mild cognitive impairment. Among caregivers, technophilia was associated with comparable sociodemographic factors (except for living arrangement), along with a lower caregiver burden (B=-0.005, P=.04) and better quality of life (B=0.348, P&lt;.001). Conclusions: Technophilia was associated with a better quality of life and sociodemographic variables in people with dementia/mild cognitive impairment and caregivers, suggesting potential barriers for technological interventions. People with dementia/mild cognitive impairment frequently use smartphones and tablets, but the use of specific apps or software to support memory is limited. Interventions using these technologies are needed to overcome barriers in this population related to sociodemographic characteristics and the lack of enthusiasm for new technologies.</t>
  </si>
  <si>
    <t xml:space="preserve">[Guzman-Parra, Jose; Barnestein-Fonseca, Pilar; Guerrero-Pertinez, Gloria; Jimenez-Fernandez, Luis; Valero-Moreno, Esperanza; Marian Goodman-Casanova, Jessica; Mayoral-Cleries, Fermin] Univ Reg Hosp Malaga, Inst Invest Biomed Malaga, Mental Hlth Dept, Plaza Hosp Civil S-N Hosp Civil 1a, Malaga, Spain; [Anderberg, Peter; Berglund, Johan] Blekinge Inst Technol, Dept Hlth, Karlskrona, Sweden; [Cuesta-Vargas, Antonio] Univ Malaga, Inst Biomed Malaga, Dept Fisioterapia, Malaga, Spain; [Garolera, Maite; Quintana, Maria] Consorci Sanitari Terrassa, Brain Cognit &amp; Behav Clin Res, Barcelona, Spain; [Garcia-Betances, Rebeca, I] Univ Politecn, Life Supporting Technol Grp, Madrid, Spain; [Lemmens, Evi] Univ Coll Leuven Limburg, Genk, Belgium</t>
  </si>
  <si>
    <t xml:space="preserve">Blekinge Institute Technology; Universidad de Malaga; Universidad Politecnica de Madrid</t>
  </si>
  <si>
    <t xml:space="preserve">Guzman-Parra, J (corresponding author), Univ Reg Hosp Malaga, Inst Invest Biomed Malaga, Mental Hlth Dept, Plaza Hosp Civil S-N Hosp Civil 1a, Malaga, Spain.</t>
  </si>
  <si>
    <t xml:space="preserve">jgp00004@hotmail.com</t>
  </si>
  <si>
    <t xml:space="preserve">mayoral, fermin/C-2652-2013; Guzman-Parra, Jose/X-4172-2019; Cuesta-Vargas, Antonio/C-7592-2014; Quintana, Maria/HZJ-7042-2023; Guerrero, Gloria/JSK-6899-2023; Barnestein-Fonseca, Pilar/CAI-9030-2022; Varela-Moreno, Esperanza/HRB-2633-2023; Goodman-Casanova, Jessica/AAI-4290-2021; Sanmartin Berglund, Johan/HGB-0471-2022; Garolera, Maite/A-3109-2015; Garolera, Maite/D-7811-2012; Goodman-Casanova, Jessica Marian/HPF-6725-2023; Anderberg, Peter/B-5541-2012</t>
  </si>
  <si>
    <t xml:space="preserve">Guerrero-Pertinez, Gloria/0000-0002-4097-6628; Cuesta-Vargas, Antonio I/0000-0002-8880-4315; Garolera, Maite/0000-0001-7443-8249; VARELA MORENO, ESPERANZA/0000-0001-8952-0608; Goodman-Casanova, Jessica Marian/0000-0002-8598-594X; Barnestein-Fonseca, Pilar/0000-0003-2767-8017; Guzman-Parra, Jose/0000-0002-1463-6435; Mayoral-Cleries, Fermin/0000-0002-9710-9672; Anderberg, Peter/0000-0001-9870-8477</t>
  </si>
  <si>
    <t xml:space="preserve">The study is supported by a grant from European Commission, Horizon 2020 (code 643399). This work is a collaboration among several members of the SMART4MD consortium. The consortium acknowledges the contributions of members not reaching full ICMJE standards for authorship in this manuscript: Karen Hayden, Tony Fenton, Jufen Zhang, Selim Cellek, Claire Preston, Tomer Regev, and Stephen Moore (Anglia Ruskin University, UK); Dominique Manhaeve and Jessie Schrijvers (University Colleges Leuven-Limburg, Belgium); Professor Maria Teresa Arredondo Waldmeyer (Universidad Politecnica de Madrid, UPM, Spain); Ifty Ahmed (Healthbit Ltd, UK); Michal Stefan, Karel Huk, and Jan Kubalik (DEX innovation Center, Czech Republic); Lisa Seeman (Athena ICT, Israel); and Carmen Sanmartin, Line Christensson, Eric Picullel, Joakim Frogren, and Doris Bohman (Blekinge Institute of Technology, Sweden).</t>
  </si>
  <si>
    <t xml:space="preserve">e17253</t>
  </si>
  <si>
    <t xml:space="preserve">10.2196/17253</t>
  </si>
  <si>
    <t xml:space="preserve">LT4IJ</t>
  </si>
  <si>
    <t xml:space="preserve">WOS:000537035500001</t>
  </si>
  <si>
    <t xml:space="preserve">Bodduluri, KC; Kurti, A; Palma, F; Jusufi, I; Löwenadler, H</t>
  </si>
  <si>
    <t xml:space="preserve">Stefanidis, K; Systa, K; Matera, M; Heil, S; Kondylakis, H; Quintarelli, E</t>
  </si>
  <si>
    <t xml:space="preserve">Bodduluri, Kailash Chowdary; Kurti, Arianit; Palma, Francis; Jusufi, Ilir; Lowenadler, Henrik</t>
  </si>
  <si>
    <t xml:space="preserve">Dynamic Hybrid Recommendation System for E-Commerce: Overcoming Challenges of Sparse Data and Anonymity</t>
  </si>
  <si>
    <t xml:space="preserve">WEB ENGINEERING, ICWE 2024</t>
  </si>
  <si>
    <t xml:space="preserve">24th International Conference Web Engineering (ICWE)</t>
  </si>
  <si>
    <t xml:space="preserve">JUN 17-20, 2024</t>
  </si>
  <si>
    <t xml:space="preserve">Hybrid Recommendation System; E-Commerce; Epsilon-Greedy; Sparse Data</t>
  </si>
  <si>
    <t xml:space="preserve">In the evolving landscape of e-commerce, personalizing user experience through recommendation systems has become a way to boost user satisfaction and engagement. However, small-scale e-commerce platforms struggle with significant challenges, including data sparsity and user anonymity. These issues make it hard to effectively implement recommendation systems, resulting in difficulty in recommending the right products to users. This study introduces an innovative Hybrid Recommendation System (HRS) to address challenges in e-commerce personalization caused by data sparsity and user anonymity. By blending multiple dimensions of the data into one unified system for producing recommendations, this system represents a notable advancement in web engineering for achieving personalized user experiences in the context of limited data. This research emphasizes the significance of innovative and tech-driven solutions in transforming small-scale e-commerce platforms, providing direction for future research and development in the field.</t>
  </si>
  <si>
    <t xml:space="preserve">[Bodduluri, Kailash Chowdary; Kurti, Arianit] Linnaeus Univ, Univ Platsen 1, S-35252 Vaxjo, Sweden; [Palma, Francis] Univ New Brunswick, Fac Comp Sci, SE AI Lab, Fredericton, NB, Canada; [Jusufi, Ilir] Blekinge Inst Technol, S-37179 Karlskrona, Sweden; [Lowenadler, Henrik] Enode, S-35230 Vaxjo, Sweden</t>
  </si>
  <si>
    <t xml:space="preserve">Bodduluri, KC (corresponding author), Linnaeus Univ, Univ Platsen 1, S-35252 Vaxjo, Sweden.</t>
  </si>
  <si>
    <t xml:space="preserve">Kurti, Arianit/0000-0003-0512-6350; Jusufi, Ilir/0000-0001-6745-4398</t>
  </si>
  <si>
    <t xml:space="preserve">978-3-031-62361-5; 978-3-031-62362-2</t>
  </si>
  <si>
    <t xml:space="preserve">10.1007/978-3-031-62362-2_40</t>
  </si>
  <si>
    <t xml:space="preserve">Computer Science, Artificial Intelligence; Computer Science, Information Systems; Computer Science, Theory &amp; Methods; Telecommunications</t>
  </si>
  <si>
    <t xml:space="preserve">BX3IF</t>
  </si>
  <si>
    <t xml:space="preserve">WOS:001280356300040</t>
  </si>
  <si>
    <t xml:space="preserve">Mendes, F; Mendes, E; Salleh, N; Oivo, M</t>
  </si>
  <si>
    <t xml:space="preserve">Mendes, Fabiana; Mendes, Emilia; Salleh, Norsaremah; Oivo, Markku</t>
  </si>
  <si>
    <t xml:space="preserve">Insights on the relationship between decision-making style and personality in software engineering</t>
  </si>
  <si>
    <t xml:space="preserve">Decision-making style; Personality; Software engineering</t>
  </si>
  <si>
    <t xml:space="preserve">PROJECT-MANAGEMENT</t>
  </si>
  <si>
    <t xml:space="preserve">Context: Software development involves many activities, and decision making is an essential one. Various factors can impact a decision-making process, and by understanding such factors, one can improve the process. Since people are the ones making decisions, some human-related aspects are amongst those influencing factors. One such aspect is the decision maker's personality. Objective: This research investigates the relationship between decision-making style and personality within the context of software project development. Method: We conducted a survey in a population of Brazilian software engineers to gather data on their personality and decision-making style. Results: Data from 63 participants was gathered and resulted in the identification of seven statistically significant correlations between decision-making style and personality (personality factor and personality facets). Furthermore, we built a regression model in which decision-making style (DMS) was the response variable and personality factors the independent variables. The backward elimination procedure selected only agreeableness to explain 4.2% of DMS variation. The model accuracy was evaluated and deemed good enough. Regarding the moderation effect of demographic variables (age, educational level, experience, and role) on the relationship between DMS and Agreeableness, the analysis showed that only software engineers' role has such effect. Conclusion: This paper contributes toward understanding the relationship between DMS and personality. Results show that the personality variable agreeableness can explain the variation in decision-making style. Furthermore, someone's role in a software development project can impact the strength of the relationship between DMS and agreeableness.</t>
  </si>
  <si>
    <t xml:space="preserve">[Mendes, Fabiana; Oivo, Markku] Univ Oulu, Fac Informat Technol &amp; Elect Engn, POB 3000, Oulu 90014, Finland; [Mendes, Fabiana] Univ Brasilia, Fac UnB Gama, BR-72444240 Brasilia, DF, Brazil; [Mendes, Emilia] Blekinge Inst Technol, Dept Comp Sci, Karlskrona, Sweden; [Salleh, Norsaremah] IIUM, Dept Comp Sci, POB 10, Kuala Lumpur 50728, Malaysia</t>
  </si>
  <si>
    <t xml:space="preserve">University of Oulu; Universidade de Brasilia; Blekinge Institute Technology; International Islamic University Malaysia</t>
  </si>
  <si>
    <t xml:space="preserve">Mendes, F (corresponding author), Univ Brasilia, Fac UnB Gama, BR-72444240 Brasilia, DF, Brazil.</t>
  </si>
  <si>
    <t xml:space="preserve">fabiana.mendes@oulu.fi; emilia.mendes@bth.se; norsaremah@iium.edu.my; markku.oivo@oulu.fi</t>
  </si>
  <si>
    <t xml:space="preserve">Mendes, Maria/B-4207-2015; Salleh, Norsaremah/AFU-5066-2022; Mendes, Fabiana/AAH-5593-2019</t>
  </si>
  <si>
    <t xml:space="preserve">Oivo, Markku/0000-0002-1698-2323; Mendes, Emilia/0000-0003-0449-5322; Mendes, Fabiana/0000-0002-1724-2044; Salleh, Norsaremah/0000-0001-5625-7014</t>
  </si>
  <si>
    <t xml:space="preserve">10.1016/j.infsof.2021.106586</t>
  </si>
  <si>
    <t xml:space="preserve">SJ2MZ</t>
  </si>
  <si>
    <t xml:space="preserve">WOS:000655363900007</t>
  </si>
  <si>
    <t xml:space="preserve">Ketzer, D; Schlyter, P; Weinberger, N; Rösch, C</t>
  </si>
  <si>
    <t xml:space="preserve">Ketzer, Daniel; Schlyter, Peter; Weinberger, Nora; Roesch, Christine</t>
  </si>
  <si>
    <t xml:space="preserve">Driving and restraining forces for the implementation of the Agrophotovoltaics system technology - A system dynamics analysis</t>
  </si>
  <si>
    <t xml:space="preserve">JOURNAL OF ENVIRONMENTAL MANAGEMENT</t>
  </si>
  <si>
    <t xml:space="preserve">Renewable energies; Participation; Causal loop diagrams; System dynamics; Agrophotovoltaics</t>
  </si>
  <si>
    <t xml:space="preserve">PHOTOVOLTAIC PANELS; SOCIAL ACCEPTANCE; PARTIAL SHADE; WIND ENERGY; PRODUCTIVITY; FRAMEWORK; LAND</t>
  </si>
  <si>
    <t xml:space="preserve">The innovative Agrophotovoltaics (APV) system technology combines agricultural biomass and solar power production on the same site and aims at reducing the conflict between food and power production. Unrelated to this benefit, this technology may impact the landscape negatively and could thus be subject to public opposition and/or restraining frameworks. The presented study offers a System Dynamics (SD) approach, through Causal Loop Diagrams (CLDs) models, based on the results of citizen workshops, literature research, and expert discussions on the technology. A comprehensive analysis of the driving and restraining forces for the implementation of APV-technology and expected or potential impacts reveals influential factors. Hence, this SD approach identifies bottlenecks and conflicting objectives in the technology implementation that need to be further addressed. A key finding is that successful APV-projects would require stakeholder involvement to achieve greater local acceptance. When it comes to production on agricultural land, APV-systems may drive the land use efficiency to up to 186 percent when the PV-panels serve for protection against heat stress. On the other hand, altered precipitation patterns and impacts on agricultural cultivation and, especially, the landscape caused by the technical system, may restrain the application of APV. Finally, system design factors and operator modes are amongst the criteria that may influence the local acceptance in society, farmers' motivation for APV and economic factors for the market launch of APV.</t>
  </si>
  <si>
    <t xml:space="preserve">[Ketzer, Daniel; Weinberger, Nora; Roesch, Christine] Karlsruhe Inst Technol KIT, Inst Technol Assessment &amp; Syst Anal ITAS, POB 3640, D-76021 Karlsruhe, Germany; [Ketzer, Daniel] Stockholm Univ, Dept Phys Geog, Stockholm, Sweden; [Schlyter, Peter] Blekinge Inst Technol BTH, Dept Spatial Planning, Karlskrona, Sweden</t>
  </si>
  <si>
    <t xml:space="preserve">Helmholtz Association; Karlsruhe Institute of Technology; Stockholm University; Blekinge Institute Technology</t>
  </si>
  <si>
    <t xml:space="preserve">Ketzer, D (corresponding author), Karlsruhe Inst Technol KIT, Inst Technol Assessment &amp; Syst Anal ITAS, POB 3640, D-76021 Karlsruhe, Germany.</t>
  </si>
  <si>
    <t xml:space="preserve">daniel.ketzer@kit.edu</t>
  </si>
  <si>
    <t xml:space="preserve">; Weinberger, Nora/G-2526-2019</t>
  </si>
  <si>
    <t xml:space="preserve">Ketzer, Daniel/0000-0002-8115-2000; Weinberger, Nora/0000-0002-1148-7470; Schlyter, Peter/0009-0009-1522-4692; Christine, Roesch/0000-0003-3908-1218</t>
  </si>
  <si>
    <t xml:space="preserve">Federal German Ministry of Education and Research (BMBF) under the 'Research for Sustainability' program [033L098ANQ3]; Stockholm University; Karlsruhe Institute of Technology</t>
  </si>
  <si>
    <t xml:space="preserve">Federal German Ministry of Education and Research (BMBF) under the 'Research for Sustainability' program(Federal Ministry of Education &amp; Research (BMBF)); Stockholm University; Karlsruhe Institute of Technology(Helmholtz Association)</t>
  </si>
  <si>
    <t xml:space="preserve">The authors gratefully acknowledge financial support by the Federal German Ministry of Education and Research (BMBF) [grant number 033L098ANQ3] under the 'Research for Sustainability' program, otherwise known by the German acronym FONA. The PhD-position was funded by Stockholm University and Karlsruhe Institute of Technology.</t>
  </si>
  <si>
    <t xml:space="preserve">ACADEMIC PRESS LTD- ELSEVIER SCIENCE LTD</t>
  </si>
  <si>
    <t xml:space="preserve">24-28 OVAL RD, LONDON NW1 7DX, ENGLAND</t>
  </si>
  <si>
    <t xml:space="preserve">0301-4797</t>
  </si>
  <si>
    <t xml:space="preserve">1095-8630</t>
  </si>
  <si>
    <t xml:space="preserve">J ENVIRON MANAGE</t>
  </si>
  <si>
    <t xml:space="preserve">J. Environ. Manage.</t>
  </si>
  <si>
    <t xml:space="preserve">10.1016/j.jenvman.2020.110864</t>
  </si>
  <si>
    <t xml:space="preserve">MT4DT</t>
  </si>
  <si>
    <t xml:space="preserve">WOS:000554920300052</t>
  </si>
  <si>
    <t xml:space="preserve">Hong, WL; Abbas, Z; Zhao, L; Xu, L; Ye, K; Saboor, HA; Islam, MS</t>
  </si>
  <si>
    <t xml:space="preserve">Hong, Wanlu; Abbas, Zeshan; Zhao, Lun; Xu, Long; Ye, Kai; Saboor, Hafiz Abdul; Islam, Md Shafiqul</t>
  </si>
  <si>
    <t xml:space="preserve">Low-temperature mechanical properties of slotted and normal terminals using ultrasonic wire harness welding</t>
  </si>
  <si>
    <t xml:space="preserve">WELDING IN THE WORLD</t>
  </si>
  <si>
    <t xml:space="preserve">Ultrasonic metal welding; Wire harness; T2 copper terminals; Low-temperature mechanical properties; Microscopic analysis</t>
  </si>
  <si>
    <t xml:space="preserve">The ultrasonic metal welding technology is widely promoted as a new connection approach in the field of current energy vehicle wiring harness connection. In the present investigation, low-temperature mechanical properties of slotted and normal terminals were studied. The EVR 25 mm2 copper wires are selected for welding using ultrasonic wire harness welding with two different structures of T2 copper terminals. Then, a more stable joint structure under the same welding parameters is investigated through tensile tests at - 30 degrees C and 25 degrees C. The results showed that the ST joint has higher static mechanical properties than the NT joint at 25 degrees C and the peak load of the joint is increased. In addition, the results investigated that the performance and welded interface texture of ST joints is reliable than NT joints under 25 degrees C, the maximum joint load is increased by 12.93% under - 30 degrees C, the joint energy absorption is increased by 87.58%, and ST joint stability is better and safer in actual production applications. At the same welding parameters, the ST joints have less neck contraction at 25 degrees C and the ligamentous sockets are smaller and densely welded surfaces. The failures of ST joints and NT joints are investigated under the same welding parameters. The energy loss during the ST joint welding process is smaller and the welding effect is better and advantageous. The SEM findings showed that the failure of the ST joint and the NT joint is different and the tensile strength of the ST joint is greater under the same low-temperature conditions.</t>
  </si>
  <si>
    <t xml:space="preserve">[Hong, Wanlu; Abbas, Zeshan; Zhao, Lun; Ye, Kai] Shenzhen Polytech Univ, Inst Ultrason Technol, Shenzhen 518055, Peoples R China; [Hong, Wanlu; Xu, Long] China Jiliang Univ, Hangzhou 310018, Zhejiang, Peoples R China; [Saboor, Hafiz Abdul] Shanghai Univ, Sch Mechatron Engn &amp; Automat, Shanghai 200444, Peoples R China; [Islam, Md Shafiqul] Blekinge Inst Technol, Dept Mech Engn, S-37179 Karlskrona, Sweden</t>
  </si>
  <si>
    <t xml:space="preserve">Shenzhen Polytechnic University; China Jiliang University; Shanghai University; Blekinge Institute Technology</t>
  </si>
  <si>
    <t xml:space="preserve">Scientific Research Startup Fund for Shenzhen High-Caliber Personnel of SZPT [6022310046K, 6024330003K]; National Natural Science Foundation of China [12104324]; Post-doctoral Later-stage Foundation Project of Shenzhen Polytechnic [6023271014K, 6021211014K]</t>
  </si>
  <si>
    <t xml:space="preserve">Scientific Research Startup Fund for Shenzhen High-Caliber Personnel of SZPT; National Natural Science Foundation of China(National Natural Science Foundation of China (NSFC)); Post-doctoral Later-stage Foundation Project of Shenzhen Polytechnic</t>
  </si>
  <si>
    <t xml:space="preserve">This research is supported by Scientific Research Startup Fund for Shenzhen High-Caliber Personnel of SZPT (No.6022310046K;No.6024330003K); National Natural Science Foundation of China (Grant No. 12104324); Post-doctoral Later-stage Foundation Project of Shenzhen Polytechnicy6023271014K;6021211014K).</t>
  </si>
  <si>
    <t xml:space="preserve">0043-2288</t>
  </si>
  <si>
    <t xml:space="preserve">1878-6669</t>
  </si>
  <si>
    <t xml:space="preserve">WELD WORLD</t>
  </si>
  <si>
    <t xml:space="preserve">Weld. World</t>
  </si>
  <si>
    <t xml:space="preserve">10.1007/s40194-024-01792-8</t>
  </si>
  <si>
    <t xml:space="preserve">Metallurgy &amp; Metallurgical Engineering</t>
  </si>
  <si>
    <t xml:space="preserve">YO9Q1</t>
  </si>
  <si>
    <t xml:space="preserve">WOS:001243867300002</t>
  </si>
  <si>
    <t xml:space="preserve">Eriksson, R; Nicander, J; Johansson, M; Mattsson, CM</t>
  </si>
  <si>
    <t xml:space="preserve">Baca, A; Exel, J; Lames, M; James, N; Parmar, N</t>
  </si>
  <si>
    <t xml:space="preserve">Eriksson, Rikard; Nicander, Johan; Johansson, Moa; Mattsson, C. Mikael</t>
  </si>
  <si>
    <t xml:space="preserve">Generating Weekly Training Plans in the Style of a Professional Swimming Coach Using Genetic Algorithms and Random Trees</t>
  </si>
  <si>
    <t xml:space="preserve">9TH INTERNATIONAL PERFORMANCE ANALYSIS WORKSHOP AND CONFERENCE &amp; 5TH IACSS CONFERENCE</t>
  </si>
  <si>
    <t xml:space="preserve">9th International Performance Analysis Workshop and Conference / 5th International Conference of Computer Science in Sports Conference (PACSS)</t>
  </si>
  <si>
    <t xml:space="preserve">AUG 30-31, 2021</t>
  </si>
  <si>
    <t xml:space="preserve">Univ Vienna, ELECTR NETWORK</t>
  </si>
  <si>
    <t xml:space="preserve">Int Soc Performance Anal Sport,Int Assoc Comp Sci Sport,Univ Vienna, Ctr Sport Sci &amp; Univ Sports</t>
  </si>
  <si>
    <t xml:space="preserve">Univ Vienna</t>
  </si>
  <si>
    <t xml:space="preserve">Swimming; Training planning; Training plan generation; Machine learning; Exercise intelligence</t>
  </si>
  <si>
    <t xml:space="preserve">PERFORMANCE; TAPER</t>
  </si>
  <si>
    <t xml:space="preserve">Optimal training planning is a combination of art and science, a time-consuming task that requires expert knowledge. As such, it is often exclusively available to top tier athletes. Many athletes outside the elite do not have access or cannot afford to hire a professional coach to help them create their training plans. In this study, we investigate if it is possible to use the historical training logs of elite swimmers to construct detailed weekly training plans similar to how a specific professional coach would have planned. We present a software system based on machine learning and genetic algorithms for generation of detailed weekly training plans based on desired volume, intensity, training frequency, and athlete characteristics. The system schedules training sessions from a library extracted from training plans written by a professional swimming coach. Results show that the proposed system is able to generate highly accurate training plans in terms of training load, types of sessions, and structure, compared to the human coach.</t>
  </si>
  <si>
    <t xml:space="preserve">[Eriksson, Rikard; Nicander, Johan; Johansson, Moa] Chalmers Univ Technol, Dept Comp Sci &amp; Engn, Gothenburg, Sweden; [Mattsson, C. Mikael] Karolinska Inst, Dept Physiol &amp; Pharmacol, Stockholm, Sweden; [Mattsson, C. Mikael] Blekinge Inst Technol, Hlth &amp; Sports Technol Initiat, Karlskrona, Sweden; [Mattsson, C. Mikael] Silicon Valley Exercise Analyt Svexa, Menlo Pk, CA USA</t>
  </si>
  <si>
    <t xml:space="preserve">Chalmers University of Technology; Karolinska Institutet; Blekinge Institute Technology</t>
  </si>
  <si>
    <t xml:space="preserve">Eriksson, R (corresponding author), Chalmers Univ Technol, Dept Comp Sci &amp; Engn, Gothenburg, Sweden.</t>
  </si>
  <si>
    <t xml:space="preserve">rikarderiksson@outlook.com; johan.nicander@hotmail.com</t>
  </si>
  <si>
    <t xml:space="preserve">978-3-030-99333-7; 978-3-030-99332-0</t>
  </si>
  <si>
    <t xml:space="preserve">10.1007/978-3-030-99333-7_9</t>
  </si>
  <si>
    <t xml:space="preserve">Computer Science, Artificial Intelligence; Computer Science, Interdisciplinary Applications; Sport Sciences</t>
  </si>
  <si>
    <t xml:space="preserve">Computer Science; Sport Sciences</t>
  </si>
  <si>
    <t xml:space="preserve">BU1UZ</t>
  </si>
  <si>
    <t xml:space="preserve">WOS:000881662200009</t>
  </si>
  <si>
    <t xml:space="preserve">Pont, MB; Haupt, P; Berg, P; Alstäde, V; Heyman, A</t>
  </si>
  <si>
    <t xml:space="preserve">Pont, Meta Berghauser; Haupt, Per; Berg, Per; Alstade, Victoria; Heyman, Axel</t>
  </si>
  <si>
    <t xml:space="preserve">Systematic review and comparison of densification effects and planning motivations</t>
  </si>
  <si>
    <t xml:space="preserve">BUILDINGS &amp; CITIES</t>
  </si>
  <si>
    <t xml:space="preserve">cities; densification; planners; sustainable urban development; systematic review; urban density; urban planning; Sweden</t>
  </si>
  <si>
    <t xml:space="preserve">BUILT ENVIRONMENT; URBAN FORM; MODE CHOICE; CO2 EMISSIONS; LAND-USE; RESIDENTIAL DENSITY; ENERGY-CONSUMPTION; COMMUNITY DESIGN; TRAVEL; SPRAWL</t>
  </si>
  <si>
    <t xml:space="preserve">Do higher urban densities contribute to more sustainable cities and communities? This paper examines the effectiveness of higher density (as a means) for achieving sustainable urban development (the goal) following three lines of enquiry. First, a systematic review of the scientific literature (n = 229 peer -reviewed empirical studies) is presented on the effects of urban density. Second, the motivations for increasing urban density are studied in a systematic review of Swedish planning practices based on the comprehensive urban plans in 59 municipalities. Third, these two studies are compared to find matches and mismatches between evidence and practice. Although positive effects exist for public infrastructure, transport and economics, there are also considerable negative environmental, social and health impacts. This creates a challenging task for urban planners to assess the trade-offs involving densification and accommodate current urbanisation rates. Some topics are found to be over -represented in research (transport effects), seldom discussed in practice (environmental impact), and misaligned when comparing motives and evidence (social impact). Furthermore, for some topics, urban density thresholds are found that are important because they may explain some of the divergences in the results between studies.</t>
  </si>
  <si>
    <t xml:space="preserve">[Pont, Meta Berghauser] Chalmers Univ Technol, Dept Architecture &amp; Civil Engn, Gothenburg, Sweden; [Haupt, Per] Blekinge Inst Technol, Karlskrona, Sweden; [Berg, Per] Swedish Univ Agr Sci, Dept Urban &amp; Rural Dev, Div Landscape Architecture, Uppsala, Sweden; [Alstade, Victoria; Heyman, Axel] Chalmers Univ Technol, Gothenburg, Sweden</t>
  </si>
  <si>
    <t xml:space="preserve">Chalmers University of Technology; Blekinge Institute Technology; Swedish University of Agricultural Sciences; Chalmers University of Technology</t>
  </si>
  <si>
    <t xml:space="preserve">Pont, MB (corresponding author), Chalmers Univ Technol, Dept Architecture &amp; Civil Engn, Gothenburg, Sweden.</t>
  </si>
  <si>
    <t xml:space="preserve">meta.berghauserpont@chalmers.se</t>
  </si>
  <si>
    <t xml:space="preserve">Berghauser Pont, Meta/0000-0002-4000-9064; Heyman, Axel/0000-0002-2211-9729</t>
  </si>
  <si>
    <t xml:space="preserve">Swedish Research Council Formas [2018-00281, 2019-00226]; Formas [2018-00281, 2019-00226] Funding Source: Formas; Vinnova [2019-00226] Funding Source: Vinnova</t>
  </si>
  <si>
    <t xml:space="preserve">Swedish Research Council Formas(Swedish Research Council Formas); Formas(Swedish Research Council Formas); Vinnova(Vinnova)</t>
  </si>
  <si>
    <t xml:space="preserve">The project was funded by The Swedish Research Council Formas (grant number 2018-00281, 'Density and Sustainability: Norms in Practice and the Results of Research' and grant number 2019-00226, 'Smart Density. A Web -Application to Compare Density Trade -Offs') .</t>
  </si>
  <si>
    <t xml:space="preserve">UBIQUITY PRESS LTD</t>
  </si>
  <si>
    <t xml:space="preserve">Unit 3N, 6 Osborn Street, LONDON, E1 6TD, ENGLAND</t>
  </si>
  <si>
    <t xml:space="preserve">2632-6655</t>
  </si>
  <si>
    <t xml:space="preserve">BUILD CITIES</t>
  </si>
  <si>
    <t xml:space="preserve">Build. Cities</t>
  </si>
  <si>
    <t xml:space="preserve">10.5334/bc.125</t>
  </si>
  <si>
    <t xml:space="preserve">Construction &amp; Building Technology</t>
  </si>
  <si>
    <t xml:space="preserve">OP1I9</t>
  </si>
  <si>
    <t xml:space="preserve">WOS:001208384900008</t>
  </si>
  <si>
    <t xml:space="preserve">Kebande, VR; Awad, AI</t>
  </si>
  <si>
    <t xml:space="preserve">Kebande, Victor R.; Awad, Ali Ismail</t>
  </si>
  <si>
    <t xml:space="preserve">Industrial Internet of Things Ecosystems Security and Digital Forensics: Achievements, Open Challenges, and Future Directions</t>
  </si>
  <si>
    <t xml:space="preserve">ACM COMPUTING SURVEYS</t>
  </si>
  <si>
    <t xml:space="preserve">Industrial internet of things (IIoT); ecosystem; security; digital forensics</t>
  </si>
  <si>
    <t xml:space="preserve">IOT ECOSYSTEM; LOW-ENERGY; BLOCKCHAIN; OPPORTUNITIES; TAXONOMY; PRIVACY; SYSTEM; SCHEME; ISSUES</t>
  </si>
  <si>
    <t xml:space="preserve">The Industrial Internet of Things (IIoT) has been positioned as a key pillar of the Industry 4.0 revolution, which is projected to continue accelerating and realizing digital transformations. The IIoT is becoming indispensable, providing the means through which modern communication is conducted across industries and offering improved efficiency, scalability, and robustness. However, the structural and dynamic complexity introduced by the continuous integration of the IIoT has widened the scope for cyber-threats, as the processes and data generated by this integration are susceptible and vulnerable to attacks. This article presents an in-depth analysis of the state-of-the-art in the IIoT ecosystem from security and digital forensics perspectives. The dimensions of this study are twofold: first, we present an overview of the cutting-edge security of IIoT ecosystems, and second, we survey the literature on digital forensics. The key achievements, open challenges, and future directions are identified in each case. The challenges and directions for future studies that we identify will provide important guidance for cybersecurity researchers and practitioners.</t>
  </si>
  <si>
    <t xml:space="preserve">[Kebande, Victor R.] Blekinge Inst Technol, Dept Comp Sci DIDA, Secure Distributed Syst SDS Grp, S-37179 Karlskrona, Sweden; [Awad, Ali Ismail] United Arab Emirates Univ, Coll Informat Technol, POB 15551, Al Ain, U Arab Emirates; [Awad, Ali Ismail] Al Azhar Univ, Fac Engn, POB 83513, Qena, Egypt</t>
  </si>
  <si>
    <t xml:space="preserve">Blekinge Institute Technology; United Arab Emirates University; Egyptian Knowledge Bank (EKB); Al Azhar University</t>
  </si>
  <si>
    <t xml:space="preserve">Awad, AI (corresponding author), United Arab Emirates Univ, Coll Informat Technol, POB 15551, Al Ain, U Arab Emirates.;Awad, AI (corresponding author), Al Azhar Univ, Fac Engn, POB 83513, Qena, Egypt.</t>
  </si>
  <si>
    <t xml:space="preserve">victor.kebande@bth.se; ali.awad@uaeu.ac.ae</t>
  </si>
  <si>
    <t xml:space="preserve">Kebande, Victor/AAE-4855-2019; Awad, Ali Ismail/AEO-1297-2022; R. Kebande, Victor/F-3934-2019</t>
  </si>
  <si>
    <t xml:space="preserve">R. Kebande, Victor/0000-0003-4071-4596; Awad, Ali Ismail/0000-0002-3800-0757</t>
  </si>
  <si>
    <t xml:space="preserve">United Arab Emirates University and Zayed University (UAEU-ZU), United Arab Emirates [12R141]; Blekinge Institute of Technology (BTH), Sweden; Swedish Knowledge Foundation through the Project Symphony-Supply-and-Demand-Based Service Exposure Using Robust Distributed Concepts [20190111]</t>
  </si>
  <si>
    <t xml:space="preserve">United Arab Emirates University and Zayed University (UAEU-ZU), United Arab Emirates; Blekinge Institute of Technology (BTH), Sweden; Swedish Knowledge Foundation through the Project Symphony-Supply-and-Demand-Based Service Exposure Using Robust Distributed Concepts</t>
  </si>
  <si>
    <t xml:space="preserve">This work was in part supported by a joint research grant between United Arab Emirates University and Zayed University (UAEU-ZU), United Arab Emirates, under Grant Number 12R141; in part supported by the Blekinge Institute of Technology (BTH), Sweden; and in part supported by the Swedish Knowledge Foundation through the Project Symphony-Supply-and-Demand-Based Service Exposure Using Robust Distributed Concepts, under Grant Number 20190111.</t>
  </si>
  <si>
    <t xml:space="preserve">0360-0300</t>
  </si>
  <si>
    <t xml:space="preserve">1557-7341</t>
  </si>
  <si>
    <t xml:space="preserve">ACM COMPUT SURV</t>
  </si>
  <si>
    <t xml:space="preserve">ACM Comput. Surv.</t>
  </si>
  <si>
    <t xml:space="preserve">10.1145/3635030</t>
  </si>
  <si>
    <t xml:space="preserve">IT3Q7</t>
  </si>
  <si>
    <t xml:space="preserve">WOS:001168549500024</t>
  </si>
  <si>
    <t xml:space="preserve">Hoffmann, M; Mendez, D; Fagerholm, F; Luckhardt, A</t>
  </si>
  <si>
    <t xml:space="preserve">Hoffmann, Marco; Mendez, Daniel; Fagerholm, Fabian; Luckhardt, Anton</t>
  </si>
  <si>
    <t xml:space="preserve">The Human Side of Software Engineering Teams: An Investigation of Contemporary Challenges</t>
  </si>
  <si>
    <t xml:space="preserve">Software engineering; human challenges; virtual teams; human values; diversity; survey research</t>
  </si>
  <si>
    <t xml:space="preserve">LANGUAGE DIFFERENCES; DIVERSITY</t>
  </si>
  <si>
    <t xml:space="preserve">Context: There have been numerous recent calls for research on the human side of software engineering and its impact on various factors such as productivity, developer happiness and project success. An analysis of which challenges in software engineering teams are most frequent is still missing. As teams are more international, it is more frequent that their members have different human values as well as different communication habits. Additionally, virtual team setups (working geographically separated, remote communication using digital tools and frequently changing team members) are increasingly prevalent. Objective: We aim to provide a starting point for a theory about contemporary human challenges in teams and their causes in software engineering. To do so, we look to establish a reusable set of challenges and start out by investigating the effect of team virtualization. Virtual teams often use digital communication and consist of members with different nationalities that may have more divergent human values due to cultural differences compared to single nationality teams. Method: We designed a survey instrument and asked respondents to assess the frequency and criticality of a set of challenges, separated in context &amp; rdquo;within teams &amp; rdquo; as well as &amp; rdquo;between teams and clients &amp; rdquo;, compiled from previous empirical work, blog posts, and pilot survey feedback. For the team challenges, we asked if mitigation measures were already in place to tackle the challenge. Respondents were also asked to provide information about their team setup. The survey included the Personal Value Questionnaire to measure Schwartz human values. Finally, respondents were asked if there were additional challenges at their workplace. The survey was first piloted and then distributed to professionals working in software engineering teams via social networking sites and personal business networks. Result: In this article, we report on the results obtained from 192 respondents. We present a set of challenges that takes the survey feedback into account and introduce two categories of challenges; &amp; rdquo;interpersonal &amp; rdquo; and &amp; rdquo;intrapersonal &amp; rdquo;. We found no evidence for links between human values and challenges. We found some significant links between the number of distinct nationalities in a team and certain challenges, with less frequent and critical challenges occurring if 2-3 different nationalities were present compared to a team having members of just one nationality or more than three. A higher degree of virtualization seems to increase the frequency of some human challenges, which warrants further research about how to improve working processes when teams work from remote or in a distributed fashion. Conclusion: We present a set of human challenges in software engineering that can be used for further research on causes and mitigation measures, which serves as our starting point for a theory about causes of contemporary human challenges in software engineering teams. We report on evidence that a higher degree of virtualization of teams leads to an increase of certain challenges. This warrants further research to gather more evidence and test countermeasures, such as whether the employment of virtual reality software incorporating facial expressions and movements can help establish a less detached way of communication.</t>
  </si>
  <si>
    <t xml:space="preserve">[Hoffmann, Marco] QualityMinds GmbH, Nurnberg, Germany; [Mendez, Daniel; Fagerholm, Fabian] Blekinge Inst Technol, Karlskrona, Sweden; [Mendez, Daniel; Luckhardt, Anton] Fortiss GmbH, D-80805 Munich, Germany; [Fagerholm, Fabian] Aalto Univ, Espoo 02150, Finland; [Luckhardt, Anton] Tech Univ Munich, Munich, Germany</t>
  </si>
  <si>
    <t xml:space="preserve">Blekinge Institute Technology; fortiss; Aalto University; Technical University of Munich</t>
  </si>
  <si>
    <t xml:space="preserve">Hoffmann, M (corresponding author), QualityMinds GmbH, Nurnberg, Germany.</t>
  </si>
  <si>
    <t xml:space="preserve">marco@acureus.com; daniel.mendez@bth.se; fabian.fagerholm@aalto.fi; luckhardt@fortiss.org</t>
  </si>
  <si>
    <t xml:space="preserve">Mendez Fernandez, Daniel/0000-0003-0619-6027; Fagerholm, Fabian/0000-0002-7298-3021</t>
  </si>
  <si>
    <t xml:space="preserve">10.1109/TSE.2022.3148539</t>
  </si>
  <si>
    <t xml:space="preserve">L1HD8</t>
  </si>
  <si>
    <t xml:space="preserve">WOS:001020827200011</t>
  </si>
  <si>
    <t xml:space="preserve">Enlöf, P; Romare, C; Jildenstål, P; Ringdal, M; Skär, L</t>
  </si>
  <si>
    <t xml:space="preserve">Enlof, Per; Romare, Charlotte; Jildenstal, Pether; Ringdal, Mona; Skar, Lisa</t>
  </si>
  <si>
    <t xml:space="preserve">Smart Glasses for Anesthesia Care: Initial Focus Group Interviews with Specialized Health Care Professionals</t>
  </si>
  <si>
    <t xml:space="preserve">JOURNAL OF PERIANESTHESIA NURSING</t>
  </si>
  <si>
    <t xml:space="preserve">anesthesia; smart glasses; physiological monitoring; patient safety; qualitative research</t>
  </si>
  <si>
    <t xml:space="preserve">QUALITATIVE CONTENT-ANALYSIS; INTENSIVE-CARE; SAFETY</t>
  </si>
  <si>
    <t xml:space="preserve">Purpose: Smart glasses are a kind of wearable technology that gives users sustained, hands-free access to data and can transmit and receive information wirelessly. Earlier studies have suggested that smart glasses have the potential to improve patient safety in anesthesia care. Research regarding health care professionals' views of the potential use of smart glasses in anesthesia care is limited. The purpose of this study was to describe anesthesia health care professionals' views of smart glasses before clinical use. Design: A qualitative descriptive study. Methods: Data were collected from focus group interviews and analyzed using thematic content analysis. Findings: Three categories of participants' views of smart glasses were created during the analysis: views of integrating smart glasses in clinical setting; views of customized functionality of smart glasses; and views of being a user of smart glasses. One theme, striving for situational control, was identified in the analysis. Conclusions: Smart glasses were seen as a tool that can impact and improve access to patient-related information, and aid health care professionals in their struggle to gain situational control during anesthesia care. These are factors related to increased patient safety. (c) 2020 American Society of PeriAnesthesia Nurses. Published by Elsevier Inc. This is an open access article under the CC BY license (http://creativecommons.org/licenses/by/4.0/).</t>
  </si>
  <si>
    <t xml:space="preserve">[Enlof, Per; Jildenstal, Pether; Ringdal, Mona] Univ Gothenburg, Inst Hlth &amp; Care Sci, Sahlgrenska Acad, Gothenburg, Sweden; [Enlof, Per; Jildenstal, Pether] Sahlgrens Univ Hosp, Dept Anesthesiol Surg &amp; Intens Care, Gothenburg, Sweden; [Romare, Charlotte; Skar, Lisa] Blekinge Inst Technol, Dept Hlth, Karlskrona, Sweden; [Romare, Charlotte] Reg Blekinge, Intens Care Unit, Karlskrona, Sweden</t>
  </si>
  <si>
    <t xml:space="preserve">University of Gothenburg; Sahlgrenska University Hospital; Blekinge Institute Technology</t>
  </si>
  <si>
    <t xml:space="preserve">Enlöf, P (corresponding author), Univ Gothenburg, Inst Hlth &amp; Care Sci, Gothenburg, Sweden.</t>
  </si>
  <si>
    <t xml:space="preserve">per.enlof@vgregion.se</t>
  </si>
  <si>
    <t xml:space="preserve">Romare, Charlotte/0000-0003-3348-4307</t>
  </si>
  <si>
    <t xml:space="preserve">Sahlgrenska University Hospital (Department of Anesthesia and Intensive Care), Gothenburg; Scientific Council at Region Blekinge in Southern Sweden</t>
  </si>
  <si>
    <t xml:space="preserve">This research was funded by Sahlgrenska University Hospital (Department of Anesthesia and Intensive Care) , Gothenburg, and the Scientific Council at Region Blekinge in Southern Sweden. The funders have not influenced any part of the study.</t>
  </si>
  <si>
    <t xml:space="preserve">1089-9472</t>
  </si>
  <si>
    <t xml:space="preserve">1532-8473</t>
  </si>
  <si>
    <t xml:space="preserve">J PERIANESTH NURS</t>
  </si>
  <si>
    <t xml:space="preserve">J. PeriAnesthesia Nurs.</t>
  </si>
  <si>
    <t xml:space="preserve">10.1016/j.jopan.2020.06.019</t>
  </si>
  <si>
    <t xml:space="preserve">RG3NX</t>
  </si>
  <si>
    <t xml:space="preserve">WOS:000635450700010</t>
  </si>
  <si>
    <t xml:space="preserve">Andersson, M; Larsson, JP; Öner, Ö</t>
  </si>
  <si>
    <t xml:space="preserve">Andersson, Martin; Larsson, Johan P.; Oner, Ozge</t>
  </si>
  <si>
    <t xml:space="preserve">Ethnic enclaves and self-employment among Middle Eastern immigrants in Sweden: ethnic capital or enclave size?</t>
  </si>
  <si>
    <t xml:space="preserve">ethnic enclave; segregation; immigrant entrepreneurship; self-employment; labour market sorting; integration</t>
  </si>
  <si>
    <t xml:space="preserve">We employ geocoded data to explore the effects of ethnic enclaves in Swedish cities on the propensity of Middle Eastern immigrants to transcend from having no employment to self-employment. We demonstrate a robust tendency for immigrants to leave non-employment for self-employment if many co-ethnic peers in the enclave are business owners, while we observe weak effects emanating from business owners in other groups. Net of these effects, overall enclave size, measured by the local concentration of co-ethnic peers, has a negative influence on the propensity for a non-employed immigrant to become self-employed.</t>
  </si>
  <si>
    <t xml:space="preserve">[Andersson, Martin] Blekinge Inst Technol BTH, Dept Ind Econ, Swedish Entrepreneurship Forum, Res Inst Ind Econ IFN, Stockholm, Sweden; [Larsson, Johan P.; Oner, Ozge] Univ Cambridge, Dept Land Econ, Cambridge, England; [Larsson, Johan P.; Oner, Ozge] Ctr Entrepreneurship &amp; Spatial Econ, Jonkoping, Sweden; [Oner, Ozge] Res Inst Ind Econ, Stockholm, Sweden</t>
  </si>
  <si>
    <t xml:space="preserve">Blekinge Institute Technology; Research Institute of Industrial Economics (IFN); University of Cambridge; Research Institute of Industrial Economics (IFN)</t>
  </si>
  <si>
    <t xml:space="preserve">Öner, Ö (corresponding author), Univ Cambridge, Dept Land Econ, Cambridge, England.;Öner, Ö (corresponding author), Ctr Entrepreneurship &amp; Spatial Econ, Jonkoping, Sweden.;Öner, Ö (corresponding author), Res Inst Ind Econ, Stockholm, Sweden.</t>
  </si>
  <si>
    <t xml:space="preserve">martin.andersson@bth.se; jpl66@cam.ac.uk; oo263@cam.ac.uk</t>
  </si>
  <si>
    <t xml:space="preserve">Oner, Ozge/0000-0001-9590-8019; Larsson, Johan P./0000-0001-7432-7442; Andersson, Martin/0000-0002-0302-6244</t>
  </si>
  <si>
    <t xml:space="preserve">APR 3</t>
  </si>
  <si>
    <t xml:space="preserve">10.1080/00343404.2020.1839638</t>
  </si>
  <si>
    <t xml:space="preserve">DEC 2020</t>
  </si>
  <si>
    <t xml:space="preserve">RF5XG</t>
  </si>
  <si>
    <t xml:space="preserve">WOS:000596643900001</t>
  </si>
  <si>
    <t xml:space="preserve">Abbas, Z; Deng, JX; Zhao, L; Islam, MS</t>
  </si>
  <si>
    <t xml:space="preserve">Abbas, Zeshan; Deng, Jianxiong; Zhao, Lun; Islam, Md Shafiqul</t>
  </si>
  <si>
    <t xml:space="preserve">Surface-conformed approach for mechanical property analysis using ultrasonic welding of dissimilar metals</t>
  </si>
  <si>
    <t xml:space="preserve">Ultrasonic welding process; Machined patterns; Fractographic analysis; SEM-EDS analysis; Dissimilar metals Al/Cu</t>
  </si>
  <si>
    <t xml:space="preserve">ALUMINUM; DEFORMATION; PERFORMANCE; FATIGUE; JOINTS</t>
  </si>
  <si>
    <t xml:space="preserve">In this paper, dissimilar aluminum (Al) and copper (Cu) metals were joined together using ultrasonic metal welding (USMW), a solid-state welding technology. From the perspective of increasing the base metal welding contact area, the Cu/Al mating surface was innovatively prepared and ultrasonically welded. A comprehensive analysis was carried out on the forming quality, welding process temperature, interface structure, and mechanical properties of the welded joint. Defect-free and squeezed welds were successfully achieved by machining novel patterns especially C4-2. The results indicated that the reference joint can withstand higher loads, but its failure mode is very unstable. Failure may occur at welded interface and on the aluminum plate which is not good for actual production applications. Welded strength of reference joint was 4493 N, and the welded strength of C4-2 joint was 3691 N. However, microscopic analysis discovered that the welded joint internal morphology in C4-2 was more stable and hardest. C4-2 joint has successfully achieved higher tensile strength and stability under failure displacement of 38% which is higher than C4-1 joint. All welded joint failures occurred on aluminum plate, indicating that the joint strength is higher than that of bottom plate. This is attributed to unique structural design of chiseled joint and lesser thickness. SEM-EDS results investigated that the C4-2 joint can transfer more energy to area under welding head which provides welded joint with robust diffusion capacity. The transition layer has a higher thickness while the energy transferred to area away from welding head was smaller. Thickness of transition layer is significantly reduced and reference joint has similar diffusion characteristics. Conversely, the thickness of the transition layer at the corresponding position is smaller than that of pattern morphology. This is due to overall smaller thickness of the pattern joint which is more conducive to the transfer of welding energy. The surface-conformed approach and comprehensive temperature analysis provide a new understanding of USMW in dissimilar welded metals.</t>
  </si>
  <si>
    <t xml:space="preserve">[Abbas, Zeshan; Deng, Jianxiong; Zhao, Lun] Shenzhen Polytech Univ, Inst Ultrason Technol, Shenzhen 518055, Peoples R China; [Abbas, Zeshan] Chinese Acad Sci, Shenzhen Inst Adv Technol, Shenzhen 518055, Peoples R China; [Islam, Md Shafiqul] Blekinge Inst Technol, Dept Mech Engn, S-37179 Karlskrona, Sweden; [Deng, Jianxiong] Guizhou Univ, Sch Mech Engn, Guiyang 550025, Peoples R China</t>
  </si>
  <si>
    <t xml:space="preserve">Shenzhen Polytechnic University; Chinese Academy of Sciences; Shenzhen Institute of Advanced Technology, CAS; Blekinge Institute Technology; Guizhou University</t>
  </si>
  <si>
    <t xml:space="preserve">National Natural Science Foundation of China [12104324]; Postdoctoral Science Foundation of China [2021M703392]; Scientific Research Startup Fund for Shenzhen High-Caliber Personnel of SZPT [6022310046 K]; Postdoctoral Startup Fund of Shenzhen Polytechnic University [6021330001 K, 6022331008 K]</t>
  </si>
  <si>
    <t xml:space="preserve">This research is supported by the National Natural Science Foundation of China (grant no. 12104324); Postdoctoral Science Foundation of China (No. 2021M703392); Scientific Research Startup Fund for Shenzhen High-Caliber Personnel of SZPT (No. 6022310046 K); and Postdoctoral Startup Fund of Shenzhen Polytechnic University (No. 6021330001 K and No. 6022331008 K).</t>
  </si>
  <si>
    <t xml:space="preserve">7-8</t>
  </si>
  <si>
    <t xml:space="preserve">10.1007/s00170-024-13538-3</t>
  </si>
  <si>
    <t xml:space="preserve">QA3B4</t>
  </si>
  <si>
    <t xml:space="preserve">WOS:001200396100001</t>
  </si>
  <si>
    <t xml:space="preserve">Bennin, KE; Tahir, A; MacDonell, SG; Börstler, J</t>
  </si>
  <si>
    <t xml:space="preserve">Bennin, Kwabena Ebo; Tahir, Amjed; MacDonell, Stephen G.; Borstler, Jurgen</t>
  </si>
  <si>
    <t xml:space="preserve">An empirical study on the effectiveness of data resampling approaches for cross-project software defect prediction</t>
  </si>
  <si>
    <t xml:space="preserve">class imbalance; defect prediction; software metrics; software quality</t>
  </si>
  <si>
    <t xml:space="preserve">STATIC CODE ATTRIBUTES; SMOTE; MODEL; SIZE</t>
  </si>
  <si>
    <t xml:space="preserve">Cross-project defect prediction (CPDP), where data from different software projects are used to predict defects, has been proposed as a way to provide data for software projects that lack historical data. Evaluations of CPDP models using the Nearest Neighbour (NN) Filter approach have shown promising results in recent studies. A key challenge with defect-prediction datasets is class imbalance, that is, highly skewed datasets where non-buggy modules dominate the buggy modules. In the past, data resampling approaches have been applied to within-projects defect prediction models to help alleviate the negative effects of class imbalance in the datasets. To address the class imbalance issue in CPDP, the authors assess the impact of data resampling approaches on CPDP models after the NN Filter is applied. The impact on prediction performance of five oversampling approaches (MAHAKIL, SMOTE, Borderline-SMOTE, Random Oversampling and ADASYN) and three undersampling approaches (Random Undersampling, Tomek Links and One-sided selection) is investigated and results are compared to approaches without data resampling. The authors examined six defect prediction models on 34 datasets extracted from the PROMISE repository. The authors' results show that there is a significant positive effect of data resampling on CPDP performance, suggesting that software quality teams and researchers should consider applying data resampling approaches for improved recall (pd) and g-measure prediction performance. However, if the goal is to improve precision and reduce false alarm (pf) then data resampling approaches should be avoided.</t>
  </si>
  <si>
    <t xml:space="preserve">[Bennin, Kwabena Ebo] Wageningen Univ &amp; Res, Informat Technol, Wageningen, Netherlands; [Tahir, Amjed] Massey Univ, Palmerston North, New Zealand; [MacDonell, Stephen G.] Univ Otago, Dunedin, New Zealand; [MacDonell, Stephen G.] Auckland Univ Technol, Dunedin, New Zealand; [Borstler, Jurgen] Blekinge Inst Technol, Karlskrona, Sweden</t>
  </si>
  <si>
    <t xml:space="preserve">Wageningen University &amp; Research; Massey University; University of Otago; Blekinge Institute Technology</t>
  </si>
  <si>
    <t xml:space="preserve">Börstler, Jürgen/IWE-4001-2023; MacDonell, Stephen/AAI-1579-2019</t>
  </si>
  <si>
    <t xml:space="preserve">Tahir, Amjed/0000-0001-9454-1366; Borstler, Jurgen/0000-0003-0639-4234; Bennin, Kwabena/0000-0001-9140-9271</t>
  </si>
  <si>
    <t xml:space="preserve">10.1049/sfw2.12052</t>
  </si>
  <si>
    <t xml:space="preserve">ZV5YM</t>
  </si>
  <si>
    <t xml:space="preserve">WOS:000723085500001</t>
  </si>
  <si>
    <t xml:space="preserve">Galuszka, J; Martin, E; Nkurunziza, A; Oginga, JA; Senyagwa, J; Teko, E; Lah, O</t>
  </si>
  <si>
    <t xml:space="preserve">Galuszka, Jakub; Martin, Emilie; Nkurunziza, Alphonse; Achieng' Oginga, Judith; Senyagwa, Jacqueline; Teko, Edmund; Lah, Oliver</t>
  </si>
  <si>
    <t xml:space="preserve">East Africa's Policy and Stakeholder Integration of Informal Operators in Electric Mobility Transitions-Kigali, Nairobi, Kisumu and Dar es Salaam</t>
  </si>
  <si>
    <t xml:space="preserve">electric mobility; paratransit; informality; transportation; East Africa</t>
  </si>
  <si>
    <t xml:space="preserve">TRANSPORT; AGENDA; CITIES; STATE; CITY</t>
  </si>
  <si>
    <t xml:space="preserve">Electric mobility is beginning to enter East African cities. This paper aims to investigate what policy-level solutions and stakeholder constellations are established in the context of electric mobility (e-mobility) in Dar es Salaam, Kigali, Kisumu and Nairobi and in which ways they attempt to tackle the implementation of electric mobility solutions. The study employs two key methods including content analysis of policy and programmatic documents and interviews based on a purposive sampling approach with stakeholders involved in mobility transitions. The study findings point out that in spite of the growing number of policies (specifically in Rwanda and Kenya) and on-the-ground developments, a set of financial and technical barriers persists. These include high upfront investment costs in vehicles and infrastructure, as well as perceived lack of competitiveness with fossil fuel vehicles that constrain the uptake of e-mobility initiatives. The study further indicates that transport operators and their representative associations are less recognized as major players in the transition, far behind new e-mobility players (start-ups) and public authorities. This study concludes by identifying current gaps that need to be tackled by policymakers and stakeholders in order to implement inclusive electric mobility in East African cities, considering modalities that include transport providers and address their financial constraints.</t>
  </si>
  <si>
    <t xml:space="preserve">[Galuszka, Jakub; Lah, Oliver] Tech Univ Berlin, Habitat Unit, D-10623 Berlin, Germany; [Martin, Emilie; Senyagwa, Jacqueline; Teko, Edmund; Lah, Oliver] Urban Elect Mobil Initiat UEMI, UEMI Africa Living Labs, D-10437 Berlin, Germany; [Nkurunziza, Alphonse] Univ Rwanda, Coll Sci &amp; Technol, Ctr Excellence Transport Planning Engn &amp; Logist, POB 3900, Kigali, Rwanda; [Achieng' Oginga, Judith] Blekinge Inst Technol, Swedish Sch Planning, Spatial Planning Dept, S-37141 Karlskrona, Sweden; [Lah, Oliver] Wuppertal Inst Climate Environm &amp; Energy, Mobil &amp; Int Cooperat, D-10178 Berlin, Germany</t>
  </si>
  <si>
    <t xml:space="preserve">Technical University of Berlin; University of Rwanda; Blekinge Institute Technology</t>
  </si>
  <si>
    <t xml:space="preserve">Galuszka, J; Lah, O (corresponding author), Tech Univ Berlin, Habitat Unit, D-10623 Berlin, Germany.;Lah, O (corresponding author), Urban Elect Mobil Initiat UEMI, UEMI Africa Living Labs, D-10437 Berlin, Germany.;Lah, O (corresponding author), Wuppertal Inst Climate Environm &amp; Energy, Mobil &amp; Int Cooperat, D-10178 Berlin, Germany.</t>
  </si>
  <si>
    <t xml:space="preserve">jakub.galuszka@tu-berlin.de; emilie.martin@uemi.net; nzizaalphonse@gmail.com; judithachieng.oginga@bth.se; jacqueline.senyagwa@uemi.net; edmund.teko@uemi.net; oliver.lah@wupperinst.org</t>
  </si>
  <si>
    <t xml:space="preserve">Galuszka, Jakub/JBJ-4647-2023</t>
  </si>
  <si>
    <t xml:space="preserve">Galuszka, Jakub/0000-0002-4741-6682; Lah, Oliver/0000-0001-7038-2487; Nkurunziza, Alphonse/0000-0001-5074-0996</t>
  </si>
  <si>
    <t xml:space="preserve">SOLUTIONSplus project from the European Union [875041]; UN-Habitat through the Urban Change Makers program</t>
  </si>
  <si>
    <t xml:space="preserve">SOLUTIONSplus project from the European Union; UN-Habitat through the Urban Change Makers program</t>
  </si>
  <si>
    <t xml:space="preserve">The preparation of the article was supported by the SOLUTIONSplus project, which has received funding from the European Union's Horizon 2020 research and innovation program under grant agreement No 875041 as well as UN-Habitat through the Urban Change Makers program.</t>
  </si>
  <si>
    <t xml:space="preserve">10.3390/su13041703</t>
  </si>
  <si>
    <t xml:space="preserve">QQ9ES</t>
  </si>
  <si>
    <t xml:space="preserve">WOS:000624821100001</t>
  </si>
  <si>
    <t xml:space="preserve">Finne, N; Eriksson, J; Voigt, T; Suciu, G; Sachian, MA; Ko, J; Keipour, H</t>
  </si>
  <si>
    <t xml:space="preserve">Finne, Niclas; Eriksson, Joakim; Voigt, Thiemo; Suciu, George; Sachian, Mari-Anais; Ko, JeongGil; Keipour, Hossein</t>
  </si>
  <si>
    <t xml:space="preserve">Multi-Trace: Multi-level Data Trace Generation with the Cooja Simulator</t>
  </si>
  <si>
    <t xml:space="preserve">17TH ANNUAL INTERNATIONAL CONFERENCE ON DISTRIBUTED COMPUTING IN SENSOR SYSTEMS (DCOSS 2021)</t>
  </si>
  <si>
    <t xml:space="preserve">IEEE International Conference on Distributed Computing in Sensor Systems</t>
  </si>
  <si>
    <t xml:space="preserve">17th Annual IEEE International Conference on Distributed Computing in Sensor Systems (IEEE DCOSS)</t>
  </si>
  <si>
    <t xml:space="preserve">JUL 14-16, 2021</t>
  </si>
  <si>
    <t xml:space="preserve">IEEE Comp Soc,IEEE</t>
  </si>
  <si>
    <t xml:space="preserve">INTRUSION DETECTION SYSTEM</t>
  </si>
  <si>
    <t xml:space="preserve">Wireless low-power, multi-hop networks are exposed to numerous attacks also due to their resource-constraints. While there has been a lot of work on intrusion detection systems for such networks, most of these studies have considered only a few topologies, scenarios and attacks. One of the reasons for this shortcoming is the lack of sufficient data traces that are required to train many machine learning algorithms. In contrast to other wireless networks, multi-hop networks do not contain one entity that can capture all the traffic which makes it more difficult to acquire such traces. In this paper we present Multi-Trace. Multi-Trace extends the Cooja simulator with multi-level tracing facilities that enable data logging at different levels while maintaining a global time. We discuss the opportunities that traces generated by Multi-Trace enable for researchers interested in input for their machine learning algorithms. We present experiments that show the efficiency with which Multi-Trace generates traces. We expect Multi-Trace to be a useful tool for the research community.</t>
  </si>
  <si>
    <t xml:space="preserve">[Finne, Niclas; Eriksson, Joakim; Voigt, Thiemo; Keipour, Hossein] Res Inst Sweden RISE, Gothenburg, Sweden; [Voigt, Thiemo] Uppsala Univ, Uppsala, Sweden; [Suciu, George; Sachian, Mari-Anais] BEIA, Res Dept, Bucharest, Romania; [Ko, JeongGil] Yonsei Univ, Seoul, South Korea; [Keipour, Hossein] Blekinge Inst Technol, Karlskrona, Sweden</t>
  </si>
  <si>
    <t xml:space="preserve">RISE Research Institutes of Sweden; Uppsala University; Yonsei University; Blekinge Institute Technology</t>
  </si>
  <si>
    <t xml:space="preserve">Finne, N (corresponding author), Res Inst Sweden RISE, Gothenburg, Sweden.</t>
  </si>
  <si>
    <t xml:space="preserve">Ko, JeongGil/CAF-8134-2022; Suciu, George/G-9070-2014</t>
  </si>
  <si>
    <t xml:space="preserve">ITEA 3 project STACK - Swedish Innovation Agency VINNOVA; Korean Ministry of Trade, Industry and Energy/Korea Institute for Advancement of Technology through the International Cooperative RD program [P0016150]</t>
  </si>
  <si>
    <t xml:space="preserve">ITEA 3 project STACK - Swedish Innovation Agency VINNOVA; Korean Ministry of Trade, Industry and Energy/Korea Institute for Advancement of Technology through the International Cooperative RD program</t>
  </si>
  <si>
    <t xml:space="preserve">This work was supported by the ITEA 3 project STACK funded by the Swedish Innovation Agency VINNOVA and by the Korean Ministry of Trade, Industry and Energy/Korea Institute for Advancement of Technology through the International Cooperative R&amp;D program (Project No. P0016150).</t>
  </si>
  <si>
    <t xml:space="preserve">2325-2936</t>
  </si>
  <si>
    <t xml:space="preserve">978-1-6654-3929-9</t>
  </si>
  <si>
    <t xml:space="preserve">IEEE INT CONF DISTR</t>
  </si>
  <si>
    <t xml:space="preserve">10.1109/DCOSS52077.2021.00068</t>
  </si>
  <si>
    <t xml:space="preserve">Computer Science, Hardware &amp; Architecture; Computer Science, Information Systems; Computer Science, Theory &amp; Methods; Engineering, Electrical &amp; Electronic; Remote Sensing</t>
  </si>
  <si>
    <t xml:space="preserve">Computer Science; Engineering; Remote Sensing</t>
  </si>
  <si>
    <t xml:space="preserve">BT0BG</t>
  </si>
  <si>
    <t xml:space="preserve">WOS:000786417600055</t>
  </si>
  <si>
    <t xml:space="preserve">Karlsson, C; Rickardsson, J; Wincent, J</t>
  </si>
  <si>
    <t xml:space="preserve">Karlsson, Charlie; Rickardsson, Jonna; Wincent, Joakim</t>
  </si>
  <si>
    <t xml:space="preserve">Diversity, innovation and entrepreneurship: where are we and where should we go in future studies?</t>
  </si>
  <si>
    <t xml:space="preserve">Economics of spatial diversity; Diversity; Innovation; Entrepreneurship; Regional development</t>
  </si>
  <si>
    <t xml:space="preserve">CULTURAL-DIVERSITY; GEOGRAPHIC CONCENTRATION; REGIONAL-DEVELOPMENT; ABSORPTIVE-CAPACITY; KNOWLEDGE DIVERSITY; BUSINESS FORMATION; URBAN DIVERSITY; NETWORKS; PERFORMANCE; INDUSTRY</t>
  </si>
  <si>
    <t xml:space="preserve">In this paper, we review and comment upon the development of the literature on diversity, innovation, and entrepreneurship. In an overview of previous studies and various strands of literatures, we outline and argue that to better understand the intricate dynamic relationships between diversity, innovation, entrepreneurship, and regional development there is a strong need to further develop the economics of spatial diversity. We further argue that this development may benefit from combining various literatures based upon sound economic micro-foundations, to develop a more absolute understanding of diversity and fulfill the need of more clear mechanisms for future empirical testing. Obviously, this is important both from a research point of view and in order to provide policymakers with a powerful set of analytical tools. We call for more analytical work and more high-quality empirical studies. With a set of papers, we believe this special issue to provide a contribution in this direction.</t>
  </si>
  <si>
    <t xml:space="preserve">[Karlsson, Charlie] Blekinge Inst Technol, Jonkoping Int Business Sch, Karlskrona, Sweden; [Rickardsson, Jonna] Jonkoping Int Business Sch, Jonkoping, Sweden; [Wincent, Joakim] Hanken Sch Econ, Helsinki, Finland; [Wincent, Joakim] Univ St Gallen, St Gallen, Switzerland</t>
  </si>
  <si>
    <t xml:space="preserve">Blekinge Institute Technology; Jonkoping University; Jonkoping University; Hanken School of Economics; University of St Gallen</t>
  </si>
  <si>
    <t xml:space="preserve">Karlsson, C (corresponding author), Blekinge Inst Technol, Jonkoping Int Business Sch, Karlskrona, Sweden.</t>
  </si>
  <si>
    <t xml:space="preserve">charlie.karlsson@ju.se</t>
  </si>
  <si>
    <t xml:space="preserve">Wincent, Joakim/LTF-6002-2024; Karlsson, Charlie/JQP-0947-2023; Rickardsson, Jonna/JKH-5589-2023</t>
  </si>
  <si>
    <t xml:space="preserve">Wincent, Joakim/0000-0002-8770-8874; Rickardsson, Jonna/0000-0002-2473-7280; Winncent, Joakim/0000-0002-3135-5571</t>
  </si>
  <si>
    <t xml:space="preserve">10.1007/s11187-019-00267-1</t>
  </si>
  <si>
    <t xml:space="preserve">WOS:000492318100001</t>
  </si>
  <si>
    <t xml:space="preserve">Christiansen, L; Berglund, JS; Anderberg, P; Cellek, S; Zhang, JF; Lemmens, E; Garolera, M; Mayoral-Cleries, F; Skär, L</t>
  </si>
  <si>
    <t xml:space="preserve">Christiansen, Line; Sanmartin Berglund, Johan; Anderberg, Peter; Cellek, Selim; Zhang, Jufen; Lemmens, Evi; Garolera, Maite; Mayoral-Cleries, Fermin; Skar, Lisa</t>
  </si>
  <si>
    <t xml:space="preserve">Associations Between Mobile Health Technology use and Self-rated Quality of Life: A Cross-sectional Study on Older Adults with Cognitive Impairment</t>
  </si>
  <si>
    <t xml:space="preserve">GERONTOLOGY AND GERIATRIC MEDICINE</t>
  </si>
  <si>
    <t xml:space="preserve">aging; cognitive impairment; gerontechnology; mobile health; quality of life</t>
  </si>
  <si>
    <t xml:space="preserve">MINI-MENTAL-STATE; DEMENTIA; INTERNET; PEOPLE</t>
  </si>
  <si>
    <t xml:space="preserve">Background: Quality of life (QoL) is affected even at early stages in older adults with cognitive impairment. The use of mobile health (mHealth) technology can offer support in daily life and improve the physical and mental health of older adults. However, a clarification of how mHealth technology can be used to support the QoL of older adults with cognitive impairment is needed. Objective: To investigate factors affecting mHealth technology use in relation to self-rated QoL among older adults with cognitive impairment. Methods: A cross-sectional research design was used to analyse mHealth technology use and QoL in 1,082 older participants. Baseline data were used from a multi-centered randomized controlled trial including QoL, measured by the Quality of Life in Alzheimer's Disease (QoL-AD) Scale, as the outcome variable. Data were analyzed using logistic regression models. Results: Having moderately or high technical skills in using mHealth technology and using the internet via mHealth technology on a daily or weekly basis was associated with good to excellent QoL in older adults with cognitive impairment. Conclusions: The variation in technical skills and internet use among the participants can be interpreted as an obstacle for mHealth technology to support QoL.</t>
  </si>
  <si>
    <t xml:space="preserve">[Christiansen, Line; Sanmartin Berglund, Johan; Anderberg, Peter; Skar, Lisa] Blekinge Inst Technol, Karlskrona, Sweden; [Anderberg, Peter] Univ Skovde, Skovde, Sweden; [Cellek, Selim; Zhang, Jufen] Anglia Ruskin Univ, Bishop Hall Lane, Chelmsford, England; [Lemmens, Evi] Univ Coll Leuven Limburg, Genk, Belgium; [Garolera, Maite] Consorci Sanitari Terrassa, Brain Cognit &amp; Behav Clin Res, Barcelona, Spain; [Mayoral-Cleries, Fermin] Reg Univ Hosp Malaga, Malaga, Spain</t>
  </si>
  <si>
    <t xml:space="preserve">Blekinge Institute Technology; University of Skovde; Anglia Ruskin University</t>
  </si>
  <si>
    <t xml:space="preserve">Christiansen, L (corresponding author), Blekinge Inst Technol, Dept Hlth, Valhallavagen 1, SE-37179 Karlskrona, Sweden.</t>
  </si>
  <si>
    <t xml:space="preserve">line.christiansen@bth.se</t>
  </si>
  <si>
    <t xml:space="preserve">Christiansen, Line/AFL-6657-2022; Sanmartin Berglund, Johan/HGB-0471-2022; Garolera, Maite/A-3109-2015; Cellek, Selim/S-3767-2019; mayoral, fermin/C-2652-2013; Anderberg, Peter/B-5541-2012; Garolera, Maite/D-7811-2012</t>
  </si>
  <si>
    <t xml:space="preserve">Anderberg, Peter/0000-0001-9870-8477; Garolera, Maite/0000-0001-7443-8249; Mayoral-Cleries, Fermin/0000-0002-9710-9672; Cellek, Selim/0000-0002-4856-285X</t>
  </si>
  <si>
    <t xml:space="preserve">Blekinge Institute of Technology and the Support, Monitoring and Reminder Technology for Mild Dementia (SMART4MD) project by European Commission Horizon 2020 Research and Innovation Programme [643399]; H2020 Societal Challenges Programme [643399] Funding Source: H2020 Societal Challenges Programme</t>
  </si>
  <si>
    <t xml:space="preserve">Blekinge Institute of Technology and the Support, Monitoring and Reminder Technology for Mild Dementia (SMART4MD) project by European Commission Horizon 2020 Research and Innovation Programme; H2020 Societal Challenges Programme(Horizon 2020European Union (EU)H2020 Societal Challenges Programme)</t>
  </si>
  <si>
    <t xml:space="preserve">The author(s) disclosed receipt of the following financial support for the research, authorship, and/or publication of this article: This work was supported by Blekinge Institute of Technology and the Support, Monitoring and Reminder Technology for Mild Dementia (SMART4MD) project, which is financially supported by the European Commission Horizon 2020 Research and Innovation Programme [Grant No. 643399].</t>
  </si>
  <si>
    <t xml:space="preserve">2333-7214</t>
  </si>
  <si>
    <t xml:space="preserve">GERONTOL GERIATR MED</t>
  </si>
  <si>
    <t xml:space="preserve">Gerontol. Geriatr. Med.</t>
  </si>
  <si>
    <t xml:space="preserve">10.1177/23337214211018924</t>
  </si>
  <si>
    <t xml:space="preserve">SK7NV</t>
  </si>
  <si>
    <t xml:space="preserve">WOS:000656404000001</t>
  </si>
  <si>
    <t xml:space="preserve">Sarwatt, DS; Kulwa, F; Ding, JG; Ning, HS</t>
  </si>
  <si>
    <t xml:space="preserve">Sarwatt, Doreen Sebastian; Kulwa, Frank; Ding, Jianguo; Ning, Huansheng</t>
  </si>
  <si>
    <t xml:space="preserve">Adapting Image Classification Adversarial Detection Methods for Traffic Sign Classification in Autonomous Vehicles: A Comparative Study</t>
  </si>
  <si>
    <t xml:space="preserve">Perturbation methods; Safety; Autonomous vehicles; Real-time systems; Image classification; Complexity theory; Task analysis; Adversarial attacks; autonomous vehicles; detection methods; traffic sign classification</t>
  </si>
  <si>
    <t xml:space="preserve">Autonomous driving systems critically depend on accurately classifying traffic signs, a task that is jeopardized by adversarial attacks. This paper focuses on the relatively unexplored domain of Traffic Sign Classification (TSC) in the context of detecting adversarial attacks. We conduct a rigorous evaluation of six prominent adversarial example detection methods, each representing a distinct detection category and well-regarded within the research community. Our methodology involves adapting these techniques, originally developed for general image classification (IC), to the unique challenges posed by traffic sign images, characterized by their complexity due to factors like varying environmental conditions and a large number of classes. Our study reveals insights into their effectiveness, with the Natural Scene Statistics (NSS) method outperforming others with 83.42%, 86.42%, and 99.96% detection rates; 0.08%, 0.05%, and 0.04%, false positive rates; and 0.02sec, 0.01sec, and 0.02sec detection times for Chinese, Belgium and German traffic sign datasets, respectively. NSS's superiority is crucial for autonomous vehicles. Our study also sheds light on the often-neglected aspect of detection time in IC, which plays a vital role in ensuring operational efficiency and safety for autonomous vehicles. Our research highlights the need for customized defense strategies tailored to the TSC domain, considering our evaluation's findings. By identifying promising techniques for detecting adversarial attacks in TSC, we contribute to enhancing the safety and robustness of autonomous driving systems. This study fills a critical knowledge gap, providing valuable insights into understanding and defending against adversarial attacks, specifically in the TSC context.</t>
  </si>
  <si>
    <t xml:space="preserve">[Sarwatt, Doreen Sebastian; Ning, Huansheng] Univ Sci &amp; Technol Beijing, Sch Comp &amp; Commun Engn, Beijing 100083, Peoples R China; [Kulwa, Frank] Univ Chinese Acad Sci, Shenzhen Inst Adv Technol, Shenzhen 518055, Guangdong, Peoples R China; [Ding, Jianguo] Blekinge Inst Technol, Dept Comp Sci, S-37150 Karlskrona, Sweden</t>
  </si>
  <si>
    <t xml:space="preserve">University of Science &amp; Technology Beijing; Chinese Academy of Sciences; University of Chinese Academy of Sciences, CAS; Shenzhen Institute of Advanced Technology, CAS; Blekinge Institute Technology</t>
  </si>
  <si>
    <t xml:space="preserve">Kulwa, Frank/JMP-4079-2023; Ding, Jianguo/B-5748-2008</t>
  </si>
  <si>
    <t xml:space="preserve">Sarwatt, Doreen/0000-0002-3818-6432; Kulwa, Frank/0000-0001-7003-1716; Ding, Jianguo/0000-0002-8927-0968</t>
  </si>
  <si>
    <t xml:space="preserve">10.1109/TITS.2024.3435715</t>
  </si>
  <si>
    <t xml:space="preserve">L6O5P</t>
  </si>
  <si>
    <t xml:space="preserve">WOS:001288416200001</t>
  </si>
  <si>
    <t xml:space="preserve">Zhang, YQ; Zhao, L; Shen, ZH; Abbas, Z; Gong, T; Chen, W; Long, X; Patel, V; Islam, MS</t>
  </si>
  <si>
    <t xml:space="preserve">Zhang, Yongqi; Zhao, Lun; Shen, Zhonghua; Abbas, Zeshan; Gong, Tao; Chen, Wei; Long, Xu; Patel, Vivek; Islam, Md Shafiqul</t>
  </si>
  <si>
    <t xml:space="preserve">Exploring the impact of wire core diameter on microstructure and joint properties in ultrasonic wire harness welding</t>
  </si>
  <si>
    <t xml:space="preserve">PROCEEDINGS OF THE INSTITUTION OF MECHANICAL ENGINEERS PART L-JOURNAL OF MATERIALS-DESIGN AND APPLICATIONS</t>
  </si>
  <si>
    <t xml:space="preserve">Ultrasonic wire-harness welding; core diameter; copper conductor joint; mechanical behavior; failure mechanism</t>
  </si>
  <si>
    <t xml:space="preserve">STRENGTH; STEEL</t>
  </si>
  <si>
    <t xml:space="preserve">The present study investigates ultrasonic metal welding to manufacture 10 mm2 copper (Cu) wire joints with different core diameters. The primary purpose of this study is to explore the influence of wire core diameter on the performance of ultrasonic welded joints. Wire core diameter is positively correlated with the peeling resistance of the joint. Superior mechanical properties of the joint are achieved with an increased diameter of the wire core. The peeling strength of the welded joint of two wires with a wire core diameter of 0.25 mm reaches 306.8 N. Examining the welding temperature and assessing the joint's porosity reveals a significant impact of temperature on porosity. However, relying solely on porosity as a criterion for judging the overall forming quality of joints may be insufficient. Scanning electron microscope and energy-dispersive X-ray elemental analysis revealed that certain wires underwent plastic deformation at elevated temperatures without attaining atomic bonding. Additionally, the welded joint exhibits a compact structure externally and a more relaxed structure internally. The upper side of the joint in contact with the briquette and the lower side in contact with the welding head exhibit minimal gaps, while numerous gaps are evident in the middle of the joint. Furthermore, upon examining the fracture morphology, two distinct failure modes are identified at the joint surface of the conductor. The first involves the fracture of the wire core with a completely separated joint surface, resulting in poor mechanical properties of the joint. The second mode entails the ductile fracture of the wire core at the joint surface, indicating good mechanical properties of the joint.</t>
  </si>
  <si>
    <t xml:space="preserve">[Zhang, Yongqi; Zhao, Lun; Abbas, Zeshan; Gong, Tao; Chen, Wei; Long, Xu] Shenzhen Polytech Univ, Inst Ultrason Technol, Shenzhen 518055, Peoples R China; [Zhang, Yongqi; Shen, Zhonghua] Guilin Univ Technol, Sch Mech &amp; Control Engn, Guilin, Guangxi, Peoples R China; [Patel, Vivek] Univ West, Dept Engn Sci, Trollhattan, Sweden; [Islam, Md Shafiqul] Blekinge Inst Technol, Dept Mech Engn, Karlskrona, Sweden</t>
  </si>
  <si>
    <t xml:space="preserve">Islam, Md. Shafiqul/ABD-9092-2021; Abbas, Zeshan/MEO-8370-2025; t, g/KIH-3676-2024; Chen, Wei/AAO-4394-2021; Patel, Vivek/N-4815-2016</t>
  </si>
  <si>
    <t xml:space="preserve">Abbas, Zeshan/0000-0001-6850-3374; Patel, Vivek/0000-0002-9015-7372; Lun, Zhao/0000-0001-8293-9094</t>
  </si>
  <si>
    <t xml:space="preserve">Scientific Research Startup Fund for Shenzhen High-Caliber Personnel of SZPU [6022310046K, 6024330003K]; SZPU-Newpower Ultrasonic welding RD [602331009PQ]; National Natural Science Foundation of China [12104324]; Post-doctoral Later-stage Foundation Project of Shenzhen Polytechnic University [6023271014K, 6021211014K]; Postdoctoral Startup Fund of Shenzhen Polytechnic University [6022331008 K]</t>
  </si>
  <si>
    <t xml:space="preserve">Scientific Research Startup Fund for Shenzhen High-Caliber Personnel of SZPU; SZPU-Newpower Ultrasonic welding RD; National Natural Science Foundation of China(National Natural Science Foundation of China (NSFC)); Post-doctoral Later-stage Foundation Project of Shenzhen Polytechnic University; Postdoctoral Startup Fund of Shenzhen Polytechnic University</t>
  </si>
  <si>
    <t xml:space="preserve">This research is supported by Scientific Research Startup Fund for Shenzhen High-Caliber Personnel of SZPU (No.6022310046K;No.6024330003K); SZPU-Newpower Ultrasonic welding R&amp;D(No.602331009PQ); National Natural Science Foundation of China (No. 12104324); Post-doctoral Later-stage Foundation Project of Shenzhen Polytechnic University (No. 6023271014K;No.6021211014K); Postdoctoral Startup Fund of Shenzhen Polytechnic University (No. 6022331008 K).</t>
  </si>
  <si>
    <t xml:space="preserve">1464-4207</t>
  </si>
  <si>
    <t xml:space="preserve">2041-3076</t>
  </si>
  <si>
    <t xml:space="preserve">P I MECH ENG L-J MAT</t>
  </si>
  <si>
    <t xml:space="preserve">Proc. Inst. Mech. Eng. Pt. L-J. Mater.-Design Appl.</t>
  </si>
  <si>
    <t xml:space="preserve">10.1177/14644207241262863</t>
  </si>
  <si>
    <t xml:space="preserve">P9F2D</t>
  </si>
  <si>
    <t xml:space="preserve">WOS:001276804100001</t>
  </si>
  <si>
    <t xml:space="preserve">Quintana, M; Anderberg, P; Berglund, JS; Frögren, J; Cano, N; Cellek, S; Zhang, JF; Garolera, M</t>
  </si>
  <si>
    <t xml:space="preserve">Quintana, Maria; Anderberg, Peter; Sanmartin Berglund, Johan; Frogren, Joakim; Cano, Neus; Cellek, Selim; Zhang, Jufen; Garolera, Maite</t>
  </si>
  <si>
    <t xml:space="preserve">Feasibility-Usability Study of a Tablet App Adapted Specifically for Persons with Cognitive Impairment-SMART4MD (Support Monitoring and Reminder Technology for Mild Dementia)</t>
  </si>
  <si>
    <t xml:space="preserve">dementia; monitoring; e-health; feasibility study</t>
  </si>
  <si>
    <t xml:space="preserve">MINI-MENTAL-STATE; OLDER-ADULTS; PEOPLE; DESIGN; COMPUTERS; ICT</t>
  </si>
  <si>
    <t xml:space="preserve">Population ageing within Europe has major social and economic consequences. One of the most devastating conditions that predominantly affects older people is dementia. The SMART4MD (Support Monitoring and Reminder Technology for Mild Dementia) project aims to develop and test a health application specifically designed for people with mild dementia. The aim of this feasibility study was to evaluate the design of the SMART4MD protocol, including recruitment, screening, baseline examination and data management, and to test the SMART4MD application for functionality and usability before utilization in a full-scale study. The feasibility study tested the protocol and the app in Spain and Sweden. A total of nineteen persons with cognitive impairment, and their informal caregivers, individually performed a task-based usability test of the SMART4MD app model in a clinical environment, followed by four-week testing of the app in the home environment. By employing a user-centered design approach, the SMART4MD application proved to be an adequate and feasible interface for an eHealth intervention. In the final usability test, a score of 81% satisfied users was obtained. The possibility to test the application in all the procedures included in the study generated important information on how to present the technology to the users and how to improve these procedures.</t>
  </si>
  <si>
    <t xml:space="preserve">[Quintana, Maria; Cano, Neus; Garolera, Maite] Consorci Sanitari Terrassa, Brain Cognit &amp; Behav Clin Res, Terrassa 08227, Spain; [Anderberg, Peter; Sanmartin Berglund, Johan; Frogren, Joakim] Blekinge Inst Technol, Dept Hlth, SE-37179 Karlskrona, Sweden; [Cellek, Selim] Anglia Ruskin Univ, Fac Hlth Educ Med &amp; Social Care, Chelmsford CM1 1SQ, Essex, England; [Zhang, Jufen] Anglia Ruskin Univ, Clin Trials Unit, Chelmsford CM1 1SQ, Essex, England; [Garolera, Maite] Consorci Sanit Terrassa, Hosp Terrassa, Neuropsychol Unit, Terrassa 08227, Spain</t>
  </si>
  <si>
    <t xml:space="preserve">Blekinge Institute Technology; Anglia Ruskin University; Anglia Ruskin University</t>
  </si>
  <si>
    <t xml:space="preserve">Garolera, M (corresponding author), Consorci Sanitari Terrassa, Brain Cognit &amp; Behav Clin Res, Terrassa 08227, Spain.;Garolera, M (corresponding author), Consorci Sanit Terrassa, Hosp Terrassa, Neuropsychol Unit, Terrassa 08227, Spain.</t>
  </si>
  <si>
    <t xml:space="preserve">mquintana@cst.cat; peter.anderberg@bth.se; johan.sanmartin.berglund@bth.se; joakim.frogren@med.lu.se; ncanom@cst.cat; selim.cellek@anglia.ac.uk; Jufen.Zhang@anglia.ac.uk; mgarolera@cst.cat</t>
  </si>
  <si>
    <t xml:space="preserve">Garolera, Maite/A-3109-2015; Cellek, Selim/S-3767-2019; Sanmartin Berglund, Johan/HGB-0471-2022; Anderberg, Peter/B-5541-2012; Garolera, Maite/D-7811-2012</t>
  </si>
  <si>
    <t xml:space="preserve">Cano Marco, Neus/0000-0001-7760-3692; Cellek, Selim/0000-0002-4856-285X; Berglund, Johan/0000-0003-4312-2246; Anderberg, Peter/0000-0001-9870-8477; Garolera, Maite/0000-0001-7443-8249</t>
  </si>
  <si>
    <t xml:space="preserve">This research was funded by European Commission, Horizon 2020, project number 643399.</t>
  </si>
  <si>
    <t xml:space="preserve">10.3390/ijerph17186816</t>
  </si>
  <si>
    <t xml:space="preserve">OD9DR</t>
  </si>
  <si>
    <t xml:space="preserve">WOS:000580145500001</t>
  </si>
  <si>
    <t xml:space="preserve">Mustapha, K; Djenouri, D; Ding, JG; Djenouri, Y</t>
  </si>
  <si>
    <t xml:space="preserve">Mustapha, Khiati; Djenouri, Djamel; Ding, Jianguo; Djenouri, Youcef</t>
  </si>
  <si>
    <t xml:space="preserve">LSTM for Periodic Broadcasting in Green IoT Applications over Energy Harvesting Enabled Wireless Networks: Case Study on ADAPCAST</t>
  </si>
  <si>
    <t xml:space="preserve">2021 17TH INTERNATIONAL CONFERENCE ON MOBILITY, SENSING AND NETWORKING (MSN 2021)</t>
  </si>
  <si>
    <t xml:space="preserve">17th IEEE International Conference on Mobility, Sensing and Networking (MSN)</t>
  </si>
  <si>
    <t xml:space="preserve">IEEE,IEEE Comp Soc,IEEE Comp Soc, Tech Comm Distributed Proc,Hong Kong Polytechn Univ,City Univ Hong Kong</t>
  </si>
  <si>
    <t xml:space="preserve">IoT; wireless networks; energy harvesting; green computing</t>
  </si>
  <si>
    <t xml:space="preserve">The present paper considers emerging Internet of Things (IoT) applications and proposes a Long Short Term Memory (LSTM) based neural network for predicting the end of the broadcasting period under slotted CSMA (Carrier Sense Multiple Access) based MAC protocol and Energy Harvesting enabled Wireless Networks (EHWNs). The goal is to explore LSTM for minimizing the number of missed nodes and the number of broadcasting time-slots required to reach all the nodes under periodic broadcast operations. The proposed LSTM model predicts the end of the current broadcast period relying on the Root Mean Square Error (RMSE) values generated by its output, which (the RMSE) is used as an indicator for the divergence of the model. As a case study, we enhance our already developed broadcast policy, ADAPCAST by applying the proposed LSTM. This allows to dynamically adjust the end of the broadcast periods, instead of statically fixing it beforehand. An artificial data-set of the historical data is used to feed the proposed LSTM with information about the amounts of incoming, consumed, and effective energy per time-slot, and the radio activity besides the average number of missed nodes per frame. The obtained results prove the efficiency of the proposed LSTM model in terms of minimizing both the number of missed nodes and the number of time-slots required for completing broadcast operations.</t>
  </si>
  <si>
    <t xml:space="preserve">[Mustapha, Khiati] USTHB, Algiers, Algeria; [Djenouri, Djamel] Univ West England, Dept Comp Sci &amp; Creat Technol, CSRC, Bristol, Avon, England; [Ding, Jianguo] Blekinge Inst Technol, Karlskrona, Sweden; [Djenouri, Youcef] SINTEF Digital, Dept Math &amp; Cybernet, Oslo, Norway</t>
  </si>
  <si>
    <t xml:space="preserve">University Science &amp; Technology Houari Boumediene; University of West England; Blekinge Institute Technology; SINTEF</t>
  </si>
  <si>
    <t xml:space="preserve">Djenouri, D (corresponding author), UWE Bristol, Frenchay Campus,Coldharbour Ln, Bristol BS16 1QY, Avon, England.</t>
  </si>
  <si>
    <t xml:space="preserve">mkhiati@usthb.dz; djamel.djenouri@uwe.ac.uk; Jianguo.Ding@bth.se; youcef.djenouri@sintef.no</t>
  </si>
  <si>
    <t xml:space="preserve">Djenouri, Youcef/AAM-7999-2020; Djenouri, Djamel/AAP-7344-2020</t>
  </si>
  <si>
    <t xml:space="preserve">978-1-6654-0668-0</t>
  </si>
  <si>
    <t xml:space="preserve">10.1109/MSN53354.2021.00107</t>
  </si>
  <si>
    <t xml:space="preserve">BT3DX</t>
  </si>
  <si>
    <t xml:space="preserve">WOS:000817822300091</t>
  </si>
  <si>
    <t xml:space="preserve">Hjelte, C; Plogmark, O; Silvanius, M; Ekström, M; Frånberg, O</t>
  </si>
  <si>
    <t xml:space="preserve">Hjelte, Carl; Plogmark, Oscar; Silvanius, Marten; Ekstrom, Magnus; Franberg, Oskar</t>
  </si>
  <si>
    <t xml:space="preserve">Risk assessment of SWEN21 a suggested new dive table for the Swedish armed forces: bubble grades by ultrasonography</t>
  </si>
  <si>
    <t xml:space="preserve">Decompression; Decompression illness; Decompression tables; Diving; Echocardiography; Risk; Venous gas emboli</t>
  </si>
  <si>
    <t xml:space="preserve">VENOUS GAS-BUBBLES; DECOMPRESSION; VALIDATION</t>
  </si>
  <si>
    <t xml:space="preserve">Introduction: To develop the diving capacity in the Swedish armed forces the current air decompression tables are under revision. A new decompression table named SWEN21 has been created to have a projected risk level of 1% for decompression sickness (DCS) at the no stop limits. The aim of this study was to evaluate the safety of SWEN21 through the measurement of venous gas emboli (VGE) in a dive series. Methods: A total 154 dives were conducted by 47 divers in a hyperbaric wet chamber. As a proxy for DCS risk, serial VGE measurements by echocardiography were conducted and graded according to the Eftedal-Brubakk scale. Measurements were made every 15 minutes for approximately 2 hours after each dive. Peak VGE grades for the different dive profiles were used in a Bayesian approach correlating VGE grade and risk of DCS. Symptoms of DCS were continually monitored. Results: The median (interquartile range) peak VGE grade after limb flexion for a majority of the time-depth combinations, and of SWEN21 as a whole, was 3 (3-4) with the exception of two decompression profiles which resulted in a grade of 3.5 (3-4) and 4 (4-4) respectively. The estimated risk of DCS in the Bayesian model varied between 4.7-11.1%. Three dives (2%) resulted in DCS. All symptoms resolved with hyperbaric oxygen treatment. Conclusions: This evaluation of the SWEN21 decompression table, using bubble formation measured with echocardiography, suggests that the risk of DCS may be higher than the projected 1%.</t>
  </si>
  <si>
    <t xml:space="preserve">[Hjelte, Carl; Plogmark, Oscar; Ekstrom, Magnus; Franberg, Oskar] Lund Univ, Dept Clin Sci Lund, Fac Med, Resp Med &amp; Allergol, Lund, Sweden; [Hjelte, Carl; Plogmark, Oscar; Silvanius, Marten] Swedish Armed Forces, Swedish Armed Forces Diving &amp; Naval Med Ctr, Karlskrona, Sweden; [Hjelte, Carl] Sahlgrens Univ Hosp, Anesthesia &amp; Intens Care, Gothenburg, Sweden; [Silvanius, Marten; Franberg, Oskar] Blekinge Inst Technol, Dept Math &amp; Nat Sci, Karlskrona, Sweden</t>
  </si>
  <si>
    <t xml:space="preserve">Hjelte, C (corresponding author), Kungsladugardsgatan 113B, S-41476 Gothenburg, Sweden.</t>
  </si>
  <si>
    <t xml:space="preserve">carl_hjelte@hotmail.com</t>
  </si>
  <si>
    <t xml:space="preserve">Silvanius, Mårten/JEF-1281-2023; Ekström, Magnus/ABA-2199-2021; Franberg, Oskar/KHU-8967-2024</t>
  </si>
  <si>
    <t xml:space="preserve">Plogmark, Oscar/0009-0008-3230-8807; Hjelte, Carl/0009-0009-5522-8735</t>
  </si>
  <si>
    <t xml:space="preserve">Financial support was received from the Swedish Defense Material Administration, contract nr. 430919-LB967593. Magnus Ekstrom was supported by unrestricted grants from the Swedish Society of Medical Research and the Swedish Research Council (Dnr: 2019-02081). No conflicts of interest were declared.</t>
  </si>
  <si>
    <t xml:space="preserve">PMID 38091588</t>
  </si>
  <si>
    <t xml:space="preserve">10.28920/dhm53.4.299-305</t>
  </si>
  <si>
    <t xml:space="preserve">WOS:001163046200002</t>
  </si>
  <si>
    <t xml:space="preserve">Karie, NM; Sahri, NM; Yang, WC; Valli, C; Kebande, VR</t>
  </si>
  <si>
    <t xml:space="preserve">Karie, Nickson M.; Sahri, Nor Masri; Yang, Wencheng; Valli, Craig; Kebande, Victor R.</t>
  </si>
  <si>
    <t xml:space="preserve">A Review of Security Standards and Frameworks for IoT-Based Smart Environments</t>
  </si>
  <si>
    <t xml:space="preserve">Security; Standards; Internet of Things; Privacy; Taxonomy; Computer crime; Smart cities; Control measures; IoT-based smart environments; risks; security assessment frameworks; security standards; taxonomy; threats</t>
  </si>
  <si>
    <t xml:space="preserve">INTERNET</t>
  </si>
  <si>
    <t xml:space="preserve">Assessing the security of IoT-based smart environments such as smart homes and smart cities is becoming fundamentally essential to implementing the correct control measures and effectively reducing security threats and risks brought about by deploying IoT-based smart technologies. The problem, however, is in finding security standards and assessment frameworks that best meets the security requirements as well as comprehensively assesses and exposes the security posture of IoT-based smart environments. To explore this gap, this paper presents a review of existing security standards and assessment frameworks which also includes several NIST special publications on security techniques highlighting their primary areas of focus to uncover those that can potentially address some of the security needs of IoT-based smart environments. Cumulatively a total of 80 ISO/IEC security standards, 32 ETSI standards and 37 different conventional security assessment frameworks which included 7 NIST special publications on security techniques were reviewed. To present an all-inclusive and up-to-date state-of-the-art research, the review process considered both published security standards and assessment frameworks as well as those under development. The findings show that most of the conventional security standards and assessment frameworks do not directly address the security needs of IoT-based smart environments but have the potential to be adapted into IoT-based smart environments. With this insight into the state-of-the-art research on security standards and assessment frameworks, this study helps advance the IoT field by opening new research directions as well as opportunities for developing new security standards and assessment frameworks that will address future IoT-based smart environments security concerns. This paper also discusses open problems and challenges related to IoT-based smart environments security issues. As a new contribution, a taxonomy of challenges for IoT-based smart environment security concerns drawn from the extensive literature examined during this study is proposed in this paper which also maps the identified challenges to potential proposed solutions.</t>
  </si>
  <si>
    <t xml:space="preserve">[Karie, Nickson M.; Sahri, Nor Masri; Yang, Wencheng; Valli, Craig] Cyber Secur Cooperat Res Ctr Ltd, Joondalup, WA 6027, Australia; [Karie, Nickson M.; Sahri, Nor Masri; Yang, Wencheng; Valli, Craig] Edith Cowan Univ, Secur Res Inst, Sch Sci, Joondalup, WA 6027, Australia; [Kebande, Victor R.] Lulea Univ Technol, Dept Comp Sci Elect &amp; Space Engn, S-97187 Lulea, Sweden; [Kebande, Victor R.] Blekinge Inst Technol, Dept Comp Sci, S-37179 Karlskrona, Sweden</t>
  </si>
  <si>
    <t xml:space="preserve">Edith Cowan University; Lulea University of Technology; Blekinge Institute Technology</t>
  </si>
  <si>
    <t xml:space="preserve">Karie, NM (corresponding author), Cyber Secur Cooperat Res Ctr Ltd, Joondalup, WA 6027, Australia.;Karie, NM (corresponding author), Edith Cowan Univ, Secur Res Inst, Sch Sci, Joondalup, WA 6027, Australia.</t>
  </si>
  <si>
    <t xml:space="preserve">n.karie@ecu.edu.au</t>
  </si>
  <si>
    <t xml:space="preserve">Karie, Nickson/AAJ-7176-2020; Valli, Craig/B-8403-2009; R. Kebande, Victor/F-3934-2019</t>
  </si>
  <si>
    <t xml:space="preserve">sahri, nor masri/0000-0003-2030-8881; Valli, Craig/0000-0002-2298-9791; R. Kebande, Victor/0000-0003-4071-4596; Yang, Wencheng/0000-0001-7800-2215</t>
  </si>
  <si>
    <t xml:space="preserve">Cyber Security Research Centre Ltd.; Australian Government's Cooperative Research Centres Programme</t>
  </si>
  <si>
    <t xml:space="preserve">Cyber Security Research Centre Ltd.; Australian Government's Cooperative Research Centres Programme(Australian GovernmentDepartment of Industry, Innovation and ScienceCooperative Research Centres (CRC) Programme)</t>
  </si>
  <si>
    <t xml:space="preserve">This work was supported by Cyber Security Research Centre Ltd., funded through the Australian Government's Cooperative Research Centres Programme.</t>
  </si>
  <si>
    <t xml:space="preserve">10.1109/ACCESS.2021.3109886</t>
  </si>
  <si>
    <t xml:space="preserve">UO4UW</t>
  </si>
  <si>
    <t xml:space="preserve">WOS:000694691200001</t>
  </si>
  <si>
    <t xml:space="preserve">Frattini, J; Fucci, D; Torkar, R; Mendez, D</t>
  </si>
  <si>
    <t xml:space="preserve">Frattini, Julian; Fucci, Davide; Torkar, Richard; Mendez, Daniel</t>
  </si>
  <si>
    <t xml:space="preserve">A Second Look at the Impact of Passive Voice Requirements on Domain Modeling: Bayesian Reanalysis of an Experiment</t>
  </si>
  <si>
    <t xml:space="preserve">Requirements Engineering; Requirements Quality; Controlled experiment; Bayesian Data Analysis</t>
  </si>
  <si>
    <t xml:space="preserve">The quality of requirements specifications may impact subsequent, dependent software engineering (SE) activities. However, empirical evidence of this impact remains scarce and too often superficial as studies abstract from the phenomena under investigation too much. 1Wo of these abstractions are caused by the lack of frameworks for causal inference and frequentist methods which reduce complex data to binary results. In this study, we aim to demonstrate (1) the use of a causal framework and (2) contrast frequentist methods with more sophisticated Bayesian statistics for causal inference. To this end, we reanalyze the only known controlled experiment investigating the impact of passive voice on the subsequent activity of domain modeling. We follow a framework for statistical causal inference and employ Bayesian data analysis methods to re-investigate the hypotheses of the original study. Our results reveal that the effects observed by the original authors turned out to be much less significant than previously assumed. This study supports the recent call to action in SE research to adopt Bayesian data analysis, including causal frameworks and Bayesian statistics, for more sophisticated causal inference.</t>
  </si>
  <si>
    <t xml:space="preserve">[Frattini, Julian; Fucci, Davide; Mendez, Daniel] Blekinge Inst Technol, Karlskrona, Sweden; [Torkar, Richard] Chalmers, Gothenburg, Sweden; [Torkar, Richard] Univ Gothenburg, Gothenburg, Sweden; [Torkar, Richard] Stellenbosch Inst Adv Study STIAS, Stellenbosch, South Africa; [Mendez, Daniel] Fortiss GmbH, Munich, Germany</t>
  </si>
  <si>
    <t xml:space="preserve">Blekinge Institute Technology; Chalmers University of Technology; University of Gothenburg; Stellenbosch University; fortiss</t>
  </si>
  <si>
    <t xml:space="preserve">julian.frattini@bth.se; davide.fucci@bth.se; richard.torkar@gu.se; daniel.mendez@bth.se</t>
  </si>
  <si>
    <t xml:space="preserve">Thiswork was supported by the KKS foundation through the S.E.R.T. Research Profile project at Blekinge Institute of Technology. We particularly thank Henning Femmer, representing the authors of the original study, for his support and the recovery of the data, which made this reanalysis possible in the first place.</t>
  </si>
  <si>
    <t xml:space="preserve">10.1145/3643664.3618211</t>
  </si>
  <si>
    <t xml:space="preserve">WOS:001293147200006</t>
  </si>
  <si>
    <t xml:space="preserve">Tekin, E; Yazici, Ç; Kusetogullari, H; Tokat, F; Yavariabdi, A; Iheme, LO; Çayir, S; Bozaba, E; Solmaz, G; Darbaz, B; Özsoy, G; Ayalti, S; Kayhan, CK; Ince, Ü; Uzel, B</t>
  </si>
  <si>
    <t xml:space="preserve">Tekin, Eren; Yazici, Cisem; Kusetogullari, Huseyin; Tokat, Fatma; Yavariabdi, Amir; Iheme, Leonardo Obinna; Cayir, Sercan; Bozaba, Engin; Solmaz, Gizem; Darbaz, Berkan; Ozsoy, Gulsah; Ayalti, Samet; Kayhan, Cavit Kerem; Ince, Umit; Uzel, Burak</t>
  </si>
  <si>
    <t xml:space="preserve">Tubule-U-Net: a novel dataset and deep learning-based tubule segmentation framework in whole slide images of breast cancer</t>
  </si>
  <si>
    <t xml:space="preserve">The tubule index is a vital prognostic measure in breast cancer tumor grading and is visually evaluated by pathologists. In this paper, a computer-aided patch-based deep learning tubule segmentation framework, named Tubule-U-Net, is developed and proposed to segment tubules in Whole Slide Images (WSI) of breast cancer. Moreover, this paper presents a new tubule segmentation dataset consisting of 30820 polygonal annotated tubules in 8225 patches. The Tubule-U-Net framework first uses a patch enhancement technique such as reflection or mirror padding and then employs an asymmetric encoder-decoder semantic segmentation model. The encoder is developed in the model by various deep learning architectures such as EfficientNetB3, ResNet34, and DenseNet161, whereas the decoder is similar to U-Net. Thus, three different models are obtained, which are EfficientNetB3-U-Net, ResNet34-U-Net, and DenseNet161-U-Net. The proposed framework with three different models, U-Net, U-Net++, and Trans-U-Net segmentation methods are trained on the created dataset and tested on five different WSIs. The experimental results demonstrate that the proposed framework with the EfficientNetB3 model trained on patches obtained using the reflection padding and tested on patches with overlapping provides the best segmentation results on the test data and achieves 95.33%, 93.74%, and 90.02%, dice, recall, and specificity scores, respectively.</t>
  </si>
  <si>
    <t xml:space="preserve">[Tekin, Eren; Iheme, Leonardo Obinna; Cayir, Sercan; Bozaba, Engin; Darbaz, Berkan; Ayalti, Samet] Virasoft Corp, Artificial Intelligence Res Team, New York, NY USA; [Yazici, Cisem; Solmaz, Gizem; Ozsoy, Gulsah; Ayalti, Samet] Virasoft Corp, Res &amp; Dev Team, New York, NY USA; [Kusetogullari, Huseyin] Blekinge Inst Technol, Dept Comp Sci, S-37141 Karlskrona, Sweden; [Kusetogullari, Huseyin] Heriot Watt Univ, Dept Comp Sci, Dubai, U Arab Emirates; [Tokat, Fatma; Ince, Umit] Acibadem Univ Teaching Hosp, Pathol Dept, Istanbul, Turkiye; [Yavariabdi, Amir] KTO Karatay Univ, Dept Mechatron Engn, Konya, Turkiye; [Kayhan, Cavit Kerem] Nisantasi Univ, Dept Biotechnol, Istanbul, Turkiye; [Uzel, Burak] Camlik Hosp, Internal Med Dept, Istanbul, Turkiye</t>
  </si>
  <si>
    <t xml:space="preserve">Blekinge Institute Technology; KTO Karatay University; Istanbul Nisantasi University</t>
  </si>
  <si>
    <t xml:space="preserve">Kusetogullari, H (corresponding author), Blekinge Inst Technol, Dept Comp Sci, S-37141 Karlskrona, Sweden.;Kusetogullari, H (corresponding author), Heriot Watt Univ, Dept Comp Sci, Dubai, U Arab Emirates.</t>
  </si>
  <si>
    <t xml:space="preserve">huseyinkusetogullari@gmail.com</t>
  </si>
  <si>
    <t xml:space="preserve">Kusetogullari, Huseyin/IAQ-0788-2023; Iheme, Leonardo/AAE-2987-2022</t>
  </si>
  <si>
    <t xml:space="preserve">10.1038/s41598-022-27331-3</t>
  </si>
  <si>
    <t xml:space="preserve">I5RE1</t>
  </si>
  <si>
    <t xml:space="preserve">WOS:001003343100022</t>
  </si>
  <si>
    <t xml:space="preserve">Elmståhl, S; Berglund, JS; Fagerström, C; Ekström, H</t>
  </si>
  <si>
    <t xml:space="preserve">Elmstahl, Solve; Berglund, Johan Sanmartin; Fagerstrom, Cecilia; Ekstrom, Henrik</t>
  </si>
  <si>
    <t xml:space="preserve">The Life Satisfaction Index-A (LSI-A): Normative Data for a General Swedish Population Aged 60 to 93 Years</t>
  </si>
  <si>
    <t xml:space="preserve">CLINICAL INTERVENTIONS IN AGING</t>
  </si>
  <si>
    <t xml:space="preserve">life satisfaction; LSI-A; well-being normative data; population study; elder</t>
  </si>
  <si>
    <t xml:space="preserve">MINI-MENTAL-STATE; QUALITY-OF-LIFE; FUNCTIONAL ABILITY; OLDER; RELIABILITY; VALIDITY; PEOPLE; ADL</t>
  </si>
  <si>
    <t xml:space="preserve">Purpose of Study: To gain Swedish norm value for the Life Satisfaction Index-A (LSI-A) in a population 60-93+ years old stratified for sex and age and to relate these norm values with respect to number of chronic diseases and functional impairment. Materials and Methods: The study population included a random sample of 2656 men (45.7%) and 3159 (54.3%) women from the longitudinal national studies' Good Aging in Skane (GAS) and SNAC-B, both part of the Swedish National Study on Aging and Care (SNAC). Data on Neugartens Life Satisfaction Index-A (LSI-A), medical history, activities of daily life (ADL) and socio-demographics were collected through structured interviews and questionnaires. Results: Men scored significantly higher than women; 28.5, sd=6.9, and 27.3, sd=6.6, respectively, out of maximum 40 points. For both genders the scores decreased with age, mean score 6.0 points, lower for men and 7.1 points lower for women between 60 and 93+ years. The highest score was noted for healthy individuals where both men and women scored 29.5 points, sd=6.2. Increased number of chronic diseases and dependency in ADLs were associated with lower LS. Conclusion: Nom values here presented may facilitate assessments and evaluation of life satisfaction in the general elder population and as reference values to clinical trials. Female sex, rising age, morbidity and impaired functional ability were all associated with impaired LS.</t>
  </si>
  <si>
    <t xml:space="preserve">[Elmstahl, Solve; Ekstrom, Henrik] Lund Univ, Dept Clin Sci Malmo, Div Geriatr Med, Lund, Sweden; [Berglund, Johan Sanmartin; Fagerstrom, Cecilia] Blekinge Inst Technol, Dept Hlth, Karlskrona, Sweden; [Fagerstrom, Cecilia] Linnaeus Univ, Dept Hlth &amp; Caring Sci, Kalmar, Sweden</t>
  </si>
  <si>
    <t xml:space="preserve">Lund University; Blekinge Institute Technology; Linnaeus University</t>
  </si>
  <si>
    <t xml:space="preserve">Elmståhl, S (corresponding author), Skane Univ Hosp, Div Geriatr Med, Jan Waldenstromsgata 35, S-20502 Malmo, Sweden.</t>
  </si>
  <si>
    <t xml:space="preserve">solve.elmstahl@med.lu.se</t>
  </si>
  <si>
    <t xml:space="preserve">Elmstahl, Solve/0000-0001-7153-5414</t>
  </si>
  <si>
    <t xml:space="preserve">Swedish Ministry of Health and Social Affairs; County of Region Skane; Swedish Research Council [2017-01613, 2017-00639]; Swedish Research Council [2017-00639] Funding Source: Swedish Research Council</t>
  </si>
  <si>
    <t xml:space="preserve">Swedish Ministry of Health and Social Affairs; County of Region Skane; Swedish Research Council(Swedish Research Council); Swedish Research Council(Swedish Research Council)</t>
  </si>
  <si>
    <t xml:space="preserve">The projects Good Aging in Skane and SNAC-Blekinge, both parts of the Swedish National Study on Ageing and Care (www.snac.org), were supported by the Swedish Ministry of Health and Social Affairs, the County of Region Skane and the Swedish Research Council under grant no. 2017-01613; 2017-00639.</t>
  </si>
  <si>
    <t xml:space="preserve">DOVE MEDICAL PRESS LTD</t>
  </si>
  <si>
    <t xml:space="preserve">ALBANY</t>
  </si>
  <si>
    <t xml:space="preserve">PO BOX 300-008, ALBANY, AUCKLAND 0752, NEW ZEALAND</t>
  </si>
  <si>
    <t xml:space="preserve">1178-1998</t>
  </si>
  <si>
    <t xml:space="preserve">CLIN INTERV AGING</t>
  </si>
  <si>
    <t xml:space="preserve">Clin. Interv. Aging</t>
  </si>
  <si>
    <t xml:space="preserve">10.2147/CIA.S275387</t>
  </si>
  <si>
    <t xml:space="preserve">OI5QC</t>
  </si>
  <si>
    <t xml:space="preserve">WOS:000583331800004</t>
  </si>
  <si>
    <t xml:space="preserve">Javeed, A; Anderberg, P; Ghazi, AN; Noor, A; Elmståhl, S; Berglund, JS</t>
  </si>
  <si>
    <t xml:space="preserve">Javeed, Ashir; Anderberg, Peter; Ghazi, Ahmad Nauman; Noor, Adeeb; Elmstahl, Solve; Berglund, Johan Sanmartin</t>
  </si>
  <si>
    <t xml:space="preserve">Breaking barriers: a statistical and machine learning-based hybrid system for predicting dementia</t>
  </si>
  <si>
    <t xml:space="preserve">FRONTIERS IN BIOENGINEERING AND BIOTECHNOLOGY</t>
  </si>
  <si>
    <t xml:space="preserve">dementia; voting classifier; F-score; machine learning; feature selection</t>
  </si>
  <si>
    <t xml:space="preserve">SUPPORT VECTOR MACHINES; FEATURE-SELECTION; RANDOM FOREST; CLASSIFICATION; DIAGNOSIS; DISEASE; ALGORITHMS; MODEL</t>
  </si>
  <si>
    <t xml:space="preserve">Introduction: Dementia is a condition (a collection of related signs and symptoms) that causes a continuing deterioration in cognitive function, and millions of people are impacted by dementia every year as the world population continues to rise. Conventional approaches for determining dementia rely primarily on clinical examinations, analyzing medical records, and administering cognitive and neuropsychological testing. However, these methods are time-consuming and costly in terms of treatment. Therefore, this study aims to present a noninvasive method for the early prediction of dementia so that preventive steps should be taken to avoid dementia.Methods: We developed a hybrid diagnostic system based on statistical and machine learning (ML) methods that used patient electronic health records to predict dementia. The dataset used for this study was obtained from the Swedish National Study on Aging and Care (SNAC), with a sample size of 43040 and 75 features. The newly constructed diagnostic extracts a subset of useful features from the dataset through a statistical method (F-score). For the classification, we developed an ensemble voting classifier based on five different ML models: decision tree (DT), naive Bayes (NB), logistic regression (LR), support vector machines (SVM), and random forest (RF). To address the problem of ML model overfitting, we used a cross-validation approach to evaluate the performance of the proposed diagnostic system. Various assessment measures, such as accuracy, sensitivity, specificity, receiver operating characteristic (ROC) curve, and Matthew's correlation coefficient (MCC), were used to thoroughly validate the devised diagnostic system's efficiency.Results: According to the experimental results, the proposed diagnostic method achieved the best accuracy of 98.25%, as well as sensitivity of 97.44%, specificity of 95.744%, and MCC of 0.7535.Discussion: The effectiveness of the proposed diagnostic approach is compared to various cutting-edge feature selection techniques and baseline ML models. From experimental results, it is evident that the proposed diagnostic system outperformed the prior feature selection strategies and baseline ML models regarding accuracy.</t>
  </si>
  <si>
    <t xml:space="preserve">[Javeed, Ashir; Anderberg, Peter; Berglund, Johan Sanmartin] Blekinge Inst Technol, Dept Hlth, Karlskrona, Sweden; [Anderberg, Peter] Univ Skovde, Sch Hlth Sci, Skovde, Sweden; [Ghazi, Ahmad Nauman] Blekinge Inst Technol, Dept Software Engn, Karlskrona, Sweden; [Noor, Adeeb] King Abdulaziz Univ, Fac Comp &amp; Informat Technol, Dept Informat Technol, Jeddah, Saudi Arabia; [Elmstahl, Solve] Lund Univ, EpiHlth Epidemiol Hlth, SUS Malmo, Malmo, Sweden</t>
  </si>
  <si>
    <t xml:space="preserve">Blekinge Institute Technology; University of Skovde; Blekinge Institute Technology; King Abdulaziz University; Lund University</t>
  </si>
  <si>
    <t xml:space="preserve">Berglund, JS (corresponding author), Blekinge Inst Technol, Dept Hlth, Karlskrona, Sweden.</t>
  </si>
  <si>
    <t xml:space="preserve">johan.sanmartin.berglund@bth.se</t>
  </si>
  <si>
    <t xml:space="preserve">Sanmartin Berglund, Johan/HGB-0471-2022; Javeed, Ashir/ABG-2567-2022; Anderberg, Peter/B-5541-2012; Noor, Adeeb/AAS-6623-2021; Ghazi, Ahmad Nauman/R-1982-2016</t>
  </si>
  <si>
    <t xml:space="preserve">Noor, Adeeb/0000-0002-8251-1853; Ghazi, Ahmad Nauman/0000-0001-9336-4361</t>
  </si>
  <si>
    <t xml:space="preserve">Blekinge Institute of Technology; National E-Infrastructure for Aging Research (NEAR), Sweden</t>
  </si>
  <si>
    <t xml:space="preserve">The author(s) declare financial support was received for the research, authorship, and/or publication of this article. Open access funding provided by Blekinge Institute of Technology. The first author's learning process was supported by the National E-Infrastructure for Aging Research (NEAR), Sweden. NEAR is working on improving the health condition of older adults in Sweden.</t>
  </si>
  <si>
    <t xml:space="preserve">2296-4185</t>
  </si>
  <si>
    <t xml:space="preserve">FRONT BIOENG BIOTECH</t>
  </si>
  <si>
    <t xml:space="preserve">Front. Bioeng. Biotechnol.</t>
  </si>
  <si>
    <t xml:space="preserve">JAN 8</t>
  </si>
  <si>
    <t xml:space="preserve">10.3389/fbioe.2023.1336255</t>
  </si>
  <si>
    <t xml:space="preserve">Biotechnology &amp; Applied Microbiology; Engineering, Biomedical</t>
  </si>
  <si>
    <t xml:space="preserve">Biotechnology &amp; Applied Microbiology; Engineering</t>
  </si>
  <si>
    <t xml:space="preserve">GM8V8</t>
  </si>
  <si>
    <t xml:space="preserve">WOS:001153187700001</t>
  </si>
  <si>
    <t xml:space="preserve">Berglund-Snodgrass, L; Fjellfeldt, M; Högström, E; Markström, U</t>
  </si>
  <si>
    <t xml:space="preserve">Berglund-Snodgrass, Lina; Fjellfeldt, Maria; Hogstrom, Ebba; Markstrom, Urban</t>
  </si>
  <si>
    <t xml:space="preserve">A Healthy City for All? Social Services? Roles in Collaborative Urban Development</t>
  </si>
  <si>
    <t xml:space="preserve">collaboration; healthy cities; psychiatric disabilities; social services; Sweden</t>
  </si>
  <si>
    <t xml:space="preserve">There is broad consensus among policymakers about the urgency of developing healthy, inclusive, and socially sustainable cities. In the Swedish context, social services are considered to have knowledge that needs to be integrated into the broader urban development processes in order to accomplish such ends. This article aims to better understand the ways in which social service officials collaborate in urban development processes for developing the social dimensions of healthy cities. We draw from neo-institutional theories, which set out actors (e.g., social service officials) as acting according to a logic of appropriateness, which means that actors do what they see as appropriate for themselves in a specific type of situation. Based on semi-structured interviews with social services officials in 10 Swedish municipalities on their experiences of collaboration in the development of housing and living environments for people with psychiatric disabilities, we identified that they act based on (a) a pragmatic rule of conduct through the role of the problem solver, (b) a bureaucratic rule of conduct through the role of the knowledge provider, and (c) activist rule of conduct through the role of the advocator. In these roles, they have little authority in the development processes, and are unable to set the agenda for the social dimensions of healthy cities but act as the moral consciousness by looking out for everyone's right to equal living conditions in urban development.</t>
  </si>
  <si>
    <t xml:space="preserve">[Berglund-Snodgrass, Lina] Swedish Univ Agr Sci, Dept Landscape Architecture Planning &amp; Management, Uppsala, Sweden; [Fjellfeldt, Maria] Dalarna Univ, Dept Hlth &amp; Welf, Falun, Sweden; [Hogstrom, Ebba] Blekinge Inst Technol, Dept Spatial Planning, Karlskrona, Sweden; [Markstrom, Urban] Umea Univ, Dept Social Work, Umea, Sweden</t>
  </si>
  <si>
    <t xml:space="preserve">Swedish University of Agricultural Sciences; Dalarna University; Blekinge Institute Technology; Umea University</t>
  </si>
  <si>
    <t xml:space="preserve">Berglund-Snodgrass, L (corresponding author), Swedish Univ Agr Sci, Dept Landscape Architecture Planning &amp; Management, Uppsala, Sweden.</t>
  </si>
  <si>
    <t xml:space="preserve">lina.berglund.snodgrass@slu.se</t>
  </si>
  <si>
    <t xml:space="preserve">Formas-Swedish Research Council for Sustainable Development(Swedish Research Council FormasSwedish Research Council); Forte-Swedish Research Council for Health, Working Life and Welfare(Swedish Research Council for Health Working Life &amp; Welfare (Forte)Swedish Research Council); ; ;</t>
  </si>
  <si>
    <t xml:space="preserve">We would like to take the opportunity to thank all the interviewees for participating in this study, as well as the three anonymous reviewers, for their valuable comments and suggestions on earlier drafts of the manuscript. We also thank Charles Snodgrass for excel- lent proofreading. This research project was funded Formas-Swedish Research Council for Sustainable Development (Grant Nos. 2018-00058 and 2018-00192) and Forte-Swedish Research Council for Health, Working Life and Welfare (Grant No. 2018-01325) .</t>
  </si>
  <si>
    <t xml:space="preserve">10.17645/up.v7i4.5620</t>
  </si>
  <si>
    <t xml:space="preserve">5X1OC</t>
  </si>
  <si>
    <t xml:space="preserve">WOS:000878374600009</t>
  </si>
  <si>
    <t xml:space="preserve">Grossmann, J; Felderer, M; Viehmann, J; Schieferdecker, I</t>
  </si>
  <si>
    <t xml:space="preserve">Grossmann, Juergen; Felderer, Michael; Viehmann, Johannes; Schieferdecker, Ina</t>
  </si>
  <si>
    <t xml:space="preserve">A Taxonomy to Assess and Tailor Risk-Based Testing in Recent Testing Standards</t>
  </si>
  <si>
    <t xml:space="preserve">Testing; Risk management; Taxonomy; ISO Standards; Security; IEC Standards; Risk management; Testing strategies; Test management; Security and Privacy Protection</t>
  </si>
  <si>
    <t xml:space="preserve">This article provides a taxonomy for risk-based testing that serves as a tool to define, tailor, or assess such approaches. In this setting, the taxonomy is used to systematically identify deviations between the requirements from public standards and the individual testing approaches.</t>
  </si>
  <si>
    <t xml:space="preserve">[Grossmann, Juergen] Fraunhofer Inst Open Commun Syst, Crit Syst Engn, Berlin, Germany; [Felderer, Michael] Univ Innsbruck, Innsbruck, Austria; [Felderer, Michael] Blekinge Inst Technol, Karlskrona, Sweden; [Viehmann, Johannes; Schieferdecker, Ina] Fraunhofer Inst Open Commun Syst, Berlin, Germany; [Schieferdecker, Ina] Tech Univ Berlin, Berlin, Germany</t>
  </si>
  <si>
    <t xml:space="preserve">Fraunhofer Gesellschaft; Fraunhofer Germany; Fraunhofer Open Communication Systems; University of Innsbruck; Blekinge Institute Technology; Fraunhofer Gesellschaft; Fraunhofer Germany; Fraunhofer Open Communication Systems; Technical University of Berlin</t>
  </si>
  <si>
    <t xml:space="preserve">Grossmann, J (corresponding author), Fraunhofer Inst Open Commun Syst, Crit Syst Engn, Berlin, Germany.</t>
  </si>
  <si>
    <t xml:space="preserve">juergen.grossmann@fokus.fraunhofer.de; michael.felderer@uibk.ac.at; johannes.viehmann@fokus.fraunhofer.de; ina.schieferdecker@fokus.fraunhofer.de</t>
  </si>
  <si>
    <t xml:space="preserve">Felderer, Michael/AAF-4909-2020; Schieferdecker, Ina/KIE-9520-2024</t>
  </si>
  <si>
    <t xml:space="preserve">JAN-FEB</t>
  </si>
  <si>
    <t xml:space="preserve">10.1109/MS.2019.2915297</t>
  </si>
  <si>
    <t xml:space="preserve">KA2BA</t>
  </si>
  <si>
    <t xml:space="preserve">WOS:000505601600007</t>
  </si>
  <si>
    <t xml:space="preserve">Tkach, V; Kudin, A; Zadiraka, V; Shvidchenko, I</t>
  </si>
  <si>
    <t xml:space="preserve">Tkach, V.; Kudin, A.; Zadiraka, V.; Shvidchenko, I.</t>
  </si>
  <si>
    <t xml:space="preserve">Signatureless Anomalous Behavior Detection in Information Systems</t>
  </si>
  <si>
    <t xml:space="preserve">CYBERNETICS AND SYSTEMS ANALYSIS</t>
  </si>
  <si>
    <t xml:space="preserve">anomaly detection; finite state machine; SIEM; time-series; cybersecurity</t>
  </si>
  <si>
    <t xml:space="preserve">The early detection of cyber threats with cyber-attacks adapted to the nature of information systems is a crucial cybersecurity problem. This problem and the task of recognizing normal and abnormal states and behavior of various processes in information systems are closely related. An additional condition is often the absence of templates, signatures, or rules of normal behavior that would allow the use of existing statistical or other known data analysis methods. We analyze the existing and propose a new method for detecting abnormal behavior without using signatures based on the finite state machine (FSM) model and the Security Information and Events Management (SIEM) system.</t>
  </si>
  <si>
    <t xml:space="preserve">[Tkach, V.] Blekinge Inst Technol, Karlskrona, Sweden; [Tkach, V.; Kudin, A.] Natl Tech Univ Ukraine, Igor Sikorsky Kyiv Polytech Inst, Kiev, Ukraine; [Kudin, A.] Natl Bank Ukraine, Kiev, Ukraine; [Zadiraka, V.; Shvidchenko, I.] Natl Acad Sci Ukraine, V M Glushkov Inst Cybernet, Kiev, Ukraine</t>
  </si>
  <si>
    <t xml:space="preserve">Blekinge Institute Technology; Ministry of Education &amp; Science of Ukraine; Igor Sikorsky Kyiv Polytechnic Institute; National Bank of Ukraine; National Academy of Sciences Ukraine; V. M. Glushkov Institute of Cybernetics, National Academy of Sciences of Ukraine</t>
  </si>
  <si>
    <t xml:space="preserve">Tkach, V (corresponding author), Blekinge Inst Technol, Karlskrona, Sweden.;Tkach, V (corresponding author), Natl Tech Univ Ukraine, Igor Sikorsky Kyiv Polytech Inst, Kiev, Ukraine.</t>
  </si>
  <si>
    <t xml:space="preserve">volodymyr.tkach@bth.se; pplayshner@gmail.com; zvk140@ukr.net; inetsheva@gmail.com</t>
  </si>
  <si>
    <t xml:space="preserve">Shvidchenko, Inna/M-4280-2018; Zadiraka, Valerii/AIB-8555-2022</t>
  </si>
  <si>
    <t xml:space="preserve">Shvidchenko, Inna/0000-0002-5434-2845; Zadiraka, Valerii/0000-0001-9628-0454</t>
  </si>
  <si>
    <t xml:space="preserve">1060-0396</t>
  </si>
  <si>
    <t xml:space="preserve">1573-8337</t>
  </si>
  <si>
    <t xml:space="preserve">CYBERN SYST ANAL+</t>
  </si>
  <si>
    <t xml:space="preserve">Cybern. Syst. Anal.</t>
  </si>
  <si>
    <t xml:space="preserve">10.1007/s10559-023-00613-y</t>
  </si>
  <si>
    <t xml:space="preserve">Computer Science, Cybernetics; Mathematics, Interdisciplinary Applications</t>
  </si>
  <si>
    <t xml:space="preserve">U2RB9</t>
  </si>
  <si>
    <t xml:space="preserve">WOS:001083315900004</t>
  </si>
  <si>
    <t xml:space="preserve">Berglund-Snodgrass, L; Mukhtar-Landgren, D</t>
  </si>
  <si>
    <t xml:space="preserve">Berglund-Snodgrass, Lina; Mukhtar-Landgren, Dalia</t>
  </si>
  <si>
    <t xml:space="preserve">Conceptualizing Testbed Planning: Urban Planning in the Intersection between Experimental and Public Sector Logics</t>
  </si>
  <si>
    <t xml:space="preserve">experimental governance; institutional logics; urban experimentation; urban planning; testbed planning</t>
  </si>
  <si>
    <t xml:space="preserve">GOVERNANCE; CITIES; SPACES</t>
  </si>
  <si>
    <t xml:space="preserve">Urban planning is, in many countries, increasingly becoming intertwined with local climate ambitions, investments in urban attractiveness and smart city innovation measures. In the intersection between these trends, urban experimentation has developed as a process where actors are granted action space to test innovations in a collaborative setting. One arena for urban experimentation is urban testbeds. Testbeds are sites of urban development, in which experimentation constitutes an integral part of planning and developing the area. This article introduces the notion of testbed planning as a way to conceptualize planning processes in delimited sites where planning is combined with processes of urban experimentation. We define testbed planning as a multi-actor, collaborative planning process in a delimited area, with the ambition to generate and disseminate learning while simultaneously developing the site. The aim of this article is to explore processes of testbed planning with regard to the role of urban planners. Using an institutional logics perspective we conceptualize planners as navigating between a public sector-and an experimental logic. The public sector logic constitutes the formal structure of traditional urban planning, and the experimental logic a collaborative and testing governance structure. Using examples from three Nordic municipalities, this article explores planning roles in experiments with autonomous buses in testbeds. The analysis shows that planners negotiate these logics in three different ways, combining and merging them, separating and moving between them or acting within a conflictual process where the public sector logic dominates.</t>
  </si>
  <si>
    <t xml:space="preserve">[Berglund-Snodgrass, Lina] Blekinge Inst Technol, Dept Spatial Planning, S-37179 Karlskrona, Sweden; [Berglund-Snodgrass, Lina; Mukhtar-Landgren, Dalia] K2 Swedish Knowledge Ctr Publ Transport, S-22236 Lund, Sweden; [Mukhtar-Landgren, Dalia] Lund Univ, Dept Polit Sci, S-22100 Lund, Sweden</t>
  </si>
  <si>
    <t xml:space="preserve">Blekinge Institute Technology; Lund University; Lund University</t>
  </si>
  <si>
    <t xml:space="preserve">Mukhtar-Landgren, D (corresponding author), K2 Swedish Knowledge Ctr Publ Transport, S-22236 Lund, Sweden.;Mukhtar-Landgren, D (corresponding author), Lund Univ, Dept Polit Sci, S-22100 Lund, Sweden.</t>
  </si>
  <si>
    <t xml:space="preserve">lina.berglund-snodgrass@bth.se; dalia.mukhtar-landgren@svet.lu.se</t>
  </si>
  <si>
    <t xml:space="preserve">Berglund-Snodgrass, Lina/HHM-9569-2022; Mukhtar-Landgren, Dalia/HOH-8793-2023</t>
  </si>
  <si>
    <t xml:space="preserve">Berglund-Snodgrass, Lina/0000-0003-3003-0457; Mukhtar-Landgren, Dalia/0000-0002-0771-5821</t>
  </si>
  <si>
    <t xml:space="preserve">K2-The Swedish Knowledge Centre for Public Transport</t>
  </si>
  <si>
    <t xml:space="preserve">The article was written within the frame of a research project funded by K2-The Swedish Knowledge Centre for Public Transport. Thank you to the anonymous reviewers for valuable comments, and to the civil servants and other actors that took their time to participate in the interviews.</t>
  </si>
  <si>
    <t xml:space="preserve">10.17645/up.v5i1.2528</t>
  </si>
  <si>
    <t xml:space="preserve">OT6EN</t>
  </si>
  <si>
    <t xml:space="preserve">WOS:000590937500004</t>
  </si>
  <si>
    <t xml:space="preserve">How to Integrate Security Compliance Requirements with Agile Software Engineering at Scale?</t>
  </si>
  <si>
    <t xml:space="preserve">Secure software engineering; Scaled Agile Framework; Security standards</t>
  </si>
  <si>
    <t xml:space="preserve">Integrating security into agile software development is an open issue for research and practice. Especially in strongly regulated industries, complexity increases not only when scaling agile practices but also when aiming for compliance with security standards. To achieve security compliance in a large-scale agile context, we developed (SC)-C-2-SAFe: An extension of the Scaled Agile Framework that is compliant to the security standard IEC 62443-4-1 for secure product development. In this paper, we present the framework and its evaluation by agile and security experts within Siemens' large-scale project ecosystem. We discuss benefits and limitations as well as challenges from a practitioners' perspective. Our results indicate that (SC)-C-2-SAFe contributes to successfully integrating security compliance with lean and agile development in regulated environments. We also hope to raise awareness for the importance and challenges of integrating security in the scope of Continuous Software Engineering.</t>
  </si>
  <si>
    <t xml:space="preserve">[Moyon, Fabiola; Klepper, Sebastian] Tech Univ Munich, Munich, Germany; [Moyon, Fabiola] Siemens, Munich, Germany; [Mendez, Daniel] Blekinge Inst Technol, Karlskrona, Sweden; [Mendez, Daniel] Fortiss GmbH, Munich, Germany; [Beckers, Kristian] Social Engn Acad, Frankfurt, Germany</t>
  </si>
  <si>
    <t xml:space="preserve">Technical University of Munich; Siemens AG; Siemens Germany; Blekinge Institute Technology; fortiss</t>
  </si>
  <si>
    <t xml:space="preserve">Moyón, F (corresponding author), Tech Univ Munich, Munich, Germany.;Moyón, F (corresponding author), Siemens, Munich, Germany.</t>
  </si>
  <si>
    <t xml:space="preserve">fabiola.moyon@tum.com; daniel.mendez@bth.se; kristian.beckers@social-engineering.academy; sebastian.klepper@tum.de</t>
  </si>
  <si>
    <t xml:space="preserve">10.1007/978-3-030-64148-1_5</t>
  </si>
  <si>
    <t xml:space="preserve">WOS:000766320200005</t>
  </si>
  <si>
    <t xml:space="preserve">Fischbach, J; Frattini, J; Vogelsang, A; Mendez, D; Unterkalmsteiner, M; Wehrle, A; Henao, PR; Yousefi, P; Juricic, T; Radduenz, J; Wiecher, C</t>
  </si>
  <si>
    <t xml:space="preserve">Fischbach, Jannik; Frattini, Julian; Vogelsang, Andreas; Mendez, Daniel; Unterkalmsteiner, Michael; Wehrle, Andreas; Henao, Pablo Restrepo; Yousefi, Parisa; Juricic, Tedi; Radduenz, Jeannette; Wiecher, Carsten</t>
  </si>
  <si>
    <t xml:space="preserve">Automatic creation of acceptance tests by extracting conditionals from requirements: NLP approach and case study</t>
  </si>
  <si>
    <t xml:space="preserve">Acceptance testing; Automatic test case creation; Requirements engineering; Natural language processing; Causality extraction</t>
  </si>
  <si>
    <t xml:space="preserve">NATURAL-LANGUAGE REQUIREMENTS; GENERATION</t>
  </si>
  <si>
    <t xml:space="preserve">Acceptance testing is crucial to determine whether a system fulfills end-user requirements. However, the creation of acceptance tests is a laborious task entailing two major challenges: (1) practitioners need to determine the right set of test cases that fully covers a requirement, and (2) they need to create test cases manually due to insufficient tool support. Existing approaches for automatically deriving test cases require semi-formal or even formal notations of requirements, though unrestricted natural language is prevalent in practice. In this paper, we present our tool-supported approach CiRA (Conditionals in Requirements Artifacts) capable of creating the minimal set of required test cases from conditional statements in informal requirements. We demonstrate the feasibility of CiRA in a case study with three industry partners. In our study, out of 578 manually created test cases, 71.8% can be generated automatically. Additionally, CiRA discovered 80 relevant test cases that were missed in manual test case design. CiRA is publicly available at www.cira.bth.se/demo/.(c) 2022 Published by Elsevier Inc.</t>
  </si>
  <si>
    <t xml:space="preserve">[Fischbach, Jannik; Henao, Pablo Restrepo] Netlight Consulting GmbH, Sternstr 5, D-80538 Munich, Germany; [Fischbach, Jannik; Mendez, Daniel] Fortiss GmbH, Guerickestr 25, D-80805 Munich, Germany; [Frattini, Julian; Mendez, Daniel; Unterkalmsteiner, Michael] Blekinge Inst Technol, Valhallavagen 1, S-37141 Karlskrona, Sweden; [Vogelsang, Andreas] Univ Cologne, Albertus Magnus Pl, D-50923 Cologne, Germany; [Yousefi, Parisa; Juricic, Tedi] Ericsson, Olandsgatan 1, S-37133 Karlskrona, Sweden; [Wehrle, Andreas; Radduenz, Jeannette] Allianz Deutschland AG, Dieselstr 6, D-85774 Unterfohring, Germany; [Wiecher, Carsten] Leopold Kostal GmbH &amp; Co KG, Bellmerei 10, D-58513 Ludenscheid, Germany</t>
  </si>
  <si>
    <t xml:space="preserve">fortiss; Blekinge Institute Technology; University of Cologne; Ericsson</t>
  </si>
  <si>
    <t xml:space="preserve">Fischbach, J (corresponding author), Netlight Consulting GmbH, Sternstr 5, D-80538 Munich, Germany.</t>
  </si>
  <si>
    <t xml:space="preserve">jannik.fischbach@netlight.com; julian.frattini@bth.se; vogelsang@cs.uni-koeln.de; daniel.mendez@bth.se; michael.unterkalmsteiner@bth.se; andreas.wehrle@allianz.de; pablo.restrepo@netlight.com; parisa.yousefi@ericsson.com; tedi.juricic@ericsson.com; jeannette.radduenz@allianz.de; c.wiecher@kostal.com</t>
  </si>
  <si>
    <t xml:space="preserve">Unterkalmsteiner, Michael/0000-0003-4118-0952; Mendez Fernandez, Daniel/0000-0003-0619-6027; Frattini, Julian/0000-0003-3995-6125; Vogelsang, Andreas/0000-0003-1041-0815</t>
  </si>
  <si>
    <t xml:space="preserve">We would like to acknowledge that this work was supported by the KKS foundation through the S.E.R.T. Research Profile project at Blekinge Institute of Technology. We thank all collaborating companies for providing access to their data and test designers who volunteered their time to participate in this research.</t>
  </si>
  <si>
    <t xml:space="preserve">10.1016/j.jss.2022.111549</t>
  </si>
  <si>
    <t xml:space="preserve">8Q1PA</t>
  </si>
  <si>
    <t xml:space="preserve">WOS:000926985500008</t>
  </si>
  <si>
    <t xml:space="preserve">Abbas, Z; Zhao, L; Su, JX; Zhang, P; Deng, JX; Jiaqi, Z; Patel, V; Saboor, HA; Islam, MS</t>
  </si>
  <si>
    <t xml:space="preserve">Abbas, Zeshan; Zhao, Lun; Su, Jianxiong; Zhang, Peng; Deng, Jianxiong; Jiaqi, Zeng; Patel, Vivek; Saboor, Hafiz Abdul; Islam, Md Shafiqul</t>
  </si>
  <si>
    <t xml:space="preserve">Investigation of forming quality and failure behaviours of multilayered welded joints using ultrasonic double roller welding</t>
  </si>
  <si>
    <t xml:space="preserve">Ultrasonic double roller welding; Copper foils; 40 layers; Mechanical testing; SEM and EDS analysis; Lithium-ion batteries</t>
  </si>
  <si>
    <t xml:space="preserve">STRENGTH; CU</t>
  </si>
  <si>
    <t xml:space="preserve">Ultrasonic metal welding machines are suitable for various complex applications (e.g., battery tabs) through unique mechanical design, special pressure application methods and high-precision welding. This work reports the weldability, forming quality and fractographic analysis of copper multilayered welded joints which were studied by SEM-EDS characterization, micro-hardness testing and tensile testing based on ultrasonic double roller welding (UDRW). Three groups of process parameters (A, B and C) were established to investigate the performance, production quality and welded joint surface interconnections. The tensile testing results of sample under parameter 3 in group A [S-P3(A)] indicate the maximum tensile strength of 69.859 N in T-peel test while the average tensile strength has increased by 58.525 N due to rise in welding time from 2 sec to 5 sec. The results analysis indicates that welding quality features in S-P3(A) joints under 4 bar, 100 mm/s, 45 % have been exploited. The over-welded zone was transformed into good-welded zone. The micro-cracks, fatigue stations and peeling texture in multilayers were reduced. It was found that when the welding energy was 10000 J then the tearing edges and interlayers cracks were minimized while keeping the other parameters constant. Moreover, when the amplitude increased up to 50 %, then numerous micro-cracks and micro-fissure stations were created, which leads to the occurrence of fracture in multi-layer welded joint. The EDS study investigated that the complex features are formed at the interface junction of sample 3 S3(A) in multilayer welds. The complex multilayer microstructures can induce and produce unique hardness properties for battery manufacturing. It leads to high quality and durable welds. Eventually, it is experimentally demonstrated that robust 40 layer welded joints can be obtained by the UDRW process. Data availability: The datasets used and/or analyzed during the current study are available from the corresponding author upon reasonable request.</t>
  </si>
  <si>
    <t xml:space="preserve">[Abbas, Zeshan; Zhao, Lun; Su, Jianxiong; Zhang, Peng; Deng, Jianxiong; Jiaqi, Zeng] Shenzhen Polytech Univ, Inst Ultrason Technol, Shenzhen 518055, Peoples R China; [Patel, Vivek] Univ West, Dept Engn Sci, S-46186 Trollhattan, Sweden; [Saboor, Hafiz Abdul] Shanghai Univ, Sch Mechatron Engn &amp; Automat, Shanghai 200444, Peoples R China; [Islam, Md Shafiqul] Blekinge Inst Technol, Dept Mech Engn, S-37179 Karlskrona, Sweden</t>
  </si>
  <si>
    <t xml:space="preserve">Shenzhen Polytechnic University; University West - Sweden; Shanghai University; Blekinge Institute Technology</t>
  </si>
  <si>
    <t xml:space="preserve">Islam, Dr Md Shafiqul/IXN-9424-2023; Abbas, Zeshan/MEO-8370-2025</t>
  </si>
  <si>
    <t xml:space="preserve">Scientific Research Startup Fund for Shenzhen High-Caliber Personnel of SZPU [6022310046K]; SZPU-Newpower Ultrasonic welding R D [602331009PQ]; National Natural Science Foundation of China [12104324]; Post-doctoral Later-stage Foundation Project of Shenzhen Polytechnic University [6023271014K]; Postdoctoral Startup Fund of Shenzhen Polytechnic University [6022331008K]</t>
  </si>
  <si>
    <t xml:space="preserve">Scientific Research Startup Fund for Shenzhen High-Caliber Personnel of SZPU; SZPU-Newpower Ultrasonic welding R D; National Natural Science Foundation of China(National Natural Science Foundation of China (NSFC)); Post-doctoral Later-stage Foundation Project of Shenzhen Polytechnic University; Postdoctoral Startup Fund of Shenzhen Polytechnic University</t>
  </si>
  <si>
    <t xml:space="preserve">Ethics declarations This research is supported by Scientific Research Startup Fund for Shenzhen High-Caliber Personnel of SZPU (Grant No. 6022310046K) ; SZPU-Newpower Ultrasonic welding R &amp; D (Grant No. 602331009PQ) ; National Natural Science Foundation of China (Grant No. 12104324) ; Post-doctoral Later-stage Foundation Project of Shenzhen Polytechnic University (Grant No. 6023271014K) ; Postdoctoral Startup Fund of Shenzhen Polytechnic University (Grant No. 6022331008K)</t>
  </si>
  <si>
    <t xml:space="preserve">10.1016/j.aej.2024.07.073</t>
  </si>
  <si>
    <t xml:space="preserve">A6H7V</t>
  </si>
  <si>
    <t xml:space="preserve">WOS:001283531900001</t>
  </si>
  <si>
    <t xml:space="preserve">Girardi, D; Ferrari, A; Novielli, N; Spoletini, P; Fucci, D; Huichapa, T</t>
  </si>
  <si>
    <t xml:space="preserve">Girardi, Daniela; Ferrari, Alessio; Novielli, Nicole; Spoletini, Paola; Fucci, Davide; Huichapa, Thaide</t>
  </si>
  <si>
    <t xml:space="preserve">The Way it Makes you Feel Predicting Users' Engagement during Interviews with Biofeedback and Supervised Learning</t>
  </si>
  <si>
    <t xml:space="preserve">REQUIREMENTS ELICITATION INTERVIEWS; DOMAIN KNOWLEDGE; EMOTION; RECOGNITION; INVOLVEMENT; CROWD; PULSE</t>
  </si>
  <si>
    <t xml:space="preserve">Capturing users' engagement is crucial for gathering feedback about the features of a software product. In a market-driven context, current approaches to collect and analyze users' feedback are based on techniques leveraging information extracted from product reviews and social media. These approaches are hardly applicable in bespoke software development, or in contexts in which one needs to gather information from specific users. In such cases, companies need to resort to face-to-face interviews to get feedback on their products. In this paper, we propose to utilize biofeedback to complement interviews with information about the engagement of the user on the discussed features and topics. We evaluate our approach by interviewing users while gathering their biometric data using an Empatica E4 wristband. Our results show that we can predict users' engagement by training supervised machine learning algorithms on the biometric data. The results of our work can be used to facilitate the prioritization of product features and to guide the interview based on users' engagement.</t>
  </si>
  <si>
    <t xml:space="preserve">[Girardi, Daniela; Novielli, Nicole] Univ Bari, Bari, Italy; [Ferrari, Alessio] CNR ISTI, Pisa, Italy; [Spoletini, Paola; Huichapa, Thaide] Kennesaw State Univ, Kennesaw, GA 30144 USA; [Fucci, Davide] BTH, Karlskrona, Sweden</t>
  </si>
  <si>
    <t xml:space="preserve">Universita degli Studi di Bari Aldo Moro; Consiglio Nazionale delle Ricerche (CNR); Istituto di Scienza e Tecnologie dell'Informazione Alessandro Faedo (ISTI-CNR); University System of Georgia; Kennesaw State University; Blekinge Institute Technology</t>
  </si>
  <si>
    <t xml:space="preserve">daniela.girardi@uniba.it; alessio.ferrari@isti.cnr.it; nicole.novielli@uniba.it; pspoleti@kennesaw.edu; davide.fucci@bth.se; thuichap@students.kennesaw.edu</t>
  </si>
  <si>
    <t xml:space="preserve">Fucci, Davide/C-1463-2015; Ferrari, Alessio/J-1155-2019; Novielli, Nicole/Y-9583-2019; Spoletini, Paola/AAW-5798-2020</t>
  </si>
  <si>
    <t xml:space="preserve">FERRARI, ALESSIO/0000-0002-0636-5663</t>
  </si>
  <si>
    <t xml:space="preserve">KKS foundation through the S.E.R.T. Research Profile project at Blekinge Institute of Technology; National Science Foundation [CCF-1718377]</t>
  </si>
  <si>
    <t xml:space="preserve">KKS foundation through the S.E.R.T. Research Profile project at Blekinge Institute of Technology; National Science Foundation(National Science Foundation (NSF))</t>
  </si>
  <si>
    <t xml:space="preserve">This work was partially supported by the KKS foundation through the S.E.R.T. Research Profile project at Blekinge Institute of Technology and by the National Science Foundation under grant CCF-1718377.</t>
  </si>
  <si>
    <t xml:space="preserve">10.1109/RE48521.2020.00016</t>
  </si>
  <si>
    <t xml:space="preserve">WOS:000628527900007</t>
  </si>
  <si>
    <t xml:space="preserve">Flyckt, J; Andersson, F; Lavesson, N; Nilsson, L; Gren, AMÅ</t>
  </si>
  <si>
    <t xml:space="preserve">Flyckt, Jonatan; Andersson, Filip; Lavesson, Niklas; Nilsson, Liselott; Gren, Anneli M. A.</t>
  </si>
  <si>
    <t xml:space="preserve">Detecting ditches using supervised learning on high-resolution digital elevation models</t>
  </si>
  <si>
    <t xml:space="preserve">Machine learning; Geographic information systems; Classification and regression trees; Supervised learning by classification</t>
  </si>
  <si>
    <t xml:space="preserve">Drained wetlands can constitute a large source of greenhouse gas emissions, but the drainage networks in these wetlands are largely unmapped, and better maps are needed to aid in forest production and to better understand the climate consequences. We develop a method for detecting ditches in high resolution digital elevation models derived from LiDAR scans. Thresholding methods using digital terrain indices can be used to detect ditches. However, a single threshold generally does not capture the variability in the landscape, and generates many false positives and negatives. We hypothesise that, by combining the digital terrain indices using supervised learning, we can improve ditch detection at a landscape-scale. In addition to digital terrain indices, additional features are generated by transforming the data to include neighbouring cells for better ditch predictions. A Random Forests classifier is used to locate the ditches, and its probability output is processed to remove noise, and binarised to produce the final ditch prediction. The confidence interval for the Cohen's Kappa index ranges [0.655 , 0.781] between the evaluation plots with a confidence level of 95%. The study demonstrates that combining information from a suite of digital terrain indices using machine learning provides an effective technique for automatic ditch detection at a landscape-scale, aiding in both practical forest management and in combatting climate change.</t>
  </si>
  <si>
    <t xml:space="preserve">[Flyckt, Jonatan; Andersson, Filip] Jonkoping Univ, Sch Engn, Dept Comp, Gjuterigatan 5, S-55318 Jonkoping, Sweden; [Flyckt, Jonatan] Herenco AB, Skolgatan 24, S-55316 Jonkoping, Sweden; [Lavesson, Niklas] Blekinge Inst Technol, Dept Software Engn, SE-37179 Karlskrona, Sweden; [Nilsson, Liselott] Swedish Forest Agcy, Forest Dept, Skeppargatan 17, S-93132 Skelleftea, Sweden; [Gren, Anneli M. A.] Swedish Univ Agr Sci, Dept Forest Ecol &amp; Management, SLU, Skogsmarksgrand 17, S-90183 Umea, Sweden</t>
  </si>
  <si>
    <t xml:space="preserve">Jonkoping University; Blekinge Institute Technology; Swedish University of Agricultural Sciences</t>
  </si>
  <si>
    <t xml:space="preserve">Lavesson, N (corresponding author), Blekinge Inst Technol, Dept Software Engn, SE-37179 Karlskrona, Sweden.</t>
  </si>
  <si>
    <t xml:space="preserve">jonatan.flyckt@herenco.com; filipandersson.1997.245@gmail.com; niklas.lavesson@bth.se; liselott.nilsson@skogsstyrelsen.se; anneli.agren@slu.se</t>
  </si>
  <si>
    <t xml:space="preserve">Ågren, Anneli/B-7887-2012; Lavesson, Niklas/B-3313-2013</t>
  </si>
  <si>
    <t xml:space="preserve">Agren, Anneli M./0000-0002-6758-3971; Lavesson, Niklas/0000-0002-0535-1761</t>
  </si>
  <si>
    <t xml:space="preserve">VINNOVA, Sweden; EU InterReg Baltic Sea project WAMBAF tools; Formas</t>
  </si>
  <si>
    <t xml:space="preserve">VINNOVA, Sweden(Vinnova); EU InterReg Baltic Sea project WAMBAF tools(Interreg Europe); Formas(Swedish Research Council Formas)</t>
  </si>
  <si>
    <t xml:space="preserve">We wish to thank the anonymous reviewers and Dr. Siddhartho Paul at the Swedish University of Agricultural Sciences, whose suggestions helped improve and clarify this manuscript. We also thank Sigurd Israelsson at the School of Engineering at Jonkoping University for lending hardware resources for the experiments in this study. This work was supported by VINNOVA, Sweden, EU InterReg Baltic Sea project WAMBAF tools and Formas.</t>
  </si>
  <si>
    <t xml:space="preserve">SEP 1</t>
  </si>
  <si>
    <t xml:space="preserve">10.1016/j.eswa.2022.116961</t>
  </si>
  <si>
    <t xml:space="preserve">3E6QO</t>
  </si>
  <si>
    <t xml:space="preserve">WOS:000830107400002</t>
  </si>
  <si>
    <t xml:space="preserve">Klotins, E; Unterkalmsteiner, M; Chatzipetrou, P; Gorschek, T; Prikladnicki, R; Tripathi, N; Pompermaier, LB</t>
  </si>
  <si>
    <t xml:space="preserve">Klotins, Eriks; Unterkalmsteiner, Michael; Chatzipetrou, Panagiota; Gorschek, Tony; Prikladnicki, Rafael; Tripathi, Nirnaya; Pompermaier, Leandro Bento</t>
  </si>
  <si>
    <t xml:space="preserve">Use of Agile Practices in Start-up Companies</t>
  </si>
  <si>
    <t xml:space="preserve">Agile practices; start-up companies</t>
  </si>
  <si>
    <t xml:space="preserve">SOFTWARE-DEVELOPMENT; METHODOLOGY; QUALITY; BAD</t>
  </si>
  <si>
    <t xml:space="preserve">Context Software start-ups have shown their ability to develop and launch innovative software products and services. Small, motivated teams and uncertain project scope makes start-ups good candidates for adopting Agile practices. Objective We explore how start-ups use Agile practices and what effects can be associated with the use of those practices. Method We use a case survey to analyze 84 start-up cases and 56 Agile practices. We apply statistical methods to test for statistically significant associations between the use of Agile practices, team, and product factors. Results Our results suggest that development of the backlog, use of version control, code refactoring, and development of user stories are the most frequently reported practices. We identify 22 associations between the use of Agile practices, team, and product factors. The use of Agile practices is associated with effects on source code and overall product quality. A teams' positive or negative attitude towards best engineering practices is a significant indicator for either adoption or rejection of certain Agile practices. To explore the relationships in our findings, we set forth a number of propositions that can be investigated in future research. Conclusions We conclude that start-ups use Agile practices, however without following any specific methodology. We identify the opportunity for more fine-grained studies into the adoption and effects of individual Agile practices. Start-up practitioners could benefit from Agile practices in terms of better overall quality, tighter control over team performance, and resource utilization.</t>
  </si>
  <si>
    <t xml:space="preserve">[Klotins, Eriks; Unterkalmsteiner, Michael; Gorschek, Tony] Blekinge Inst Technol, Software Engn Res Lab, Karlskrona, Sweden; [Chatzipetrou, Panagiota] Orebro Univ, Dept Informat, CERIS, Sch Business, Orebro, Sweden; [Prikladnicki, Rafael; Pompermaier, Leandro Bento] Pontificia Univ Catolica Rio Grande do Sul, Software Engn Res Lab, Porto Alegre, RS, Brazil; [Tripathi, Nirnaya] Univ Oulu, Software Engn Res Lab, Oulu, Finland</t>
  </si>
  <si>
    <t xml:space="preserve">Blekinge Institute Technology; Orebro University; Pontificia Universidade Catolica Do Rio Grande Do Sul; University of Oulu</t>
  </si>
  <si>
    <t xml:space="preserve">eriks.klotins@bth.se; michael.unterkalmsteiner@bth.se; panagiota.chatzipetrou@oru.se; tony.gorschek@bth.se; rafael.prikladnicki@pucrs.br; Nirnaya.Tripathi@oulu.fi; leandro.pompermaier@pucrs.br</t>
  </si>
  <si>
    <t xml:space="preserve">Tripathi, Nirnaya/0000-0001-8506-1176</t>
  </si>
  <si>
    <t xml:space="preserve">Software Start-up Research Network4 community; Foundation for Research Support of the State of Rio Grande do Sul [17/2551-0001/205-4]; Brazilian National Council for Scientific and Technological Development</t>
  </si>
  <si>
    <t xml:space="preserve">Software Start-up Research Network4 community; Foundation for Research Support of the State of Rio Grande do Sul; Brazilian National Council for Scientific and Technological Development(Conselho Nacional de Desenvolvimento Cientifico e Tecnologico (CNPQ))</t>
  </si>
  <si>
    <t xml:space="preserve">The authors of this paper would like to thank all practitioners who found time and motivation to participate in this study. Reaching this diverse population of start-ups would not be possible without help and support from Software Start-up Research Network4 community, and specifically Nana Assyne, Anh Nguyen Duc, Ronald Jabangwe, Jorge Melegati, Bajwa Sohaib Shahid, Xiaofeng Wang, Rafael Matone Chanin, and Pekka Abrahamsson. This work is partially funded by the Foundation for Research Support of the State of Rio Grande do Sul (17/2551-0001/205-4) and the Brazilian National Council for Scientific and Technological Development.</t>
  </si>
  <si>
    <t xml:space="preserve">10.37190/e-Inf210103</t>
  </si>
  <si>
    <t xml:space="preserve">SM2GH</t>
  </si>
  <si>
    <t xml:space="preserve">WOS:000657427800001</t>
  </si>
  <si>
    <t xml:space="preserve">Alves, DI; Palm, BG; Hellsten, H; Machado, R; Vu, VT; Pettersson, MI; Dammert, P</t>
  </si>
  <si>
    <t xml:space="preserve">Alves, Dimas Irion; Palm, Bruna Gregory; Hellsten, Hans; Machado, Renato; Vu, Viet Thuy; Pettersson, Mats I.; Dammert, Patrik</t>
  </si>
  <si>
    <t xml:space="preserve">Change Detection Method for Wavelength- Resolution SAR Images Based on Bayes' Theorem: An Iterative Approach</t>
  </si>
  <si>
    <t xml:space="preserve">Radar polarimetry; Iterative methods; Histograms; Gaussian distribution; Surveillance; Stability analysis; Data models; Bayes' theorem; CARABAS II; iterative change detection; SAR; wavelength-resolution SAR images</t>
  </si>
  <si>
    <t xml:space="preserve">This paper presents an iterative change detection (CD) method based on Bayes' theorem for very high-frequency (VHF) ultra-wideband (UWB) SAR images considering commonly used clutter-plus-noise statistical models. The proposed detection technique uses the information of the detected changes to iteratively update the data and distribution information, obtaining more accurate clutter-plus-noise statistics resulting in false alarm reduction. The Bivariate Rayleigh and Bivariate Gaussian distributions are investigated as candidates to model the clutter-plus-noise, and the Anderson-Darling goodness-of-fit test is used to investigate three scenarios of interest. Different aspects related to the distributions are discussed, the observed mismatches are analyzed, and the impact of the distribution chosen for the proposed iterative change detection method is analyzed. Finally, the proposed iterative method performance is assessed in terms of the probability of detection and false alarm rate and compared with other competitive solutions. The experimental evaluation uses data from real measurements obtained using the CARABAS II SAR system. Results show that the proposed iterative CD algorithm performs better than the other methods.</t>
  </si>
  <si>
    <t xml:space="preserve">[Alves, Dimas Irion; Machado, Renato] Aeronaut Inst Technol ITA, Dept Telecommun, BR-12228900 Sao Jose Dos Campos, Brazil; [Palm, Bruna Gregory; Vu, Viet Thuy; Pettersson, Mats I.] Blekinge Inst Technol BTH, Dept Math &amp; Nat Sci, S-37179 Karlskrona, Sweden; [Hellsten, Hans] Halmstad Univ, Sch Informat Technol, S-30118 Halmstad, Sweden; [Dammert, Patrik] SAAB AB, SAAB AB Surveillance, S-41289 Gothenburg, Sweden; [Dammert, Patrik] Chalmers Univ Technol, S-41296 Gothenburg, Sweden</t>
  </si>
  <si>
    <t xml:space="preserve">Blekinge Institute Technology; Halmstad University; Saab Group; Chalmers University of Technology</t>
  </si>
  <si>
    <t xml:space="preserve">dimasirion@ita.br</t>
  </si>
  <si>
    <t xml:space="preserve">Vu, Viet/JDW-0738-2023; G. Palm, Bruna/AAZ-4107-2021; Irion Alves, Dimas/AAY-4651-2021; Pettersson, Mats/N-1063-2016</t>
  </si>
  <si>
    <t xml:space="preserve">Pettersson, Mats/0000-0002-6643-312X; G. Palm, Bruna/0000-0003-0423-9927; Dammert, Patrik/0000-0002-7339-849X; Irion Alves, Dimas/0000-0002-5443-6446</t>
  </si>
  <si>
    <t xml:space="preserve">Coordination for the Improvement of Higher Education Personnel (CAPES), Brazil [001, 88887.474585/2020-00]; Brazilian National Council of Scientific and Technological Development (CNPq) [200759/2020-5]; Swedish-Brazilian Research and Innovation Centre (CISB)</t>
  </si>
  <si>
    <t xml:space="preserve">Coordination for the Improvement of Higher Education Personnel (CAPES), Brazil(Coordenacao de Aperfeicoamento de Pessoal de Nivel Superior (CAPES)); Brazilian National Council of Scientific and Technological Development (CNPq)(Conselho Nacional de Desenvolvimento Cientifico e Tecnologico (CNPQ)); Swedish-Brazilian Research and Innovation Centre (CISB)</t>
  </si>
  <si>
    <t xml:space="preserve">This work was supported in part by the Coordination for the Improvement of Higher Education Personnel (CAPES), Brazil, under Finance Code 001 (Pro-Defesa IV) and through the Scholarship Grant 88887.474585/2020-00; in part by the Brazilian National Council of Scientific and Technological Development (CNPq) under Grant 200759/2020-5; and in part by the Swedish-Brazilian Research and Innovation Centre (CISB).</t>
  </si>
  <si>
    <t xml:space="preserve">10.1109/ACCESS.2023.3303107</t>
  </si>
  <si>
    <t xml:space="preserve">P3UM1</t>
  </si>
  <si>
    <t xml:space="preserve">WOS:001049927400001</t>
  </si>
  <si>
    <t xml:space="preserve">Litovtseva, VY; Vasilyeva, TA; Brychko, MM; Korneyev, MV</t>
  </si>
  <si>
    <t xml:space="preserve">Litovtseva, V. Ye.; Vasilyeva, T. A.; Brychko, M. M.; Korneyev, M. V.</t>
  </si>
  <si>
    <t xml:space="preserve">TRUST IN THE FINANCIAL SECTOR: A BIBLIOMETRIC ANALYSIS (1967-2020)</t>
  </si>
  <si>
    <t xml:space="preserve">ACADEMY REVIEW</t>
  </si>
  <si>
    <t xml:space="preserve">trust; financial sector; bibliometric analysis; cluster analysis; Scopus; Google Trends; VOSviewer</t>
  </si>
  <si>
    <t xml:space="preserve">MANAGEMENT; LOYALTY</t>
  </si>
  <si>
    <t xml:space="preserve">The challenges faced by trust in the financial sector over the past thirty years remain unprecedent-ed. Recent developments in financial technologies, blockchain, risk assessments have led to a renewed interest and rapid growth in the number of academic publications on trust in the financial domain. A number of literature reviews have been published focusing on specific aspects and trends of trust in the financial sector. However, far too little attention has been given to developing a global vision of academic knowledge about trust in the financial sector from a statistical perspective. This study was de-signed to provide insights and updates that have not yet been fully understood or described by other re-views in the domain of trust in the financial system by applying a thorough bibliometric (Scopus tools, Google Trends) and network (VOSviewer) analysis. In this study, the authors proposed a multi-level structured bibliometric analysis process that clearly defines the research stages, taking into account the selection of keywords for searching and the exclusion of irrelevant academic works. A total of 1,148 academic studies published between 1967 and 2020 were analyzed, covering 364 authors, 158 journals, and 101 countries. By applying rigorous bibliometric and network tools, established and emergent re-search clusters were identified based on key research topics and interrelations. With the help of built-in tools of the Scopus scientometric base, the main stages of scientific interest in the trust in the financial sector were determined. This research's main findings showed that trust in the financial sector is one of the most multidisciplinary phenomena, and keywords such as human, economy, financial management, finance, organization and management, private sector, public sector are closely related. The research results perform a robust roadmap for further consideration in this area.</t>
  </si>
  <si>
    <t xml:space="preserve">[Litovtseva, V. Ye.; Vasilyeva, T. A.; Brychko, M. M.] Sumy State Univ, Sumy, Ukraine; [Vasilyeva, T. A.] Silesian Tech Univ, Gliwice, Poland; [Vasilyeva, T. A.] London Acad Sci &amp; Business, London, England; [Brychko, M. M.] Blekinge Inst Technol, Karlskrona, Sweden; [Korneyev, M. V.] Univ Customs &amp; Finance, Fac Innovat Technol, Dnipro, Ukraine</t>
  </si>
  <si>
    <t xml:space="preserve">Ministry of Education &amp; Science of Ukraine; Sumy State University; Silesian University of Technology; Blekinge Institute Technology; Ministry of Education &amp; Science of Ukraine; University of Customs &amp; Finance</t>
  </si>
  <si>
    <t xml:space="preserve">Litovtseva, VY (corresponding author), Sumy State Univ, Sumy, Ukraine.</t>
  </si>
  <si>
    <t xml:space="preserve">v.litovtseva@biem.sumdu.edu.ua; t.vasylieva@biem.sumdu.edu.ua; maryna.brychko@bth.se; km_13_15@ukr.net</t>
  </si>
  <si>
    <t xml:space="preserve">Brychko, Maryna/P-4841-2014</t>
  </si>
  <si>
    <t xml:space="preserve">Ministry of Education and Science of Ukraine</t>
  </si>
  <si>
    <t xml:space="preserve">This work would not have been possible without the financial support of the Ministry of Education and Science of Ukraine. The paper was prepared as part of the Young Scientist Research on the topic &lt;&lt; Trajectory simulation modeling of the behavioral attractors influence on macroeconomic stability: the role of transparency and public trust &gt;&gt; (registration number 0121U100469).</t>
  </si>
  <si>
    <t xml:space="preserve">ALFRED NOBEL UNIV</t>
  </si>
  <si>
    <t xml:space="preserve">DNIPRO</t>
  </si>
  <si>
    <t xml:space="preserve">SICHESLAVSKA NABEREZHNA ST, 18, DNIPRO, 49000, UKRAINE</t>
  </si>
  <si>
    <t xml:space="preserve">2074-5354</t>
  </si>
  <si>
    <t xml:space="preserve">2522-9745</t>
  </si>
  <si>
    <t xml:space="preserve">ACAD REV</t>
  </si>
  <si>
    <t xml:space="preserve">Acad. Rev.</t>
  </si>
  <si>
    <t xml:space="preserve">10.32342/2074-5354-2022-2-57-7</t>
  </si>
  <si>
    <t xml:space="preserve">Business, Finance; Economics; Management</t>
  </si>
  <si>
    <t xml:space="preserve">6Z1IW</t>
  </si>
  <si>
    <t xml:space="preserve">WOS:000897536000006</t>
  </si>
  <si>
    <t xml:space="preserve">Casalicchio, E; Iannucci, S</t>
  </si>
  <si>
    <t xml:space="preserve">Casalicchio, Emiliano; Iannucci, Stefano</t>
  </si>
  <si>
    <t xml:space="preserve">The state-of-the-art in container technologies: Application, orchestration and security</t>
  </si>
  <si>
    <t xml:space="preserve">Big Data; cloud computing; cyber-security; docker; orchestration; run-time adaptation</t>
  </si>
  <si>
    <t xml:space="preserve">Containerization is a lightweight virtualization technology enabling the deployment and execution of distributed applications on cloud, edge/fog, and Internet-of-Things platforms. Container technologies are evolving at the speed of light, and there are many open research challenges. In this paper, an extensive literature review is presented that identifies the challenges related to the adoption of container technologies in High Performance Computing, Big Data analytics, and geo-distributed (Edge, Fog, Internet-of-Things) applications. From our study, it emerges that performance, orchestration, and cyber-security are the main issues. For each challenge, the state-of-the-art solutions are then analyzed. Performance is related to the assessment of the performance footprint of containers and comparison with the footprint of virtual machines and bare metal deployments, the monitoring, the performance prediction, the I/O throughput improvement. Orchestration is related to the selection, the deployment, and the dynamic control of the configuration of multi-container packaged applications on distributed platforms. The focus of this work is on run-time adaptation. Cyber-security is about container isolation, confidentiality of containerized data, and network security. From the analysis of 97 papers, it came out that the state-of-the-art is more mature in the area of performance evaluation and run-time adaptation rather than in security solutions. However, the main unsolved challenges are I/O throughput optimization, performance prediction, multilayer monitoring, isolation, and data confidentiality (at rest and in transit).</t>
  </si>
  <si>
    <t xml:space="preserve">[Casalicchio, Emiliano] Blekinge Inst Technol, Dept Comp Sci, Karlskrona, Sweden; [Casalicchio, Emiliano] Sapienza Univ Rome, Dept Comp Sci, Rome, Italy; [Iannucci, Stefano] Mississippi State Univ, Dept Comp Sci &amp; Engn, Starkville, MS 39762 USA</t>
  </si>
  <si>
    <t xml:space="preserve">Blekinge Institute Technology; Sapienza University Rome; Mississippi State University</t>
  </si>
  <si>
    <t xml:space="preserve">Casalicchio, E (corresponding author), Blekinge Inst Technol, Dept Comp Sci, Karlskrona, Sweden.;Casalicchio, E (corresponding author), Sapienza Univ Rome, Dept Comp Sci, Rome, Italy.;Iannucci, S (corresponding author), Mississippi State Univ, Dept Comp Sci &amp; Engn, Starkville, MS 39762 USA.</t>
  </si>
  <si>
    <t xml:space="preserve">emiliano.casalicchio@uniroma1.it; stefano@cse.msstate.edu</t>
  </si>
  <si>
    <t xml:space="preserve">Iannucci, Stefano/AAV-3630-2021; Casalicchio, Emiliano/JWQ-0758-2024</t>
  </si>
  <si>
    <t xml:space="preserve">Scalable resource-efficient systems for big data analytics [20140032]; PRIvacy-preserving, Security, and MAchine-learning techniques for healthcare applications (PRISMA) [RG11816436C00DBA]; SmartDefense: Models, Algorithms and Mechanisms for Reducing Cyber Risks in Smart Industry [RG11916B88C838E8]</t>
  </si>
  <si>
    <t xml:space="preserve">Scalable resource-efficient systems for big data analytics; PRIvacy-preserving, Security, and MAchine-learning techniques for healthcare applications (PRISMA); SmartDefense: Models, Algorithms and Mechanisms for Reducing Cyber Risks in Smart Industry</t>
  </si>
  <si>
    <t xml:space="preserve">Scalable resource-efficient systems for big data analytics, Grant/Award Number: 20140032; PRIvacy-preserving, Security, and MAchine-learning techniques for healthcare applications (PRISMA), Grant/Award Number: RG11816436C00DBA; SmartDefense: Models, Algorithms and Mechanisms for Reducing Cyber Risks in Smart Industry, Grant/Award Number: RG11916B88C838E8</t>
  </si>
  <si>
    <t xml:space="preserve">e5668</t>
  </si>
  <si>
    <t xml:space="preserve">10.1002/cpe.5668</t>
  </si>
  <si>
    <t xml:space="preserve">WOS:000507898400001</t>
  </si>
  <si>
    <t xml:space="preserve">Pilthammar, J; Skâre, T; Galdos, L; Fröjdh, K; Ottosson, P; Wiklund, D; Carlholmer, J; Sigvant, M; Ohlsson, M; De Argandoña, ES; Abbasi, F; Sarasua, O; Garro, A; Rutgersson, W</t>
  </si>
  <si>
    <t xml:space="preserve">Pilthammar, J.; Skare, T.; Galdos, L.; Frojdh, K.; Ottosson, P.; Wiklund, D.; Carlholmer, J.; Sigvant, M.; Ohlsson, M.; Saenz de Argandona, E.; Abbasi, F.; Sarasua, O.; Garro, A.; Rutgersson, W.</t>
  </si>
  <si>
    <t xml:space="preserve">New press deflection measuring methods for the creation of substitutive models for efficient die cambering</t>
  </si>
  <si>
    <t xml:space="preserve">Cost and time for die tryout are significant within the car industry, and elastic deflections of dies and presses are most commonly not considered during the virtual die design and forming simulation phase. Because of this, active surfaces of stamping dies are only cambered based on previous experiences of tool types and presses. However, almost all stamping dies and presses are unique, and available experiences are not valid for new materials. Partners within the Eureka SMART Advanced Manufacturing research project CAMBER have developed advanced deflection measuring devices to quantify the elastic deformations of presses. Using these measurements, cambering methodologies can be utilized in sheet metal forming simulations. Important breakthroughs in recent years enabling the cambering methodology consists of efficient simulation strategies for full scale simulations with elastic dies and optimization techniques for creating substitutive press structures based on measurements. Furthermore, modem press deflection measurement methods are beneficial in applications such as Industry 4.0, predictive maintenance, product quality control, etc. through a more advanced understanding and live monitoring of the press system.</t>
  </si>
  <si>
    <t xml:space="preserve">[Pilthammar, J.; Sigvant, M.] Volvo Cars, Dept Strategy &amp; Concept 81110, Olofstrom, Sweden; [Pilthammar, J.; Sigvant, M.] Blekinge Inst Technol, S-37141 Karlskrona, Sweden; [Skare, T.; Ottosson, P.; Wiklund, D.; Carlholmer, J.; Ohlsson, M.] RISE IVF AB, Div Mat &amp; Prod, Vallaregatan 30, SE-29338 Olofstrom, Sweden; [Galdos, L.; Saenz de Argandona, E.; Abbasi, F.] Adv Mat Forming Proc Res Grp, Mondragon Unibertsitatea Loramendi 4, Arrasate Mondragon 20500, Spain; [Frojdh, K.] Proximion AB, Hexatron Grp, Skalholtsgatan 10, SE-16440 Kista, Sweden; [Sarasua, O.] Fagor Arrasate S Coop, San Andres Auzoa 20, Arrasate Mondragon 20500, Spain; [Garro, A.] Koniker S Coop, San Andres Auzoa 20, Arrasate Mondragon 20500, Spain; [Rutgersson, W.] Cascade Control AB, Metangatan 3, SE-43153 Molndal, Sweden</t>
  </si>
  <si>
    <t xml:space="preserve">GALDOS, Lander/AAA-4369-2021; Sigvant, Mats/JJG-2577-2023; Saenz de Argandona, Eneko/ABB-5168-2020</t>
  </si>
  <si>
    <t xml:space="preserve">Saenz de Argandona, Eneko/0000-0003-3082-4898</t>
  </si>
  <si>
    <t xml:space="preserve">This work has been carried out under the CAMBER European research project, a project funded under the SMART EUREKA CLUSTER on Advanced Manufacturing programme.</t>
  </si>
  <si>
    <t xml:space="preserve">10.1088/1757-899X/1157/1/012076</t>
  </si>
  <si>
    <t xml:space="preserve">WOS:000709634600076</t>
  </si>
  <si>
    <t xml:space="preserve">Hehn, J; Mendez, D; Uebernickel, F; Brenner, W; Broy, M</t>
  </si>
  <si>
    <t xml:space="preserve">Hehn, Jennifer; Mendez, Daniel; Uebernickel, Falk; Brenner, Walter; Broy, Manfred</t>
  </si>
  <si>
    <t xml:space="preserve">On Integrating Design Thinking for Human-Centered Requirements Engineering</t>
  </si>
  <si>
    <t xml:space="preserve">Requirements engineering; Prototypes; Software; Electronic mail; Tools; Organizations; Design Thinking; Requirements Engineering</t>
  </si>
  <si>
    <t xml:space="preserve">We elaborate on the possibilities and needs to integrate design thinking into requirements engineering, drawing from our research and project experiences. We suggest three approaches for tailoring and integrating design thinking and requirements engineering with complementary synergies and point at open challenges for research and practice.</t>
  </si>
  <si>
    <t xml:space="preserve">[Hehn, Jennifer] Univ St Gallen, Inst Informat Management, St Gallen, Switzerland; [Mendez, Daniel] Blekinge Inst Technol, Software Engn, Karlskrona, Sweden; [Uebernickel, Falk] Univ Potsdam, HPI, Potsdam, Germany; [Brenner, Walter] Univ St Gallen, St Gallen, Switzerland; [Broy, Manfred] Tech Univ Munich, Software &amp; Syst Engn, Munich, Germany</t>
  </si>
  <si>
    <t xml:space="preserve">University of St Gallen; Blekinge Institute Technology; University of Potsdam; University of St Gallen; Technical University of Munich</t>
  </si>
  <si>
    <t xml:space="preserve">Hehn, J (corresponding author), Univ St Gallen, Inst Informat Management, St Gallen, Switzerland.</t>
  </si>
  <si>
    <t xml:space="preserve">jennifer.hehn@unisg.ch; daniel.mendez@bth.se; falk.uebernickel@hpi.de; walter.brenner@unisg.ch; broy@in.tum.de</t>
  </si>
  <si>
    <t xml:space="preserve">Hehn, Jennifer/0000-0002-3961-6377; Mendez Fernandez, Daniel/0000-0003-0619-6027; Uebernickel, Falk/0000-0002-7078-8513</t>
  </si>
  <si>
    <t xml:space="preserve">10.1109/MS.2019.2957715</t>
  </si>
  <si>
    <t xml:space="preserve">KV0ZB</t>
  </si>
  <si>
    <t xml:space="preserve">WOS:000520152900006</t>
  </si>
  <si>
    <t xml:space="preserve">Zhao, L; Liu, J; Ren, Y; Lin, CL; Liu, JY; Abbas, Z; Islam, MS; Xiao, G</t>
  </si>
  <si>
    <t xml:space="preserve">Zhao, Lun; Liu, Jie; Ren, Yu; Lin, Chunli; Liu, Jiyuan; Abbas, Zeshan; Islam, Md Shafiqul; Xiao, Gang</t>
  </si>
  <si>
    <t xml:space="preserve">YOLOv8-QR: An improved YOLOv8 model via attention mechanism for object detection of QR code defects</t>
  </si>
  <si>
    <t xml:space="preserve">COMPUTERS &amp; ELECTRICAL ENGINEERING</t>
  </si>
  <si>
    <t xml:space="preserve">Deep learning; Object detection; Surface defects; QR code defects</t>
  </si>
  <si>
    <t xml:space="preserve">Defect detection in Quick Response (QR) codes has important implications for downstream tasks. However, QR code defects include small objects and complex backgrounds, which makes their recognition effect poor. To address the above problems, we proposed a model based on YOLOv8, called YOLOv8-QR, to detect QR code defects. Specifically, first, the non-local attention (Non- local) module is introduced into the backbone of the YOLOv8 to enhance the interactive ability of the feature. The Non-local captures the correlation information of long-distance dependencies between features by calculating the attention weight between any positions. In addition, the contextual information required for representation learning of different defective objects is different. To extract multi-scale features, a Large Selective Kernel Network (LSKNet) was introduced. LSKNet dynamically adjusts the convolution receptive field of the neck fusion network and effectively uses the receptive field to capture the background information of different objects, thereby improving the representation ability of the model. To improve the defect detection accuracy of small objects in QR codes, the Normalized Gaussian Wasserstein Distance (NGWD) is introduced to replace the Intersection over Union (IoU) optimization function that is sensitive to the position deviation of objects and is not conducive to the regression of multi-scale objects. To verify the effectiveness of the model, the QR dataset was constructed and a series of experiments were conducted based on this dataset. The results show that the mAP(50) and mAP(50:95) of the YOLOv8-QR reach 95.5% and 65%, which are 3.8% and 2.3% higher than YOLOv8 respectively. The proposed YOLOv8-QR can better adapt to the needs of QR code defect detection in actual industrial environments. Our code is available at https://github.com/Code-of-Liujie/YOLOv8-QR.git.</t>
  </si>
  <si>
    <t xml:space="preserve">[Zhao, Lun; Liu, Jie; Ren, Yu; Liu, Jiyuan; Abbas, Zeshan; Xiao, Gang] Shenzhen Polytech Univ, Inst Ultrason Technol, Shenzhen 518055, Peoples R China; [Liu, Jie; Lin, Chunli] Univ Sci &amp; Technol Liaoning, Sch Elect &amp; Informat Engn, Anshan 114051, Peoples R China; [Ren, Yu] Shenzhen Univ, Med Sch, Sch Biomed Engn, Shenzhen 518060, Peoples R China; [Islam, Md Shafiqul] Blekinge Inst Technol, S-37179 Karlskrona, Sweden</t>
  </si>
  <si>
    <t xml:space="preserve">Shenzhen Polytechnic University; University of Science &amp; Technology Liaoning; Shenzhen University; Blekinge Institute Technology</t>
  </si>
  <si>
    <t xml:space="preserve">Xiao, G (corresponding author), Shenzhen Polytech Univ, Inst Ultrason Technol, Shenzhen 518055, Peoples R China.</t>
  </si>
  <si>
    <t xml:space="preserve">xiaosteel@szpu.edu.cn</t>
  </si>
  <si>
    <t xml:space="preserve">Abbas, Zeshan/MEO-8370-2025; xiao, gang/JLM-6894-2023; Ren, Yu/HJP-8357-2023; Islam, Md. Shafiqul/ABD-9092-2021</t>
  </si>
  <si>
    <t xml:space="preserve">Ren, Yu/0000-0003-4137-1628</t>
  </si>
  <si>
    <t xml:space="preserve">Scientific Research Startup Fund for Shenzhen High-Caliber Personnel of SZPU [6022310046K]; SZPU-Newpower Ultrasonic welding RD [602331009PQ]; National Natural Science Foundation of China [12104324]; Post-doctoral Later-stage Foundation Project of Shenzhen Polytechnic University [6023271014K]; Postdoctoral Startup Fund of Shenzhen Polytechnic University [6022331008K]</t>
  </si>
  <si>
    <t xml:space="preserve">This research is supported by Scientific Research Startup Fund for Shenzhen High-Caliber Personnel of SZPU (No. 6022310046K) ; SZPU-Newpower Ultrasonic welding R&amp;D (No. 602331009PQ) ; National Natural Science Foundation of China (No. 12104324) ; Post-doctoral Later-stage Foundation Project of Shenzhen Polytechnic University (No. 6023271014K) ; Postdoctoral Startup Fund of Shenzhen Polytechnic University (No. 6022331008K) .</t>
  </si>
  <si>
    <t xml:space="preserve">0045-7906</t>
  </si>
  <si>
    <t xml:space="preserve">1879-0755</t>
  </si>
  <si>
    <t xml:space="preserve">COMPUT ELECTR ENG</t>
  </si>
  <si>
    <t xml:space="preserve">Comput. Electr. Eng.</t>
  </si>
  <si>
    <t xml:space="preserve">10.1016/j.compeleceng.2024.109376</t>
  </si>
  <si>
    <t xml:space="preserve">Computer Science, Hardware &amp; Architecture; Computer Science, Interdisciplinary Applications; Engineering, Electrical &amp; Electronic</t>
  </si>
  <si>
    <t xml:space="preserve">A6Y9J</t>
  </si>
  <si>
    <t xml:space="preserve">WOS:001283986500001</t>
  </si>
  <si>
    <t xml:space="preserve">Wilroth, J; Bernhardsson, B; Heskebeck, F; Skoglund, MA; Bergeling, C; Alickovic, E</t>
  </si>
  <si>
    <t xml:space="preserve">Wilroth, Johanna; Bernhardsson, Bo; Heskebeck, Frida; Skoglund, Martin A.; Bergeling, Carolina; Alickovic, Emina</t>
  </si>
  <si>
    <t xml:space="preserve">Improving EEG-based decoding of the locus of auditory attention through domain adaptation</t>
  </si>
  <si>
    <t xml:space="preserve">JOURNAL OF NEURAL ENGINEERING</t>
  </si>
  <si>
    <t xml:space="preserve">auditory attention classification; parallel transport; domain adaptation; EEG; transfer learning; locus of attention</t>
  </si>
  <si>
    <t xml:space="preserve">BRAIN-COMPUTER INTERFACES; RIEMANNIAN GEOMETRY; ATTENDED SPEECH; CLASSIFICATION; MATRICES; MANIFOLD; ENVIRONMENT; TRACKING; SPEAKER; KERNEL</t>
  </si>
  <si>
    <t xml:space="preserve">Objective. This paper presents a novel domain adaptation (DA) framework to enhance the accuracy of electroencephalography (EEG)-based auditory attention classification, specifically for classifying the direction (left or right) of attended speech. The framework aims to improve the performances for subjects with initially low classification accuracy, overcoming challenges posed by instrumental and human factors. Limited dataset size, variations in EEG data quality due to factors such as noise, electrode misplacement or subjects, and the need for generalization across different trials, conditions and subjects necessitate the use of DA methods. By leveraging DA methods, the framework can learn from one EEG dataset and adapt to another, potentially resulting in more reliable and robust classification models. Approach. This paper focuses on investigating a DA method, based on parallel transport, for addressing the auditory attention classification problem. The EEG data utilized in this study originates from an experiment where subjects were instructed to selectively attend to one of the two spatially separated voices presented simultaneously. Main results. Significant improvement in classification accuracy was observed when poor data from one subject was transported to the domain of good data from different subjects, as compared to the baseline. The mean classification accuracy for subjects with poor data increased from 45.84% to 67.92%. Specifically, the highest achieved classification accuracy from one subject reached 83.33%, a substantial increase from the baseline accuracy of 43.33%. Significance. The findings of our study demonstrate the improved classification performances achieved through the implementation of DA methods. This brings us a step closer to leveraging EEG in neuro-steered hearing devices.</t>
  </si>
  <si>
    <t xml:space="preserve">[Wilroth, Johanna; Skoglund, Martin A.; Alickovic, Emina] Linkoping Univ, Dept Elect Engn, Linkoping, Sweden; [Skoglund, Martin A.; Alickovic, Emina] Oticon AS, Eriksholm Res Ctr, Snekkersten, Denmark; [Bernhardsson, Bo; Heskebeck, Frida] Lund Univ, Dept Automat Control, Lund, Sweden; [Bergeling, Carolina] Blekinge Inst Technol, Dept Math &amp; Nat Sci, Karlskrona, Sweden</t>
  </si>
  <si>
    <t xml:space="preserve">Linkoping University; Oticon; Lund University; Blekinge Institute Technology</t>
  </si>
  <si>
    <t xml:space="preserve">Wilroth, J (corresponding author), Linkoping Univ, Dept Elect Engn, Linkoping, Sweden.</t>
  </si>
  <si>
    <t xml:space="preserve">johanna.wilroth@liu.se</t>
  </si>
  <si>
    <t xml:space="preserve">Heskebeck, Frida/0000-0002-6831-5119; Bernhardsson, Bo/0000-0002-6629-1889; Alickovic, Emina/0000-0002-4655-9112</t>
  </si>
  <si>
    <t xml:space="preserve">ELLIIT Strategic Research Area</t>
  </si>
  <si>
    <t xml:space="preserve">IOP Publishing Ltd</t>
  </si>
  <si>
    <t xml:space="preserve">TEMPLE CIRCUS, TEMPLE WAY, BRISTOL BS1 6BE, ENGLAND</t>
  </si>
  <si>
    <t xml:space="preserve">1741-2560</t>
  </si>
  <si>
    <t xml:space="preserve">1741-2552</t>
  </si>
  <si>
    <t xml:space="preserve">J NEURAL ENG</t>
  </si>
  <si>
    <t xml:space="preserve">J. Neural Eng.</t>
  </si>
  <si>
    <t xml:space="preserve">10.1088/1741-2552/ad0e7b</t>
  </si>
  <si>
    <t xml:space="preserve">AO7U7</t>
  </si>
  <si>
    <t xml:space="preserve">WOS:001119479500001</t>
  </si>
  <si>
    <t xml:space="preserve">Franch, X; Palomares, C; Quer, C; Chatzipetrou, P; Gorschek, T</t>
  </si>
  <si>
    <t xml:space="preserve">Franch, Xavier; Palomares, Cristina; Quer, Carme; Chatzipetrou, Panagiota; Gorschek, Tony</t>
  </si>
  <si>
    <t xml:space="preserve">The state-of-practice in requirements specification: an extended interview study at 12 companies</t>
  </si>
  <si>
    <t xml:space="preserve">Requirements engineering; Requirements specification; Requirements documentation; Natural language requirements; Requirements management tools; Empirical studies; Interviews</t>
  </si>
  <si>
    <t xml:space="preserve">QUALITY REQUIREMENTS; DOCUMENTATION; AGILE</t>
  </si>
  <si>
    <t xml:space="preserve">Requirements specification is a core activity in the requirements engineering phase of a software development project. Researchers have contributed extensively to the field of requirements specification, but the extent to which their proposals have been adopted in practice remains unclear. We gathered evidence about the state of practice in requirements specification by focussing on the artefacts used in this activity, the application of templates or guidelines, how requirements are structured in the specification document, what tools practitioners use to specify requirements, and what challenges they face. We conducted an interview-based survey study involving 24 practitioners from 12 different Swedish IT companies. We recorded the interviews and analysed these recordings, primarily by using qualitative methods. Natural language constitutes the main specification artefact but is usually accompanied by some other type of instrument. Most requirements specifications use templates or guidelines, although they seldom follow any fixed standard. Requirements are always structured in the document according to the main functionalities of the system or to project areas or system parts. Different types of tools, including MS Office tools, are used, either individually or combined, in the compilation of requirements specifications. We also note that challenges related to the use of natural language (dealing with ambiguity, inconsistency, and incompleteness) are the most frequent challenges that practitioners face in the compilation of requirements specifications. These findings are contextualized in terms of demographic factors related to the individual interviewees, the organization they are affiliated with, and the project they selected to discuss during our interviews. A number of our findings have been previously reported in related studies. These findings show that, in spite of the large number of notations, models and tools proposed from academia for improving requirements specification, practitioners still mainly rely on plain natural language and general-purpose tool support. We expect more empirical studies in this area in order to better understand the reason of this low adoption of research results.</t>
  </si>
  <si>
    <t xml:space="preserve">[Franch, Xavier] Univ Politecn Catalunya UPC, Software &amp; Serv Engn Grp GESSI, Jordi Girona Num1-3,Omega Bldg,Room 122, Barcelona, Catalonia, Spain; [Palomares, Cristina] Univ Politecn Catalunya UPC, Software &amp; Serv Engn Grp GESSI, Jordi Girona Num1-3,Omega Bldg,Room S206, Barcelona, Catalonia, Spain; [Quer, Carme] Univ Politecn Catalunya UPC, Software &amp; Serv Engn Grp GESSI, Jordi Girona Num1-3,Omega Bldg,Room 124, Barcelona, Catalonia, Spain; [Chatzipetrou, Panagiota] Orebro Univ, Sch Business, Dept Informat, Orebro, Sweden; [Gorschek, Tony] Blekinge Inst Technol, Software Res Engn Lab SERL, Karlskrona, Sweden; [Gorschek, Tony] Fortiss GmbH, Munich, Germany</t>
  </si>
  <si>
    <t xml:space="preserve">Universitat Politecnica de Catalunya; Universitat Politecnica de Catalunya; Universitat Politecnica de Catalunya; Orebro University; Blekinge Institute Technology; fortiss</t>
  </si>
  <si>
    <t xml:space="preserve">Franch, X (corresponding author), Univ Politecn Catalunya UPC, Software &amp; Serv Engn Grp GESSI, Jordi Girona Num1-3,Omega Bldg,Room 122, Barcelona, Catalonia, Spain.</t>
  </si>
  <si>
    <t xml:space="preserve">franch@essi.upc.edu; cpalomares@essi.upc.edu; cquer@essi.upc.edu; panagiota.chatzipetrou@oru.se; tony.gorschek@bth.se</t>
  </si>
  <si>
    <t xml:space="preserve">Franch, Xavier/KAM-2369-2024; Gorschek, Tony/E-3445-2013</t>
  </si>
  <si>
    <t xml:space="preserve">Palomares, Cristina/0000-0003-4722-5584; Franch, Xavier/0000-0001-9733-8830; Chatzipetrou, Panagiota/0000-0002-0311-1502</t>
  </si>
  <si>
    <t xml:space="preserve">Spanish Ministerio de Ciencia e Innovacion [PID2020-117191RB-I00/AEI/]</t>
  </si>
  <si>
    <t xml:space="preserve">Spanish Ministerio de Ciencia e Innovacion(Ministry of Science and Innovation, Spain (MICINN)Instituto de Salud Carlos IIISpanish Government)</t>
  </si>
  <si>
    <t xml:space="preserve">This paper has been funded by the Spanish Ministerio de Ciencia e Innovacion under project/funding scheme PID2020-117191RB-I00/AEI/.~</t>
  </si>
  <si>
    <t xml:space="preserve">10.1007/s00766-023-00399-7</t>
  </si>
  <si>
    <t xml:space="preserve">L5OT9</t>
  </si>
  <si>
    <t xml:space="preserve">WOS:000976172000001</t>
  </si>
  <si>
    <t xml:space="preserve">A Progression Model of Software Engineering Goals, Challenges, and Practices in Start-Ups</t>
  </si>
  <si>
    <t xml:space="preserve">Software; Software engineering; Companies; Market opportunities; Requirements engineering; Analytical models; Software start-up; software engineering practices; progression model</t>
  </si>
  <si>
    <t xml:space="preserve">Context: Software start-ups are emerging as suppliers of innovation and software-intensive products. However, traditional software engineering practices are not evaluated in the context, nor adopted to goals and challenges of start-ups. As a result, there is insufficient support for software engineering in the start-up context. Objective: We aim to collect data related to engineering goals, challenges, and practices in start-up companies to ascertain trends and patterns characterizing engineering work in start-ups. Such data allows researchers to understand better how goals and challenges are related to practices. This understanding can then inform future studies aimed at designing solutions addressing those goals and challenges. Besides, these trends and patterns can be useful for practitioners to make more informed decisions in their engineering practice. Method: We use a case survey method to gather first-hand, in-depth experiences from a large sample of software start-ups. We use open coding and cross-case analysis to describe and identify patterns, and corroborate the findings with statistical analysis. Results: We analyze 84 start-up cases and identify 16 goals, 9 challenges, and 16 engineering practices that are common among start-ups. We have mapped these goals, challenges, and practices to start-up life-cycle stages (inception, stabilization, growth, and maturity). Thus, creating the progression model guiding software engineering efforts in start-ups. Conclusions: We conclude that start-ups to a large extent face the same challenges and use the same practices as established companies. However, the primary software engineering challenge in start-ups is to evolve multiple process areas at once, with a little margin for serious errors.</t>
  </si>
  <si>
    <t xml:space="preserve">[Klotins, Eriks; Unterkalmsteiner, Michael; Chatzipetrou, Panagiota; Gorschek, Tony] Blekinge Inst Technol, Software Engn Res Lab Sweden, S-37141 Karlskrona, Sweden; [Chatzipetrou, Panagiota] Orebro Univ, Dept Informat, CERIS, Sch Business, SE-70182 Orebro, Sweden; [Prikladnicki, Rafael; Pompermaier, Leandro Bento] Pontificia Univ Catolica Rio Grande do Sul, Sch Technol, BR-90619900 Porto Alegre, RS, Brazil; [Tripathi, Nirnaya] Univ Oulu, M3S Res Unit, Oulu 90014, Finland</t>
  </si>
  <si>
    <t xml:space="preserve">Klotins, E (corresponding author), Blekinge Inst Technol, Software Engn Res Lab Sweden, S-37141 Karlskrona, Sweden.</t>
  </si>
  <si>
    <t xml:space="preserve">eriks.klotins@bth.se; mun@bth.se; panagiota.chatzipetrou@bth.se; tgo@bth.se; rafael.prikladnicki@pucrs.br; nirnaya.tripathi@oulu.fi; leandro.pompermaier@pucrs.br</t>
  </si>
  <si>
    <t xml:space="preserve">Tripathi, Nirnaya/0000-0001-8506-1176; Chatzipetrou, Panagiota/0000-0002-0311-1502; Unterkalmsteiner, Michael/0000-0003-4118-0952</t>
  </si>
  <si>
    <t xml:space="preserve">CNpq; FAPERGS [17/2551-0001205-4]</t>
  </si>
  <si>
    <t xml:space="preserve">CNpq(Conselho Nacional de Desenvolvimento Cientifico e Tecnologico (CNPQ)); FAPERGS(Fundacao de Amparo a Ciencia e Tecnologia do Estado do Rio Grande do Sul (FAPERGS))</t>
  </si>
  <si>
    <t xml:space="preserve">The authors of this paper would like to thank all practitioners who found time and motivation to share their experiences. Reaching this diverse population of start-ups would not be possible without help and support from Software Start-up Research Network7 community, and specifically Nana Assyne, Anh Nguyen Duc, Ronald Jabangwe, Jorge Melegati, Bajwa Sohaib Shahid, Xiaofeng Wang, Rafael Matone Chanin, and Pekka Abrahamsson. Work of Rafael Prikladnicki is partially funded by CNpq and FAPERGS (process 17/2551-0001205-4).</t>
  </si>
  <si>
    <t xml:space="preserve">10.1109/TSE.2019.2900213</t>
  </si>
  <si>
    <t xml:space="preserve">RA1TM</t>
  </si>
  <si>
    <t xml:space="preserve">WOS:000631200300004</t>
  </si>
  <si>
    <t xml:space="preserve">Wickström, H; Öien, RF; Midlöv, P; Anderberg, P; Fagerström, C</t>
  </si>
  <si>
    <t xml:space="preserve">Wickstrom, Hanna; Oien, Rut F.; Midlov, Patrik; Anderberg, Peter; Fagerstrom, Cecilia</t>
  </si>
  <si>
    <t xml:space="preserve">Pain and analgaesics in patients with hard-to-heal ulcers: using telemedicine or standard consultations</t>
  </si>
  <si>
    <t xml:space="preserve">JOURNAL OF WOUND CARE</t>
  </si>
  <si>
    <t xml:space="preserve">analgesics; eHealth; leg ulcer pain; national registries; telemedicine</t>
  </si>
  <si>
    <t xml:space="preserve">QUALITY-OF-LIFE; NEUROPATHIC PAIN; LEG ULCERS; VISUAL ANALOG; MANAGEMENT; PREVALENCE; SYMPTOMS; GUIDANCE; SCALES; WOUNDS</t>
  </si>
  <si>
    <t xml:space="preserve">Objective: To compare consultations carried out via video with those performed in person for patients with painful, hard-to-heal ulcers, with a focus on ulcer pain and pain treatment. A further aim was to investigate predictors for pain and pain treatment. Method: This was a register-based, quasi-experimental study based on data from the Swedish Registry of Ulcer Treatment (RUT). A total of 100 patients with hard-to-heal ulcers diagnosed via video consultation were compared with 1888 patients diagnosed in person with regard to pain assessment, intensity and treatment. Ulcer pain intensity was assessed by the visual analogue scale (VAS). Normally distributed variables (age, VAS) were compared between consultation groups using Student's t-test. Non-normally distributed variables (ulcer size, ulcer duration) were compared using the Mann-Whitney U-test, except for healing time, which was analysed with a log-rank test. Categorical variables (gender, ulcer aetiology and prescribed analgesics) were compared using Pearson's chi-square test (chi(2)). A p value of less than 0.05 was considered to indicate statistical significance. Predictors for pain and pain treatment were analysed in multiple regression analyses. Results: The results showed a high presence of pain; 71% of patients with pain reported severe ulcer pain. There was no significant difference in ability to assess pain by VAS in the group diagnosed via video consultation (90%) compared with the group diagnosed in person (86%) (chi(2), p=0.233). A significantly higher amount of prescribed analgesics was found for patients diagnosed via video (84%) compared with patients diagnosed by in-person assessment (68%) (chi(2), p=0.044). Predictors for high-intensity pain were female gender or ulcers due to inflammatory vessel disease, while the predictors for receiving analgesics were older age, longer healing time and being diagnosed via video consultation. Conclusion: To identify, assess and treat ulcer pain is equally possible via video as by in-person consultation. The results of this study confirm that patients with hard-to-heal ulcers suffer from high-intensity ulcer pain, with a discrepancy between pain and pain relief. Further well-designed randomised controlled studies are necessary to understand how best to deploy telemedicine in ulcer pain treatment.</t>
  </si>
  <si>
    <t xml:space="preserve">[Wickstrom, Hanna; Midlov, Patrik] Lund Univ, Ctr Primary Hlth Care Res, Dept Clin Sci, Malmo, Sweden; [Wickstrom, Hanna; Oien, Rut F.] Blekinge Wound Healing Ctr, Karlshamn, Sweden; [Oien, Rut F.; Fagerstrom, Cecilia] Blekinge Ctr Competence, Karlskrona, Sweden; [Anderberg, Peter] Blekinge Inst Technol, Dept Hlth, Karlskrona, Sweden; [Fagerstrom, Cecilia] Linnaeus Univ, Dept Hlth &amp; Caring Sci, Vaxjo, Sweden</t>
  </si>
  <si>
    <t xml:space="preserve">Wickström, H (corresponding author), Lund Univ, Ctr Primary Hlth Care Res, Dept Clin Sci, Malmo, Sweden.</t>
  </si>
  <si>
    <t xml:space="preserve">hanna.wickstrom@med.lu.se</t>
  </si>
  <si>
    <t xml:space="preserve">Öien, Rut/KIA-8015-2024; Anderberg, Peter/B-5541-2012; Midlov, Patrik/L-8201-2015</t>
  </si>
  <si>
    <t xml:space="preserve">Anderberg, Peter/0000-0001-9870-8477; Midlov, Patrik/0000-0002-5871-8731; Oien, Rut/0000-0001-5056-0186</t>
  </si>
  <si>
    <t xml:space="preserve">Scientific Committee of Blekinge County Council's Research and Development Foundation</t>
  </si>
  <si>
    <t xml:space="preserve">This study was partly funded by the Scientific Committee of Blekinge County Council ' s Research and Development Foundation. The authors have no conflicts of interest.</t>
  </si>
  <si>
    <t xml:space="preserve">MA HEALTHCARE LTD</t>
  </si>
  <si>
    <t xml:space="preserve">ST JUDES CHURCH, DULWICH ROAD, LONDON SE24 0PB, ENGLAND</t>
  </si>
  <si>
    <t xml:space="preserve">0969-0700</t>
  </si>
  <si>
    <t xml:space="preserve">2062-2916</t>
  </si>
  <si>
    <t xml:space="preserve">J WOUND CARE</t>
  </si>
  <si>
    <t xml:space="preserve">J. Wound Care</t>
  </si>
  <si>
    <t xml:space="preserve">S18</t>
  </si>
  <si>
    <t xml:space="preserve">S27</t>
  </si>
  <si>
    <t xml:space="preserve">10.12968/jowc.2020.29.Sup8.S18</t>
  </si>
  <si>
    <t xml:space="preserve">Dermatology</t>
  </si>
  <si>
    <t xml:space="preserve">NF0BL</t>
  </si>
  <si>
    <t xml:space="preserve">WOS:000562967700011</t>
  </si>
  <si>
    <t xml:space="preserve">Renvert, S; Giovannoli, JL; Rinke, S</t>
  </si>
  <si>
    <t xml:space="preserve">Renvert, Stefan; Giovannoli, Jean-Louis; Rinke, Sven</t>
  </si>
  <si>
    <t xml:space="preserve">The efficacy of reconstructive therapy in the surgical management of peri-implantitis: A 3-year follow-up of a randomized clinical trial</t>
  </si>
  <si>
    <t xml:space="preserve">JOURNAL OF CLINICAL PERIODONTOLOGY</t>
  </si>
  <si>
    <t xml:space="preserve">bone augmentation; bone substitute; native bilayer collagen membrane; peri-implantitis; surgical treatment</t>
  </si>
  <si>
    <t xml:space="preserve">NANOCRYSTALLINE HYDROXYAPATITE; REGENERATIVE TREATMENT; RESORBABLE MEMBRANE; COLLAGEN MEMBRANE; BONE SUBSTITUTE; DEFECTS; LESIONS; COMBINATION</t>
  </si>
  <si>
    <t xml:space="preserve">AimTo assess whether guided bone regeneration (GBR) treatment of peri-implantitis-related bony defects could improve healing compared to open flap debridement (OFD) at 36 months.Materials and MethodsIn a multi-centre, randomized clinical trial, 32 individuals received OFD (control group [CG]) and 34 GBR treatment (test group [TG]). Radiographic defect fill (RDF), probing pocket depth (PPD), bleeding on probing (BOP) suppuration (SUP), mucosal recession (MREC) and patient-reported outcomes (PROs) were evaluated at 36 months.ResultsFifty individuals attended a supportive peri-implant therapy program and completed the 36-month follow-up. GBR treatment resulted in an RDF of 2.13 +/- 1.26 mm compared to 1.64 +/- 1.54 mm following OFD (p = .18). No difference was found in PPD, BOP, SUP, REC or PROs between the groups. Successful treatment (no additional bone loss, PPD &lt;= 5 mm, no BOP and no SUP) was achieved in 46.2% in TG and 20% in CG (p = .053). Treatment results obtained at 12 months were generally maintained up to 36 months. No significant changes were noticed between 12 and 36 months.ConclusionsAt 36 months, treatment results obtained at 1 year were sustained following both GBR and OFD in patients attending supportive peri-implant therapy. GBR resulted in more RDF and higher composite treatment success rate than OFD ( Identifier [NCT02375750]).</t>
  </si>
  <si>
    <t xml:space="preserve">[Renvert, Stefan] Kristianstad Univ, Oral Hlth Sci, SE-29188 Kristianstad, Sweden; [Renvert, Stefan] Blekinge Inst Technol, Dept Hlth, Karlskrona, Sweden; [Renvert, Stefan] Dublin Dent Univ Hosp, Trinity Coll Dublin, Div Restorat Dent &amp; Periodontol, Dublin, Ireland; [Giovannoli, Jean-Louis] Univ Cors, Inst Hlth, Corte, France; [Rinke, Sven] Univ Med Ctr Goettingen, Dept Prosthodont, Gottingen, Germany</t>
  </si>
  <si>
    <t xml:space="preserve">Kristianstad University; Blekinge Institute Technology; Trinity College Dublin; University of Gottingen; UNIVERSITY GOTTINGEN HOSPITAL</t>
  </si>
  <si>
    <t xml:space="preserve">Renvert, S (corresponding author), Kristianstad Univ, Oral Hlth Sci, SE-29188 Kristianstad, Sweden.</t>
  </si>
  <si>
    <t xml:space="preserve">stefan.renvert@hkr.se</t>
  </si>
  <si>
    <t xml:space="preserve">Renvert, Stefan/0000-0003-0992-2362</t>
  </si>
  <si>
    <t xml:space="preserve">Geistlich Pharma AG, Switzerland; Research Foundation at Kristianstad University, Sweden</t>
  </si>
  <si>
    <t xml:space="preserve">0303-6979</t>
  </si>
  <si>
    <t xml:space="preserve">1600-051X</t>
  </si>
  <si>
    <t xml:space="preserve">J CLIN PERIODONTOL</t>
  </si>
  <si>
    <t xml:space="preserve">J. Clin. Periodontol.</t>
  </si>
  <si>
    <t xml:space="preserve">10.1111/jcpe.14049</t>
  </si>
  <si>
    <t xml:space="preserve">K2D7I</t>
  </si>
  <si>
    <t xml:space="preserve">WOS:001270317000001</t>
  </si>
  <si>
    <t xml:space="preserve">Svärd, A; Renvert, S; Berglund, JS; Persson, RG; Söderlin, M</t>
  </si>
  <si>
    <t xml:space="preserve">Svaerd, A.; Renvert, S.; Berglund, J. Sanmartin; Persson, R. G.; Soderlin, M.</t>
  </si>
  <si>
    <t xml:space="preserve">Antibodies to citrullinated peptides in serum and saliva in patients with rheumatoid arthritis and their association to periodontitis</t>
  </si>
  <si>
    <t xml:space="preserve">CLINICAL AND EXPERIMENTAL RHEUMATOLOGY</t>
  </si>
  <si>
    <t xml:space="preserve">rheumatoid arthritis; periodontitis; epidemiology; smoking; anti-citrullinated peptide antibodies</t>
  </si>
  <si>
    <t xml:space="preserve">CLASSIFICATION; PROTEINS; CRITERIA</t>
  </si>
  <si>
    <t xml:space="preserve">Objectives A connection between prevalence of rheumatoid arthritis (RA) and periodontitis has been reported. The hypothesis for this association involves increased citrullination in the oral mucosa in patients with periodontitis. Whether ongoing periodontitis has an effect on IgA antibodies to citrullinated peptides (ACPA) in saliva is unknown. We studied IgA ACPA in saliva and serum and their relation to periodontitis and smoking in a population-based elderly RA cohort. Methods A population-based cohort of patients with RA &gt;= 61 years of age (n=132) was examined by rheumatologists and a dental hygienist. Analyses of IgG ACPA in serum and IgA ACPA in serum and saliva were performed. The presence of ACPA was compared in patients with RA with and without periodontitis. Results IgA ACPA in serum occurred in 35% of RA patients with periodontitis and in 43% of RA patients without periodontitis (p=0.740). IgG ACPA in serum was found in 66% of RA patients with periodontitis, and in 69% without periodontitis (p=0.740). IgA ACPA in saliva occurred in 20% with periodontitis and 55% without periodontitis (p=0.062). A logistic regression analysis adjusting for age, gender and smoking gave an odds ratio (OR) of 0.456 (95% CI=0.183-1.137, p=0.092) for saliva IgA ACPA positive individuals to have periodontitis. Conclusions IgA ACPA in serum or saliva was not more common in RA patients with periodontitis. This implies that local production of ACPA by the oral mucosa is not enhanced by periodontal inflammation, in patients with established RA.</t>
  </si>
  <si>
    <t xml:space="preserve">[Svaerd, A.] Uppsala Univ, Ctr Clin Res Dalarna, Nissers Vag 3, S-79182 Falun, Dalarna, Sweden; [Renvert, S.] Univ Kristianstad, Kristianstad, Sweden; [Berglund, J. Sanmartin] Blekinge Inst Technol, Karlskrona, Sweden; [Persson, R. G.] Kristianstad Univ, Fac Hlth Sci, Kristianstad, Sweden; [Soderlin, M.] Lund Univ, Sect Rheumatol, Dept Clin Sci, Lund, Sweden</t>
  </si>
  <si>
    <t xml:space="preserve">Uppsala University; Kristianstad University; Blekinge Institute Technology; Kristianstad University; Lund University</t>
  </si>
  <si>
    <t xml:space="preserve">Svärd, A (corresponding author), Uppsala Univ, Ctr Clin Res Dalarna, Nissers Vag 3, S-79182 Falun, Dalarna, Sweden.;Svärd, A (corresponding author), Uppsala Univ, Falu Hosp, Dept Rheumatol, Nissers Vag 3, S-79182 Falun, Dalarna, Sweden.</t>
  </si>
  <si>
    <t xml:space="preserve">anna.svard@ltdalarna.se</t>
  </si>
  <si>
    <t xml:space="preserve">CLINICAL &amp; EXPER RHEUMATOLOGY</t>
  </si>
  <si>
    <t xml:space="preserve">PISA</t>
  </si>
  <si>
    <t xml:space="preserve">VIA SANTA MARIA 31, 56126 PISA, ITALY</t>
  </si>
  <si>
    <t xml:space="preserve">0392-856X</t>
  </si>
  <si>
    <t xml:space="preserve">1593-098X</t>
  </si>
  <si>
    <t xml:space="preserve">CLIN EXP RHEUMATOL</t>
  </si>
  <si>
    <t xml:space="preserve">Clin. Exp. Rheumatol.</t>
  </si>
  <si>
    <t xml:space="preserve">MY2BI</t>
  </si>
  <si>
    <t xml:space="preserve">WOS:000558223300016</t>
  </si>
  <si>
    <t xml:space="preserve">Franch, X; Glinz, M; Mendez, D; Seyff, N</t>
  </si>
  <si>
    <t xml:space="preserve">Franch, Xavier; Glinz, Martin; Mendez, Daniel; Seyff, Norbert</t>
  </si>
  <si>
    <t xml:space="preserve">A Study About the Knowledge and Use of Requirements Engineering Standards in Industry</t>
  </si>
  <si>
    <t xml:space="preserve">Standards; ISO Standards; IEC Standards; Guidelines; Industries; Software engineering; Requirements engineering; Standard; requirements engineering; guideline; template; survey</t>
  </si>
  <si>
    <t xml:space="preserve">Context. The use of standards is considered a vital part of any engineering discipline. So one could expect that standards play an important role in Requirements Engineering (RE) as well. However, little is known about the actual knowledge and use of RE-related standards in industry. Objective. In this article, we investigate to which extent standards and related artifacts such as templates or guidelines are known and used by RE practitioners. Method. To this end, we have conducted a questionnaire-based online survey. We could analyze the replies from 90 RE practitioners using a combination of closed and open-text questions. Results. Our results indicate that the knowledge and use of standards and related artifacts in RE is less widespread than one might expect from an engineering perspective. For example, about 47% of the respondents working as requirements engineers or business analysts do not know the core standard in RE, ISO/IEC/IEEE 29148. Participants in our study mostly use standards by personal decision rather than being imposed by their respective company, customer, or regulator. Beyond insufficient knowledge, we also found cultural and organizational factors impeding the widespread adoption of standards in RE. Conclusions. Overall, our results provide empirically informed insights into the actual use of standards and related artifacts in RE practice and - indirectly - about the value that the current standards create for RE practitioners.</t>
  </si>
  <si>
    <t xml:space="preserve">[Franch, Xavier] Univ Politecn Cataluna, ES-08034 Barcelona, Catalonia, Spain; [Glinz, Martin; Seyff, Norbert] Univ Zurich, CH-8006 Zurich, Switzerland; [Mendez, Daniel] Blekinge Inst Technol, S-37179 Karlskrona, Blekinge, Sweden; [Mendez, Daniel] Fortiss GmbH, D-80805 Munich, Germany; [Seyff, Norbert] Univ Appl Sci &amp; Arts Northwestern Switzerland, CH-5210 Windisch, Switzerland</t>
  </si>
  <si>
    <t xml:space="preserve">Universitat Politecnica de Catalunya; University of Zurich; Blekinge Institute Technology; fortiss; FHNW University of Applied Sciences &amp; Arts Northwestern Switzerland</t>
  </si>
  <si>
    <t xml:space="preserve">Franch, X (corresponding author), Univ Politecn Cataluna, ES-08034 Barcelona, Catalonia, Spain.</t>
  </si>
  <si>
    <t xml:space="preserve">franch@essi.upc.edu; glinz@ifi.uzh.th; daniel.mendez@bth.se; norbert.seyff@fhnw.ch</t>
  </si>
  <si>
    <t xml:space="preserve">Mendez, Daniel/ABA-4579-2021; Franch, Xavier/KAM-2369-2024</t>
  </si>
  <si>
    <t xml:space="preserve">Franch, Xavier/0000-0001-9733-8830; Glinz, Martin/0000-0003-0636-2208; Mendez Fernandez, Daniel/0000-0003-0619-6027; Seyff, Norbert/0000-0002-0138-892X</t>
  </si>
  <si>
    <t xml:space="preserve">We thank our respondents for their time and effort which made this study possible. This work was partially supported by the KKS foundation through the S.E.R.T. Research Profile project at Blekinge Institute of Technology.</t>
  </si>
  <si>
    <t xml:space="preserve">SEPT 1</t>
  </si>
  <si>
    <t xml:space="preserve">10.1109/TSE.2021.3087792</t>
  </si>
  <si>
    <t xml:space="preserve">4O3GR</t>
  </si>
  <si>
    <t xml:space="preserve">WOS:000854591500006</t>
  </si>
  <si>
    <t xml:space="preserve">Perez, BG; Gaidarji, B; Palm, BG; Ruiz-López, J; Pérez, MM; Durand, LB</t>
  </si>
  <si>
    <t xml:space="preserve">Perez, Bibiana Gabardo; Gaidarji, Bruna; Palm, Bruna G.; Ruiz-Lopez, Javier; Perez, Maria M.; Durand, Leticia Brandao</t>
  </si>
  <si>
    <t xml:space="preserve">Masking ability of resin composites: Effect of the layering strategy and substrate color</t>
  </si>
  <si>
    <t xml:space="preserve">JOURNAL OF ESTHETIC AND RESTORATIVE DENTISTRY</t>
  </si>
  <si>
    <t xml:space="preserve">color thresholds; layering; masking ability; resin composite; substrate color</t>
  </si>
  <si>
    <t xml:space="preserve">DIFFERENCE FORMULA; TRANSLUCENCY; RESTORATIONS; THICKNESS</t>
  </si>
  <si>
    <t xml:space="preserve">Objective To evaluate the effect of layering strategy and substrate color on the masking ability of resin composites. Materials and Methods A1-shaded specimens from Charisma Diamond and Filtek Z350XT were produced using different layering strategies. Color measurements were made by a reflectance spectrophotometer over A2, C2, A3.5, C3, C4 substrates. Color differences were calculated and interpreted by the 50%:50% perceptibility and acceptability visual thresholds. Data was analyzed by Kruskal-Wallis and Dunn post hoc test. Chi-square test was used to determine the association between masking ability, and independent variables. Results Color differences were significantly lower on A2 and C2 in comparison with C4 for the majority of the layering strategies. Acceptable matches were observed on most of the combinations over A2. Moderately unacceptable mismatches were observed in most of the combinations over C2 and A3.5. Clearly unacceptable mismatches were observed on the C3 and C4. The Delta E-00 color shifts were predominantly influenced by Delta L-00 for all layering strategies and substrate colors. Conclusion Masking ability was affected by the layering strategy and substrate color. Acceptable masking was associated with A2 and C2, and with layering strategy composed of 0.5 mm enamel opacity and 1.0 mm dentin opacity thicknesses, using the Filtek Z350XT. Clinical Significance Resin composites-shade A1-applied by different layering strategies with a final thickness of 1.5 mm were able to mask mild and moderately discolored substrates. Severely discolored substrates were not masked effectively.</t>
  </si>
  <si>
    <t xml:space="preserve">[Perez, Bibiana Gabardo; Gaidarji, Bruna; Durand, Leticia Brandao] Univ Fed Santa Maria, Div Restorat Dent, Postgrad Program Oral Sci, Santa Maria, RS, Brazil; [Palm, Bruna G.] Blekinge Inst Technol, Dept Math &amp; Nat Sci, Karlskrona, Sweden; [Palm, Bruna G.] Technol Inst Aeronaut, Postgrad Program Elect &amp; Comp Engn, Sao Jose Dos Campos, Brazil; [Ruiz-Lopez, Javier; Perez, Maria M.] Univ Granada, Dept Opt, Fac Sci, Granada, Spain</t>
  </si>
  <si>
    <t xml:space="preserve">Universidade Federal de Santa Maria (UFSM); Blekinge Institute Technology; Comando-Geral de Tecnologia Aeroespacial (CTA); Instituto Tecnologico de Aeronautica (ITA); University of Granada</t>
  </si>
  <si>
    <t xml:space="preserve">Durand, LB (corresponding author), 1333,Casa 11F,Alameda D, BR-97065060 Santa Maria, RS, Brazil.</t>
  </si>
  <si>
    <t xml:space="preserve">leticia.durand@ufsm.br</t>
  </si>
  <si>
    <t xml:space="preserve">del Mar Pérez, María/F-8556-2016; G. Palm, Bruna/AAZ-4107-2021; Durand, Leticia/AAK-1389-2021; Ruiz-López, Javier/Y-6576-2019</t>
  </si>
  <si>
    <t xml:space="preserve">Durand, Leticia/0000-0002-4853-4015; Gaidarji, Bruna/0000-0002-8618-8782; G. Palm, Bruna/0000-0003-0423-9927; Gabardo Perez, Bibiana/0000-0003-0112-9976; Perez Gomez, Maria Del Mar/0000-0003-1528-3659; Ruiz-Lopez, Javier/0000-0002-5583-8180</t>
  </si>
  <si>
    <t xml:space="preserve">Junta de Andalucia [P20-00200, A.TEP.280, UGR18]</t>
  </si>
  <si>
    <t xml:space="preserve">Junta de Andalucia(Junta de Andalucia)</t>
  </si>
  <si>
    <t xml:space="preserve">Junta de Andalucia, Grant/Award Numbers: P20-00200, A.TEP.280.UGR18</t>
  </si>
  <si>
    <t xml:space="preserve">1496-4155</t>
  </si>
  <si>
    <t xml:space="preserve">1708-8240</t>
  </si>
  <si>
    <t xml:space="preserve">J ESTHET RESTOR DENT</t>
  </si>
  <si>
    <t xml:space="preserve">J. Esthet. Restor. Dent.</t>
  </si>
  <si>
    <t xml:space="preserve">10.1111/jerd.12942</t>
  </si>
  <si>
    <t xml:space="preserve">6L4LB</t>
  </si>
  <si>
    <t xml:space="preserve">WOS:000826861000001</t>
  </si>
  <si>
    <t xml:space="preserve">Pain and analgesics in patients with hard-to-heal ulcers: using telemedicine or standard consultations</t>
  </si>
  <si>
    <t xml:space="preserve">Wickström, H (corresponding author), Lund Univ, Ctr Primary Hlth Care Res, Dept Clin Sci, Malmo, Sweden.;Wickström, H (corresponding author), Blekinge Wound Healing Ctr, Karlshamn, Sweden.</t>
  </si>
  <si>
    <t xml:space="preserve">Oien, Rut/0000-0001-5056-0186; Anderberg, Peter/0000-0001-9870-8477; Midlov, Patrik/0000-0002-5871-8731</t>
  </si>
  <si>
    <t xml:space="preserve">This study was partly funded by the Scientific Committee of Blekinge County Council's Research and Development Foundation. The authors have no conflicts of interest.</t>
  </si>
  <si>
    <t xml:space="preserve">S23</t>
  </si>
  <si>
    <t xml:space="preserve">S32</t>
  </si>
  <si>
    <t xml:space="preserve">10.12968/jowc.2021.30.Sup6.S23</t>
  </si>
  <si>
    <t xml:space="preserve">ST1PH</t>
  </si>
  <si>
    <t xml:space="preserve">WOS:000662222000004</t>
  </si>
  <si>
    <t xml:space="preserve">Andersson, M; Larsson, JP</t>
  </si>
  <si>
    <t xml:space="preserve">Andersson, Martin; Larsson, Johan P.</t>
  </si>
  <si>
    <t xml:space="preserve">Historical local industry structure, voting patterns and the long-run entrepreneurial character of regions: Swedish examples</t>
  </si>
  <si>
    <t xml:space="preserve">L26; R11; O11</t>
  </si>
  <si>
    <t xml:space="preserve">SOCIAL INTERACTIONS; GROWTH; MODELS</t>
  </si>
  <si>
    <t xml:space="preserve">Spatial variations in rates of new firm formation are large and spatially persistent over long periods of time. A common explanation of this empirical regularity is so-called local entrepreneurship cultures, which refer to spatially embedded social characteristics that change in slow processes. This paper discusses perspectives on the development of such cultures and focuses on the role of historical industry structures in forming the long-run entrepreneurial character of regions. To illustrate the empirical relevance of arguments and findings in the literature, we use historical data on voting patterns in municipalities in Sweden, as well as indications of their early industrial concentrations, and assess their correlations with present-day entrepreneurial activity. We show that places with a high share of left-wing votes in the period 1917-1948 and early historical presence of heavy industry have lower rates of new firm formation, less positive public attitudes toward entrepreneurship as well as larger average establishment sizes in the twenty-first century. The empirical patterns are consistent with the argument that regions' historical industry structure is one factor that influences the development of local entrepreneurship cultures.</t>
  </si>
  <si>
    <t xml:space="preserve">[Andersson, Martin] Blekinge Inst Technol BTH, Res Inst Ind Econ IFN, Dept Ind Econ, Stockholm, Sweden; [Andersson, Martin] Swedish Entrepreneurship Forum, Stockholm, Sweden; [Larsson, Johan P.] Univ Cambridge, Dept Land Econ, Cambridge, England; [Larsson, Johan P.] Jonkoping Univ, Ctr Entrepreneurship &amp; Spatial Econ CEnSE, Jonkoping, Sweden</t>
  </si>
  <si>
    <t xml:space="preserve">Blekinge Institute Technology; Research Institute of Industrial Economics (IFN); University of Cambridge; Jonkoping University</t>
  </si>
  <si>
    <t xml:space="preserve">Andersson, M (corresponding author), Blekinge Inst Technol BTH, Res Inst Ind Econ IFN, Dept Ind Econ, Stockholm, Sweden.;Andersson, M (corresponding author), Swedish Entrepreneurship Forum, Stockholm, Sweden.</t>
  </si>
  <si>
    <t xml:space="preserve">martin.andersson@bth.se; jpl66@cam.ac.uk</t>
  </si>
  <si>
    <t xml:space="preserve">10.1007/s00168-022-01156-4</t>
  </si>
  <si>
    <t xml:space="preserve">6E5EQ</t>
  </si>
  <si>
    <t xml:space="preserve">WOS:000825002100001</t>
  </si>
  <si>
    <t xml:space="preserve">Hatamian, M; Wairimu, S; Momen, N; Fritsch, L</t>
  </si>
  <si>
    <t xml:space="preserve">Hatamian, Majid; Wairimu, Samuel; Momen, Nurul; Fritsch, Lothar</t>
  </si>
  <si>
    <t xml:space="preserve">A privacy and security analysis of early-deployed COVID-19 contact tracing Android apps</t>
  </si>
  <si>
    <t xml:space="preserve">COVID-19; Contact tracing app; Privacy; Security; Vulnerability; GDPR; Pandemic</t>
  </si>
  <si>
    <t xml:space="preserve">As this article is being drafted, the SARS-CoV-2/COVID-19 pandemic is causing harm and disruption across the world. Many countries aimed at supporting their contact tracers with the use of digital contact tracing apps in order to manage and control the spread of the virus. Their idea is the automatic registration of meetings between smartphone owners for the quicker processing of infection chains. To date, there are many contact tracing apps that have already been launched and used in 2020. There has been a lot of speculations about the privacy and security aspects of these apps and their potential violation of data protection principles. Therefore, the developers of these apps are constantly criticized because of undermining users' privacy, neglecting essential privacy and security requirements, and developing apps under time pressure without considering privacy- and security-by-design. In this study, we analyze the privacy and security performance of 28 contact tracing apps available on Android platform from various perspectives, including their code's privileges, promises made in their privacy policies, and static and dynamic performances. Our methodology is based on the collection of various types of data concerning these 28 apps, namely permission requests, privacy policy texts, run-time resource accesses, and existing security vulnerabilities. Based on the analysis of these data, we quantify and assess the impact of these apps on users' privacy. We aimed at providing a quick and systematic inspection of the earliest contact tracing apps that have been deployed on multiple continents. Our findings have revealed that the developers of these apps need to take more cautionary steps to ensure code quality and to address security and privacy vulnerabilities. They should more consciously follow legal requirements with respect to apps' permission declarations, privacy principles, and privacy policy contents.</t>
  </si>
  <si>
    <t xml:space="preserve">[Hatamian, Majid] Northumbria Univ, Dept Comp &amp; Informat Sci, Newcastle Upon Tyne, Tyne &amp; Wear, England; [Wairimu, Samuel; Momen, Nurul; Fritsch, Lothar] Karlstad Univ, Dept Math &amp; Comp Sci, Karlstad, Sweden; [Momen, Nurul] Blekinge Inst Technol, Karlskrona, Sweden</t>
  </si>
  <si>
    <t xml:space="preserve">Northumbria University; Karlstad University; Blekinge Institute Technology</t>
  </si>
  <si>
    <t xml:space="preserve">Hatamian, M (corresponding author), Northumbria Univ, Dept Comp &amp; Informat Sci, Newcastle Upon Tyne, Tyne &amp; Wear, England.</t>
  </si>
  <si>
    <t xml:space="preserve">majid.hatamian.h@ieee.org; samuel.wairimu@kau.se; nurul.momen@bth.se; lothar.fritsch@kau.se</t>
  </si>
  <si>
    <t xml:space="preserve">Hatamian, Majid/AAU-9157-2020; /AAF-5389-2019; Momen, Nurul/E-8296-2017</t>
  </si>
  <si>
    <t xml:space="preserve">Momen, Nurul/0000-0002-5235-5335</t>
  </si>
  <si>
    <t xml:space="preserve">Digital Well Research project from Region Varmland, Project Alert, Research council of Norway [270969]</t>
  </si>
  <si>
    <t xml:space="preserve">Digital Well Research project from Region Varmland, Project Alert, Research council of Norway</t>
  </si>
  <si>
    <t xml:space="preserve">Part of this work was funded by the Digital Well Research project from Region Varmland, Project Alert, Research council of Norway 270969.</t>
  </si>
  <si>
    <t xml:space="preserve">MAR 19</t>
  </si>
  <si>
    <t xml:space="preserve">10.1007/s10664-020-09934-4</t>
  </si>
  <si>
    <t xml:space="preserve">RA0BI</t>
  </si>
  <si>
    <t xml:space="preserve">Green Published, hybrid, Green Accepted</t>
  </si>
  <si>
    <t xml:space="preserve">WOS:000631083100001</t>
  </si>
  <si>
    <t xml:space="preserve">Kusetogullari, H; Yavariabdi, A; Hall, J; Lavesson, N</t>
  </si>
  <si>
    <t xml:space="preserve">Kusetogullari, Huseyin; Yavariabdi, Amir; Hall, Johan; Lavesson, Niklas</t>
  </si>
  <si>
    <t xml:space="preserve">DIGITNET: A Deep Handwritten Digit Detection and Recognition Method Using a New Historical Handwritten Digit Dataset</t>
  </si>
  <si>
    <t xml:space="preserve">Historical handwritten documents; Handwritten digit detection; Ensemble deep learning; Digit string recognition; DIDA handwritten digit dataset</t>
  </si>
  <si>
    <t xml:space="preserve">OBJECT DETECTION; SEGMENTATION; STRINGS; SYSTEM</t>
  </si>
  <si>
    <t xml:space="preserve">This paper introduces a novel deep learning architecture, named DIGITNET, and a large-scale digit dataset, named DIDA, to detect and recognize handwritten digits in historical document images written in the nineteen century. To generate the DIDA dataset, digit images are collected from 100, 000 Swedish handwritten historical document images, which were written by different priests with different handwriting styles. This dataset contains three sub-datasets including single digit, large-scale bounding box annotated multi-digit, and digit string with 250, 000, 25, 000, and 200, 000 samples in RedGreen-Blue (RGB) color spaces, respectively. Moreover, DIDA is used to train the DIGITNET network, which consists of two deep learning architectures, called DIGITNET-dect and DIGITNET-rec, respectively, to isolate digits and recognize digit strings in historical handwritten documents. In DIGITNET-dect architecture, to extract features from digits, three residual units where each residual unit has three convolution neural network structures are used and then a detection strategy based on You Look Only Once (YOLO) algorithm is employed to detect handwritten digits at two different scales. In DIGITNET-rec, the detected isolated digits are passed through 3 different designed Convolutional Neural Network (CNN) architectures and then the classification results of three different CNNs are combined using a voting scheme to recognize digit strings. The proposed model is also trained with various existing handwritten digit datasets and then validated over historical handwritten digit strings. The experimental results show that the proposed architecture trained with DIDA (publicly available from: https://didadataset.io/DIDA) outperforms the state-of-the-art methods. (C) 2020 The Author(s). Published by Elsevier Inc.</t>
  </si>
  <si>
    <t xml:space="preserve">[Kusetogullari, Huseyin] Blekinge Inst Technol, Dept Comp Sci, S-37141 Karlskrona, Sweden; [Kusetogullari, Huseyin] Skovde Univ, Sch Informat, S-54128 Skovde, Sweden; [Yavariabdi, Amir] KTO Karatay Univ, Dept Mechatron Engn, Konya, Turkey; [Hall, Johan] Arkiv Digital, Vaxjo, Sweden; [Lavesson, Niklas] Jonkoping Univ, Sch Engn, Dept Comp Sci, SE-55318 Jonkoping, Sweden</t>
  </si>
  <si>
    <t xml:space="preserve">Blekinge Institute Technology; University of Skovde; KTO Karatay University; Jonkoping University</t>
  </si>
  <si>
    <t xml:space="preserve">Lavesson, Niklas/B-3313-2013; Kusetogullari, Huseyin/IAQ-0788-2023</t>
  </si>
  <si>
    <t xml:space="preserve">This study was conducted within the research project scalable resource efficient systems for big data analytics funded by the Knowledge Foundation (Grant: 20140032) in Sweden.</t>
  </si>
  <si>
    <t xml:space="preserve">FEB 15</t>
  </si>
  <si>
    <t xml:space="preserve">10.1016/j.bdr.2020.100182</t>
  </si>
  <si>
    <t xml:space="preserve">PU2WL</t>
  </si>
  <si>
    <t xml:space="preserve">WOS:000609166100006</t>
  </si>
  <si>
    <t xml:space="preserve">Lövestad, S; Örmon, K; Enander, V; Krantz, G</t>
  </si>
  <si>
    <t xml:space="preserve">Lovestad, Solveig; Ormon, Karin; Enander, Viveka; Krantz, Gunilla</t>
  </si>
  <si>
    <t xml:space="preserve">Health care utilization, mental disorders and behavioural disorders among perpetrators of intimate partner homicide in 2000-2016: A registry-based case-control study from Sweden</t>
  </si>
  <si>
    <t xml:space="preserve">PLOS ONE</t>
  </si>
  <si>
    <t xml:space="preserve">RISK-FACTORS; VIOLENCE; POPULATION; MURDER; WOMEN</t>
  </si>
  <si>
    <t xml:space="preserve">ittle is known about intimate partner homicide (IPH) perpetrators healthcare contacts and mental health problems before the killing. The aim was to compare male and female IPH perpetrators with matched controls from the general population by analysing differences in healthcare utilization and mental and behavioural disorders. This study includes 48 males and 10 females who perpetrated IPH between 2000 and 2016 in the V &amp; auml;stra G &amp; ouml;taland Region of Sweden. Controls (n = 458) were randomly selected from the general population and matched for sex, birth year and residential area. Data were retrieved from the Swedish National Patient Register and the Western Swedish Healthcare Register. Mental and behavioural disorders were classified according to ICD-10 (F00-F99). The Mann-Whitney U test was used to test for differences in health care utilization and mental and behavioural disorders. Compared to their controls, male perpetrators had more registered contacts with primary care &lt;= 30 (p = &lt; .001) and &lt;= 365 days (p = .019), respectively, before the homicide; with specialist outpatient care &lt;= 30 (p = &lt; .001) and &lt;= 365 days (p = &lt; .001), respectively, before the homicide: and with inpatient care &lt;= 30 (p = &lt; .001) and &lt;= 365 days (p = .024), respectively, before the homicide. Female perpetrators had more specialized outpatient care (p = .040) and inpatient care (p = .003) contacts &lt;= 365 days before the homicide, compared to controls. Male perpetrators had at least one mental or behavioral disorder diagnosed in any studied healthcare setting except in inpatient care &lt;= 30 days before homicide. Female perpetrators had more mental health disorders diagnosed in specialized outpatient care &lt;= 365 days before the homicide (p &lt; .001). Perpetrators had more healthcare contacts and mental disorders one year and one month prior to the homicide compared to their controls. Health care professionals should obtain necessary skills in routinely enquiring about intimate partner violence perpetration</t>
  </si>
  <si>
    <t xml:space="preserve">[Lovestad, Solveig; Krantz, Gunilla] Univ Gothenburg, Inst Med, Dept Publ Hlth &amp; Community Med, Gothenburg, Sweden; [Lovestad, Solveig; Ormon, Karin; Enander, Viveka; Krantz, Gunilla] Vastra Gotaland Reg Competence Ctr Intimate Partne, Gothenburg, Sweden; [Ormon, Karin] Blekinge Inst Technol, Dept Hlth, Karlskrona, Sweden; [Enander, Viveka] Gothenburg Univ, Fac Social Sci, Dept Social Work, Gothenburg, Sweden</t>
  </si>
  <si>
    <t xml:space="preserve">University of Gothenburg; Blekinge Institute Technology; University of Gothenburg</t>
  </si>
  <si>
    <t xml:space="preserve">Lövestad, S (corresponding author), Univ Gothenburg, Inst Med, Dept Publ Hlth &amp; Community Med, Gothenburg, Sweden.;Lövestad, S (corresponding author), Vastra Gotaland Reg Competence Ctr Intimate Partne, Gothenburg, Sweden.</t>
  </si>
  <si>
    <t xml:space="preserve">Solveig.lovestad@gu.se</t>
  </si>
  <si>
    <t xml:space="preserve">PUBLIC LIBRARY SCIENCE</t>
  </si>
  <si>
    <t xml:space="preserve">SAN FRANCISCO</t>
  </si>
  <si>
    <t xml:space="preserve">1160 BATTERY STREET, STE 100, SAN FRANCISCO, CA 94111 USA</t>
  </si>
  <si>
    <t xml:space="preserve">1932-6203</t>
  </si>
  <si>
    <t xml:space="preserve">PLoS One</t>
  </si>
  <si>
    <t xml:space="preserve">FEB 23</t>
  </si>
  <si>
    <t xml:space="preserve">e0298693</t>
  </si>
  <si>
    <t xml:space="preserve">10.1371/journal.pone.0298693</t>
  </si>
  <si>
    <t xml:space="preserve">JP7R1</t>
  </si>
  <si>
    <t xml:space="preserve">WOS:001174439300092</t>
  </si>
  <si>
    <t xml:space="preserve">The perspective of Brazilian software developers on data privacy</t>
  </si>
  <si>
    <t xml:space="preserve">Privacy requirements; Software development; Empirical study</t>
  </si>
  <si>
    <t xml:space="preserve">REQUIREMENTS; SECURITY; DESIGN</t>
  </si>
  <si>
    <t xml:space="preserve">Context: Maintaining the privacy of user data is a concern in software development to satisfy customer needs or to comply with privacy laws. Recent studies have shown that software development approaches still neglect non-functional requirements, including privacy. Concern about privacy may increase in the period between when a privacy law is initially announced and when it is passed into law. During this period, companies will be challenged to comply with the new law. Research has shown that many developers do not have sufficient knowledge to develop privacy-preserving software systems.Objective: We investigate the level of knowledge and understanding that developers possess regard-ing privacy. We explore the personal, behavioural, and external environmental factors affecting a developer's decision-making regarding privacy requirements. Methods: We replicated a study by means of in-depth, semi-structured interviews with thirteen practitioners at six companies. Our data analysis is based on the principles of 'grounded theory codification'.Results: We identified nine personal factors, five behavioural factors, and seven external environment factors that are relevant to how software developers make decisions regarding.Conclusion: Our identification of factors that influence the development of privacy-preserving soft-ware systems can be seen as a contribution to the specification of effective methods for securing privacy.(c) 2022 Elsevier Inc. All rights reserved.</t>
  </si>
  <si>
    <t xml:space="preserve">[Peixoto, Mariana; Ferreira, Dayse; Cavalcanti, Mateus; Silva, Carla; Vilela, Jessyka] Univ Fed Pernambuco UFPE, Ctr Informat, Recife, PE, Brazil; [Araujo, Joao] Univ NOVA Lisboa UNL, Fac Ciencias &amp; Tecnol, Dept Informat, NOVA LINCS, Lisbon, Portugal; [Gorschek, Tony] Blekinge Inst Technol BTH, Software Engn Dept, Software Engn Res Lab SERL, Karlskrona, Sweden</t>
  </si>
  <si>
    <t xml:space="preserve">Peixoto, M (corresponding author), Univ Fed Pernambuco UFPE, Ctr Informat, Recife, PE, Brazil.</t>
  </si>
  <si>
    <t xml:space="preserve">mmp2@cin.ufpe.br; dmmf@cin.ufpe.br; mcl2@cin.ufpe.br; ctlls@cin.ufpe.br; jffv2@cin.ufpe.br; p191@fct.unl.pt; tony.gorschek@bth.se</t>
  </si>
  <si>
    <t xml:space="preserve">Vilela, Jessyka/KYQ-1664-2024; Gorschek, Tony/E-3445-2013; Araujo, Joao/G-2108-2011; Araujo, Joao/M-3560-2013</t>
  </si>
  <si>
    <t xml:space="preserve">Silva, Carla/0000-0002-0597-3851; Araujo, Joao/0000-0001-5914-1631; Vilela, Jessyka/0000-0002-5541-5188</t>
  </si>
  <si>
    <t xml:space="preserve">oamento de Pessoal de N?vel Superior - Brasil (CAPES); KKS foundation Profile Project ReThought.se; NOVA LINCS Research Laboratory [UID/CEC/04516/2019]; Coordenacao de Aperfeicoamento de Pessoal de Nivel Superior - Brasil (CAPES) [001]</t>
  </si>
  <si>
    <t xml:space="preserve">oamento de Pessoal de N?vel Superior - Brasil (CAPES)(Coordenacao de Aperfeicoamento de Pessoal de Nivel Superior (CAPES)); KKS foundation Profile Project ReThought.se; NOVA LINCS Research Laboratory; Coordenacao de Aperfeicoamento de Pessoal de Nivel Superior - Brasil (CAPES)(Coordenacao de Aperfeicoamento de Pessoal de Nivel Superior (CAPES))</t>
  </si>
  <si>
    <t xml:space="preserve">Part of this study was funded by the Coordenacao de Aperfeicoamento de Pessoal de Nivel Superior - Brasil (CAPES) (Finance Code 001), and the KKS foundation Profile Project ReThought.se. It was also supported by NOVA LINCS Research Laboratory (Ref. UID/CEC/04516/2019).</t>
  </si>
  <si>
    <t xml:space="preserve">10.1016/j.jss.2022.111523</t>
  </si>
  <si>
    <t xml:space="preserve">5T4JR</t>
  </si>
  <si>
    <t xml:space="preserve">WOS:000875835500004</t>
  </si>
  <si>
    <t xml:space="preserve">Lövestad, S; Sjöström, K; Björk, J; Örmon, K</t>
  </si>
  <si>
    <t xml:space="preserve">Lovestad, Solveig; Sjostrom, Karin; Bjork, Josefin; Ormon, Karin</t>
  </si>
  <si>
    <t xml:space="preserve">The questions on violence (FOV) tool for interpersonal violence inquiry in Swedish healthcare settings - evaluation of content validity, face validity and test-retest reliability</t>
  </si>
  <si>
    <t xml:space="preserve">BMC HEALTH SERVICES RESEARCH</t>
  </si>
  <si>
    <t xml:space="preserve">Reliability; Validity; Instrument; Routine inquiry; Health care; Violence; Interpersonal violence</t>
  </si>
  <si>
    <t xml:space="preserve">INTIMATE PARTNER VIOLENCE; MISSED OPPORTUNITIES; COGNITIVE INTERVIEWS; DOMESTIC VIOLENCE; ABUSE; WOMEN; MEN</t>
  </si>
  <si>
    <t xml:space="preserve">BackgroundPrevious research indicates that routine inquiry or screening conducted by healthcare providers may significantly increase the identification of interpersonal violence. There is a lack of comprehensive instruments to routinely assess patients about interpersonal violence and violence against children in the household. The purpose of this study was to assess the content validity, face validity and reliability of the Questions on Violence (FOV) tool, an instrument specifically designed for routine inquiries about interpersonal violence in healthcare settings within the Swedish context.MethodsThe content validity, face validity and reliability of the FOV instrument was assessed through (1) a content validity index with six experts in the field of intimate partner violence, (2) cognitive interviews with nine patients recruited from a primary healthcare facility, and (3) an evaluation of the test-retest reliability based on responses from 37(50.0%) university students. The intraclass correlation coefficient, model 2.1, was calculated to assess the degree of correlation and agreement between the two measurements.ResultsCalculations based on the content validity index indicated that five out of seven items had excellent content validity (&gt;= 0.78). The average content validity index of included items was 0.88, which is slightly below the recommended threshold for excellent content validity. The results based on the cognitive interviews revealed that participants found the seven items to be relevant and easy to understand. Overall, the participants agreed that the concept of 'close relationships' primarily encompassed intimate partners, family members, and close friends. The value of the intraclass correlation coefficient was 0.85 (0.77-0.91; CI 95%), indicating good reliability with an interval of good to excellent test-retest reliability.ConclusionsThe results demonstrate that the seven-item FOV instrument has good content and face validity as well as good to excellent test-retest reliability. The current study provides healthcare professionals with a short yet comprehensive instrument for identifying patients who have experienced or perpetrated different forms of interpersonal violence.</t>
  </si>
  <si>
    <t xml:space="preserve">[Lovestad, Solveig] Univ Gothenburg, Inst Med, Sahlgrenska Acad, Dept Publ Hlth &amp; Community Med, Medicinaregatan 18A, S-41390 Gothenburg, Sweden; [Lovestad, Solveig; Bjork, Josefin; Ormon, Karin] Vastra Gotaland Reg Competence Ctr Intimate Partne, Kungsgatan 12, S-41119 Gothenburg, Sweden; [Sjostrom, Karin] Malmo Univ, Fac Hlth &amp; Soc, Dept Care Sci, Jan Waldenstroms Gata 25, S-21428 Malmo, Sweden; [Ormon, Karin] Blekinge Inst Technol, Dept Hlth, Valhallavagen 10, S-37179 Karlskrona, Sweden</t>
  </si>
  <si>
    <t xml:space="preserve">University of Gothenburg; Malmo University; Blekinge Institute Technology</t>
  </si>
  <si>
    <t xml:space="preserve">Lövestad, S (corresponding author), Univ Gothenburg, Inst Med, Sahlgrenska Acad, Dept Publ Hlth &amp; Community Med, Medicinaregatan 18A, S-41390 Gothenburg, Sweden.;Lövestad, S (corresponding author), Vastra Gotaland Reg Competence Ctr Intimate Partne, Kungsgatan 12, S-41119 Gothenburg, Sweden.</t>
  </si>
  <si>
    <t xml:space="preserve">solveig.lovestad@gu.se</t>
  </si>
  <si>
    <t xml:space="preserve">Gothenburg University; University of Gothenburg</t>
  </si>
  <si>
    <t xml:space="preserve">Open access funding was provided by Gothenburg University. Open access funding provided by University of Gothenburg.</t>
  </si>
  <si>
    <t xml:space="preserve">1472-6963</t>
  </si>
  <si>
    <t xml:space="preserve">BMC HEALTH SERV RES</t>
  </si>
  <si>
    <t xml:space="preserve">BMC Health Serv. Res.</t>
  </si>
  <si>
    <t xml:space="preserve">OCT 16</t>
  </si>
  <si>
    <t xml:space="preserve">10.1186/s12913-024-11708-3</t>
  </si>
  <si>
    <t xml:space="preserve">J1J8P</t>
  </si>
  <si>
    <t xml:space="preserve">WOS:001334712600001</t>
  </si>
  <si>
    <t xml:space="preserve">Tavassoli, S; Karlsson, C</t>
  </si>
  <si>
    <t xml:space="preserve">Tavassoli, Sam; Karlsson, Charlie</t>
  </si>
  <si>
    <t xml:space="preserve">The role of location on complexity of firms' innovation outcome</t>
  </si>
  <si>
    <t xml:space="preserve">Innovation outcome; location, Agglomeration economies; knowledge spillovers, Community innovation survey</t>
  </si>
  <si>
    <t xml:space="preserve">In this paper we analyze how the location of firms influences their innovation outcomes, particularly the complexity of the outcomes. Using three waves of the Community Innovation Survey in Sweden for a balanced panel of firms from 2006 to 2012, we identified a range of innovation outcome categories, i.e. simple and complex (low-, medium-, highly-complex). The backbone of such categorization is based on how firms introduce a combination of Schumpeterian types of innovations (i.e. process, product, marketing, and organizational). Then we consider three regional characteristics that may affect the innovation outcomes of firms, i.e. (i) qualified labor market thickness, (ii) knowledge-intensive services thickness, and (iii) knowledge spillovers extent. We find that regional characteristics do not affect firms' innovation outcomes ubiquitously. They are only positively associated with those firms introducing the highly-complex innovation outcomes. For firms with less complex innovation outcomes, the regional characteristics do not seem to play a pivotal role. For these innovators, internal resources and formal collaboration with external partners have a significant role.</t>
  </si>
  <si>
    <t xml:space="preserve">[Tavassoli, Sam] RMIT Univ, Coll Business &amp; Law, Sch Management, Melbourne, Vic, Australia; [Tavassoli, Sam] Lund Univ, Ctr Innovat Res &amp; Competence Learning Econ CIRCLE, Lund, Sweden; [Karlsson, Charlie] Jonkoping Int Business Sch, Econ, Jonkoping, Sweden; [Karlsson, Charlie] Blekinge Inst Technol, Ind Econ, Karlskrona, Sweden</t>
  </si>
  <si>
    <t xml:space="preserve">Royal Melbourne Institute of Technology (RMIT); Lund University; Jonkoping University; Blekinge Institute Technology</t>
  </si>
  <si>
    <t xml:space="preserve">Tavassoli, S (corresponding author), RMIT Univ, 440 Elizabeth St, Melbourne, Vic 3000, Australia.</t>
  </si>
  <si>
    <t xml:space="preserve">sam.tavassoli@rmit.edu.au</t>
  </si>
  <si>
    <t xml:space="preserve">Tavassoli, Sam/JXM-6351-2024; Karlsson, Charlie/JQP-0947-2023</t>
  </si>
  <si>
    <t xml:space="preserve">Tavassoli, Sam/0000-0002-4581-736X</t>
  </si>
  <si>
    <t xml:space="preserve">10.1016/j.techfore.2020.120404</t>
  </si>
  <si>
    <t xml:space="preserve">QL9CR</t>
  </si>
  <si>
    <t xml:space="preserve">WOS:000621378100019</t>
  </si>
  <si>
    <t xml:space="preserve">Pesavento, M; Trinh-Hoang, M; Viberg, M</t>
  </si>
  <si>
    <t xml:space="preserve">Pesavento, Marius; Trinh-Hoang, Minh; Viberg, Mats</t>
  </si>
  <si>
    <t xml:space="preserve">Three More Decades in Array Signal Processing Research: An optimization and structure exploitation perspective</t>
  </si>
  <si>
    <t xml:space="preserve">IEEE SIGNAL PROCESSING MAGAZINE</t>
  </si>
  <si>
    <t xml:space="preserve">Wireless communication; Surveillance; Millimeter wave radar; Parallel processing; Market research; Radar signal processing; Sensors</t>
  </si>
  <si>
    <t xml:space="preserve">OF-ARRIVAL ESTIMATION; DOA ESTIMATION; LOCALIZATION; AMBIGUITIES; MODELS</t>
  </si>
  <si>
    <t xml:space="preserve">The signal processing community is currently witnessing the emergence of sensor array processing and direction-of-arrival (DoA) estimation in various modern applications, such as automotive radar, mobile user and millimeter wave indoor localization, and drone surveillance, as well as in new paradigms, such as joint sensing and communication in future wireless systems. This trend is further enhanced by technology leaps and the availability of powerful and affordable multiantenna hardware platforms.</t>
  </si>
  <si>
    <t xml:space="preserve">[Pesavento, Marius; Trinh-Hoang, Minh] Tech Univ Darmstadt, Dept Elect Engn &amp; Informat Technol, D-64289 Darmstadt, Germany; [Trinh-Hoang, Minh] Rohde &amp; Schwarz, D-81614 Munich, Germany; [Viberg, Mats] Chalmers Univ Technol, Signal Proc, Gothenburg, Sweden; [Viberg, Mats] Blekinge Inst Technol, S-37179 Karlskrona, Sweden; [Viberg, Mats] Royal Swedish Acad Sci KVA, Stockholm, Sweden</t>
  </si>
  <si>
    <t xml:space="preserve">Technical University of Darmstadt; Rohde &amp; Schwarz GmbH &amp; Co KG; Chalmers University of Technology; Blekinge Institute Technology; Royal Swedish Academy of Sciences</t>
  </si>
  <si>
    <t xml:space="preserve">Pesavento, M (corresponding author), Tech Univ Darmstadt, Dept Elect Engn &amp; Informat Technol, D-64289 Darmstadt, Germany.</t>
  </si>
  <si>
    <t xml:space="preserve">pesavento@nt.tu-darmstadt.de; thminh@nt.tu-darmstadt.de; mats.viberg@bth.se</t>
  </si>
  <si>
    <t xml:space="preserve">Viberg, Mats/0000-0003-1549-419X; Pesavento, Marius/0000-0003-3395-2588</t>
  </si>
  <si>
    <t xml:space="preserve">BMBF project Open6GHub [16KISK014]; DFG PRIDE Project PE 2080/2-1 [423747006]</t>
  </si>
  <si>
    <t xml:space="preserve">BMBF project Open6GHub(Federal Ministry of Education &amp; Research (BMBF)); DFG PRIDE Project PE 2080/2-1(German Research Foundation (DFG))</t>
  </si>
  <si>
    <t xml:space="preserve">The work of Marius Pesavento was supported by the BMBF project Open6GHub under Grant 16KISK014 and the DFG PRIDE Project PE 2080/2-1 under Project No. 423747006.</t>
  </si>
  <si>
    <t xml:space="preserve">1053-5888</t>
  </si>
  <si>
    <t xml:space="preserve">1558-0792</t>
  </si>
  <si>
    <t xml:space="preserve">IEEE SIGNAL PROC MAG</t>
  </si>
  <si>
    <t xml:space="preserve">IEEE Signal Process. Mag.</t>
  </si>
  <si>
    <t xml:space="preserve">10.1109/MSP.2023.3255558</t>
  </si>
  <si>
    <t xml:space="preserve">I6ZD6</t>
  </si>
  <si>
    <t xml:space="preserve">WOS:001004238400010</t>
  </si>
  <si>
    <t xml:space="preserve">Javeed, A; Dallora, AL; Berglund, JS; Ali, A; Anderberg, P; Ali, L</t>
  </si>
  <si>
    <t xml:space="preserve">Javeed, Ashir; Dallora, Ana Luiza; Berglund, Johan Sanmartin; Ali, Arif; Anderberg, Peter; Ali, Liaqat</t>
  </si>
  <si>
    <t xml:space="preserve">Predicting Dementia Risk Factors Based on Feature Selection and Neural Networks</t>
  </si>
  <si>
    <t xml:space="preserve">CMC-COMPUTERS MATERIALS &amp; CONTINUA</t>
  </si>
  <si>
    <t xml:space="preserve">Dementia prediction; feature selection; genetic algorithm; neural networks</t>
  </si>
  <si>
    <t xml:space="preserve">ALZHEIMERS-DISEASE; COGNITIVE FUNCTION; DIAGNOSIS; SYSTEM; MIDLIFE; CARE</t>
  </si>
  <si>
    <t xml:space="preserve">Dementia is a disorder with high societal impact and severe consequences for its patients who suffer from a progressive cognitive decline that leads to increased morbidity, mortality, and disabilities. Since there is a consensus that dementia is a multifactorial disorder, which portrays changes in the brain of the affected individual as early as 15 years before its onset, prediction models that aim at its early detection and risk identification should consider these characteristics. This study aims at presenting a novel method for ten years prediction of dementia using on multifactorial data, which comprised 75 variables. There are two automated diagnostic systems developed that use genetic algorithms for feature selection, while artificial neural network and deep neural network are used for dementia classification. The proposed model based on genetic algorithm and deep neural network had achieved the best accuracy of 93.36%, sensitivity of 93.15%, specificity of 91.59%, MCC of 0.4788, and performed superior to other 11 machine learning techniques which were presented in the past for dementia prediction. The identified best predictors were: age, past smoking habit, history of infarct, depression, hip fracture, single leg standing test with right leg, score in the physical component summary and history of TIA/RIND. The identification of risk factors is imperative in the dementia research as an effort to prevent or delay its onset.</t>
  </si>
  <si>
    <t xml:space="preserve">[Javeed, Ashir] Karolinska Inst, Aging Res Ctr, S-17165 Stockholm, Sweden; [Javeed, Ashir; Dallora, Ana Luiza; Berglund, Johan Sanmartin; Anderberg, Peter] Blekinge Inst Technol, Dept Hlth, S-37141 Karlskrona, Sweden; [Anderberg, Peter] Univ Skovde, Sch Hlth Sci, S-54128 Skovde, Sweden; [Ali, Arif] Univ Sci &amp; Technol Bannu, Dept Comp Sci, Bannu 28100, Pakistan; [Ali, Liaqat] Univ Sci &amp; Technol Bannu, Dept Elect Engn, Bannu 28100, Pakistan</t>
  </si>
  <si>
    <t xml:space="preserve">Karolinska Institutet; Blekinge Institute Technology; University of Skovde; University of Science &amp; Technology Bannu; University of Science &amp; Technology Bannu</t>
  </si>
  <si>
    <t xml:space="preserve">Berglund, JS (corresponding author), Blekinge Inst Technol, Dept Hlth, S-37141 Karlskrona, Sweden.</t>
  </si>
  <si>
    <t xml:space="preserve">Anderberg, Peter/B-5541-2012; Javeed, Ashir/ABG-2567-2022; Sanmartin Berglund, Johan/HGB-0471-2022; Ali, Liaqat/AAD-4705-2020</t>
  </si>
  <si>
    <t xml:space="preserve">Ali, Liaqat/0000-0002-3095-7271; Dallora Moraes, Ana Luiza/0000-0002-6752-017X</t>
  </si>
  <si>
    <t xml:space="preserve">TECH SCIENCE PRESS</t>
  </si>
  <si>
    <t xml:space="preserve">HENDERSON</t>
  </si>
  <si>
    <t xml:space="preserve">871 CORONADO CENTER DR, SUTE 200, HENDERSON, NV 89052 USA</t>
  </si>
  <si>
    <t xml:space="preserve">1546-2218</t>
  </si>
  <si>
    <t xml:space="preserve">1546-2226</t>
  </si>
  <si>
    <t xml:space="preserve">CMC-COMPUT MATER CON</t>
  </si>
  <si>
    <t xml:space="preserve">CMC-Comput. Mat. Contin.</t>
  </si>
  <si>
    <t xml:space="preserve">10.32604/cmc.2023.033783</t>
  </si>
  <si>
    <t xml:space="preserve">Computer Science, Information Systems; Materials Science, Multidisciplinary</t>
  </si>
  <si>
    <t xml:space="preserve">Computer Science; Materials Science</t>
  </si>
  <si>
    <t xml:space="preserve">F2QE6</t>
  </si>
  <si>
    <t xml:space="preserve">WOS:000980836000009</t>
  </si>
  <si>
    <t xml:space="preserve">Lyeonov, S; Brychko, M; Korpysa, J; Bacs, Z</t>
  </si>
  <si>
    <t xml:space="preserve">Lyeonov, Serhiy; Brychko, Maryna; Korpysa, Jaroslaw; Bacs, Zoltan</t>
  </si>
  <si>
    <t xml:space="preserve">COGNITIVE MAPPING OF THE ECONOMY OF TRUST</t>
  </si>
  <si>
    <t xml:space="preserve">ECONOMICS &amp; SOCIOLOGY</t>
  </si>
  <si>
    <t xml:space="preserve">trust; financial system; government; macroeconomic stability; fuzzy cognitive mapping</t>
  </si>
  <si>
    <t xml:space="preserve">POLITICAL TRUST; FINANCIAL CRISIS; GOVERNMENT; IMPACT; DETERMINANTS; INSTITUTIONS; CORRUPTION; GOVERNANCE; BEHAVIOR</t>
  </si>
  <si>
    <t xml:space="preserve">The concept of trust has been extensively explored by governments, researchers, and academic communities focusing on public authorities and the financial system, albeit in separate contexts. Trust plays a vital role in both sectors, influencing various aspects of governance, economic stability, and societal well-being. However, the relationship and interdependencies between trust in the government and trust in the financial system remain relatively unexplored. In addressing this gap, this study aims to improve the understanding of the role of trust in the socio-economic system and provide a framework for analysing the complex causal mechanisms between developments in the financial and public sectors using trust concepts. To achieve this, the study adopts the Fuzzy Cognitive Mapping (FCM) method in combination with the fuzzy Delphi method (FDM) as the methodological approach. The results highlight that even a small decline in trust can have severe repercussions on the stability of the financial system, deposit levels, exchange rate stability, and the prevalence of nonperforming loans. Additionally, violations of trust in the financial sector also impact the development of the public sector, resulting in decreased trust in the government, fiscal stability, tax revenues, and government bond purchases. The study also demonstrated that when trust in both the financial sector and the government is eroded simultaneously, the complexities and the extent of negative consequences are amplified. These findings emphasize the interconnected nature of trust dynamics in both sectors and underscore the importance of a comprehensive approach to addressing trust-related challenges.</t>
  </si>
  <si>
    <t xml:space="preserve">[Lyeonov, Serhiy] Silesian Tech Univ, Gliwice, Poland; [Lyeonov, Serhiy; Brychko, Maryna] Sumy State Univ, Sumy, Ukraine; [Brychko, Maryna] Blekinge Inst Technol, Karlskrona, Sweden; [Korpysa, Jaroslaw] Vytautas Magnus Univ Kaunas, Bioecon Res Inst, Kaunas, Lithuania; [Bacs, Zoltan] Univ Debrecen, Fac Econ &amp; Business, Debrecen, Hungary</t>
  </si>
  <si>
    <t xml:space="preserve">Silesian University of Technology; Ministry of Education &amp; Science of Ukraine; Sumy State University; Blekinge Institute Technology; Vytautas Magnus University; University of Debrecen</t>
  </si>
  <si>
    <t xml:space="preserve">Brychko, M (corresponding author), Sumy State Univ, Sumy, Ukraine.;Brychko, M (corresponding author), Blekinge Inst Technol, Karlskrona, Sweden.</t>
  </si>
  <si>
    <t xml:space="preserve">Serhiy.Lyeonov@polsl.pl; maryna.brychko@bth.se; jaroslaw.korpysa@vdu.lt; bacs.zoltan@econ.unideb.hu</t>
  </si>
  <si>
    <t xml:space="preserve">Jaroslaw, Korpysa/AAL-8369-2020</t>
  </si>
  <si>
    <t xml:space="preserve">Jaroslaw, Korpysa/0000-0002-2400-3308</t>
  </si>
  <si>
    <t xml:space="preserve">CENTER SOCIOLOGICAL RESEARCH</t>
  </si>
  <si>
    <t xml:space="preserve">SZCZECIN</t>
  </si>
  <si>
    <t xml:space="preserve">BOLESLAWA SMIALEGO STR 22-27, SZCZECIN, 70-347, POLAND</t>
  </si>
  <si>
    <t xml:space="preserve">2071-789X</t>
  </si>
  <si>
    <t xml:space="preserve">2306-3459</t>
  </si>
  <si>
    <t xml:space="preserve">ECON SOCIOL</t>
  </si>
  <si>
    <t xml:space="preserve">Econ. Sociol.</t>
  </si>
  <si>
    <t xml:space="preserve">10.14254/2071-789X.2024/17-3/13</t>
  </si>
  <si>
    <t xml:space="preserve">Business; Economics</t>
  </si>
  <si>
    <t xml:space="preserve">N1M7S</t>
  </si>
  <si>
    <t xml:space="preserve">WOS:001362063000013</t>
  </si>
  <si>
    <t xml:space="preserve">Javeed, A; Dallora, AL; Berglund, JS; Ali, A; Ali, L; Anderberg, P</t>
  </si>
  <si>
    <t xml:space="preserve">Javeed, Ashir; Dallora, Ana Luiza; Berglund, Johan Sanmartin; Ali, Arif; Ali, Liaqat; Anderberg, Peter</t>
  </si>
  <si>
    <t xml:space="preserve">Machine Learning for Dementia Prediction: A Systematic Review and Future Research Directions (vol 47, 17, 2023)</t>
  </si>
  <si>
    <t xml:space="preserve">JOURNAL OF MEDICAL SYSTEMS</t>
  </si>
  <si>
    <t xml:space="preserve">[Javeed, Ashir] Karolinska Inst, Aging Res Ctr, S-17165 Stockholm, Solna, Sweden; [Javeed, Ashir; Dallora, Ana Luiza; Berglund, Johan Sanmartin; Anderberg, Peter] Blekinge Inst Technol, Dept Hlth, Valhallavagen 1, S-37141 Karlskrona, Blekinge, Sweden; [Ali, Arif] Univ Sci &amp; Technol Bannu, Dept Comp Sci, Bannu 28100, Khyber Pakhtunk, Pakistan; [Ali, Liaqat] Univ Sci &amp; Technol Bannu, Dept Elect Engn, Bannu 28100, Khyber Pakhtunk, Pakistan; [Anderberg, Peter] Univ Skovde, Sch Hlth Sci, Hogskolevagen 1, SE-54128 Skovde, Sweden</t>
  </si>
  <si>
    <t xml:space="preserve">Karolinska Institutet; Blekinge Institute Technology; University of Science &amp; Technology Bannu; University of Science &amp; Technology Bannu; University of Skovde</t>
  </si>
  <si>
    <t xml:space="preserve">Berglund, JS (corresponding author), Blekinge Inst Technol, Dept Hlth, Valhallavagen 1, S-37141 Karlskrona, Blekinge, Sweden.</t>
  </si>
  <si>
    <t xml:space="preserve">ashir.javeed@ki.se; ada@bth.se; johan.sanmartin.berglund@bth.se; dr.arifali92@gmail.com; engr.liaqat@ustb.edu.pk; peter.anderberg@bth.se</t>
  </si>
  <si>
    <t xml:space="preserve">Anderberg, Peter/B-5541-2012; Sanmartin Berglund, Johan/HGB-0471-2022</t>
  </si>
  <si>
    <t xml:space="preserve">Ali, Liaqat/0000-0002-3095-7271</t>
  </si>
  <si>
    <t xml:space="preserve">0148-5598</t>
  </si>
  <si>
    <t xml:space="preserve">1573-689X</t>
  </si>
  <si>
    <t xml:space="preserve">J MED SYST</t>
  </si>
  <si>
    <t xml:space="preserve">J. Med. Syst.</t>
  </si>
  <si>
    <t xml:space="preserve">SEP 14</t>
  </si>
  <si>
    <t xml:space="preserve">10.1007/s10916-024-02109-4</t>
  </si>
  <si>
    <t xml:space="preserve">F9Y8A</t>
  </si>
  <si>
    <t xml:space="preserve">WOS:001313298400002</t>
  </si>
  <si>
    <t xml:space="preserve">Abualhaija, S; Aydemir, FB; Dalpiaz, F; Dell'Anna, D; Ferrari, A; Franch, X; Fucci, D</t>
  </si>
  <si>
    <t xml:space="preserve">Abualhaija, Sallam; Aydemir, F. Basak; Dalpiaz, Fabiano; Dell'Anna, Davide; Ferrari, Alessio; Franch, Xavier; Fucci, Davide</t>
  </si>
  <si>
    <t xml:space="preserve">Replication in Requirements Engineering: The NLP for RE Case</t>
  </si>
  <si>
    <t xml:space="preserve">Requirements Engineering (RE); Natural Language Processing (NLP); replication; tool reconstruction; annotation; ID card</t>
  </si>
  <si>
    <t xml:space="preserve">Natural language processing (NLP) techniques have been widely applied in the requirements engineering (RE) field to support tasks such as classification and ambiguity detection. Despite its empirical vocation, RE research has given limited attention to replication of NLP for RE studies. Replication is hampered by several factors, including the context specificity of the studies, the heterogeneity of the tasks involving NLP, the tasks' inherent hairiness, and, in turn, the heterogeneous reporting structure. To address these issues, we propose a new artifact, referred to as ID-Card, whose goal is to provide a structured summary of research papers emphasizing replication-relevant information. We construct the ID-Card through a structured, iterative process based on design science. In this article: (i) we report on hands-on experiences of replication; (ii) we review the state-of-the-art and extract replication-relevant information: (iii) we identify, through focus groups, challenges across two typical dimensions of replication: data annotation and tool reconstruction; and (iv) we present the concept and structure of the ID-Card to mitigate the identified challenges. This study aims to create awareness of replication in NLP for RE. We propose an ID-Card that is intended to foster study replication but can also be used in other contexts, e.g., for educational purposes.</t>
  </si>
  <si>
    <t xml:space="preserve">[Abualhaija, Sallam] Univ Luxembourg, SnT, Luxembourg, Luxembourg; [Aydemir, F. Basak; Dell'Anna, Davide] Univ Utrecht, Utrecht, Netherlands; [Dalpiaz, Fabiano] Univ Utrecht, Informat &amp; Comp Sci, Utrecht, Netherlands; [Ferrari, Alessio] CNR, ISTI, Pisa, Italy; [Franch, Xavier] Univ Politecn Cataluna, Barcelona, Catalunya, Spain; [Fucci, Davide] Blekinge Inst Technol, Karlskrona, Blekinge, Sweden</t>
  </si>
  <si>
    <t xml:space="preserve">University of Luxembourg; Utrecht University; Utrecht University; Consiglio Nazionale delle Ricerche (CNR); Istituto di Scienza e Tecnologie dell'Informazione Alessandro Faedo (ISTI-CNR); Universitat Politecnica de Catalunya; Blekinge Institute Technology</t>
  </si>
  <si>
    <t xml:space="preserve">Abualhaija, S (corresponding author), Univ Luxembourg, SnT, Luxembourg, Luxembourg.</t>
  </si>
  <si>
    <t xml:space="preserve">sallam.abualhaija@uni.lu; f.b.aydemir@uu.nl; f.dalpiaz@uu.nl; d.dellanna@uu.nl; alessio.ferrari@isti.cnr.it; franch@essi.upc.edu; davide.fucci@bth.se</t>
  </si>
  <si>
    <t xml:space="preserve">Ferrari, Alessio/J-1155-2019; Franch, Xavier/A-8588-2008; Abualhaija, Sallam/KYQ-9260-2024; Dell'Anna, Davide/AAE-9156-2021; Fucci, Davide/C-1463-2015; Aydemir, Fatma Basak/AAF-3242-2020</t>
  </si>
  <si>
    <t xml:space="preserve">Dell'Anna, Davide/0000-0002-1162-8341; Dalpiaz, Fabiano/0000-0003-4480-3887; Abualhaija, Sallam/0000-0001-6095-447X; Franch, Xavier/0000-0001-9733-8830; Fucci, Davide/0000-0002-0679-4361; Aydemir, Fatma Basak/0000-0003-3833-3997</t>
  </si>
  <si>
    <t xml:space="preserve">ItalianMUR-PRIN [2020TL3X8X]; EU [101060179]; MOST -Sustainable Mobility National Research Center; European Union NextGeneration EU (PIANO NAZIONALE DI RIPRESA E RESILIENZA (PNRR) -MISSIONE 4 COMPONENTE 2, INVESTIMENTO 1.4 [1033, CN00000023]; KKS foundation; Spanish Ministerio de Ciencia e Innovacion [PID2020-117191RBI00/AEI/10.13039/501100011033]</t>
  </si>
  <si>
    <t xml:space="preserve">ItalianMUR-PRIN(Ministry of Education, Universities and Research (MIUR)Research Projects of National Relevance (PRIN)); EU(European Union (EU)); MOST -Sustainable Mobility National Research Center; European Union NextGeneration EU (PIANO NAZIONALE DI RIPRESA E RESILIENZA (PNRR) -MISSIONE 4 COMPONENTE 2, INVESTIMENTO 1.4; KKS foundation; Spanish Ministerio de Ciencia e Innovacion(Ministry of Science and Innovation, Spain (MICINN)Instituto de Salud Carlos IIISpanish Government)</t>
  </si>
  <si>
    <t xml:space="preserve">This articlewas partially supported by the following projects and grants: ItalianMUR-PRIN 2020TL3X8X project T-LADIES (Typeful Language Adaptation for Dynamic, Interacting and Evolving Systems); EU Project CODECS GA 101060179, by the MOST -Sustainable Mobility National Research Center and received funding from the European Union NextGeneration EU (PIANO NAZIONALE DI RIPRESA E RESILIENZA (PNRR) -MISSIONE 4 COMPONENTE 2, INVESTIMENTO 1.4 -D.D. 1033 17/06/2022, CN00000023); KKS foundation through the S.E.R.T. Research Profile project at Blekinge Institute of Technology; Spanish Ministerio de Ciencia e Innovacion under project/funding scheme PID2020-117191RBI00/AEI/10.13039/501100011033.</t>
  </si>
  <si>
    <t xml:space="preserve">10.1145/3658669</t>
  </si>
  <si>
    <t xml:space="preserve">A6B5B</t>
  </si>
  <si>
    <t xml:space="preserve">WOS:001283366800012</t>
  </si>
  <si>
    <t xml:space="preserve">Romare, C; Enlöf, P; Anderberg, P; Jildenstål, P; Berglund, JS; Skär, L</t>
  </si>
  <si>
    <t xml:space="preserve">Romare, Charlotte; Enlof, Per; Anderberg, Peter; Jildenstal, Pether; Berglund, Johan Sanmartin; Skar, Lisa</t>
  </si>
  <si>
    <t xml:space="preserve">Nurse anesthetists' experiences using smart glasses to monitor patients' vital signs during anesthesia care: A qualitative study</t>
  </si>
  <si>
    <t xml:space="preserve">GOOGLE GLASS; INTENSIVE-CARE; SAFETY; TECHNOLOGY; DISPLAYS; SURGERY; IMPACT</t>
  </si>
  <si>
    <t xml:space="preserve">Purpose To describe nurse anesthetists' experiences using smart glasses to monitor patients' vital signs during anesthesia care. Methods Data was collected through individual semi-structured interviews with seven nurse anesthetists who had used smart glasses, with a customized application for monitoring vital signs, during clinical anesthesia care. Data was analyzed using thematic content analysis. Results An overarching theme became evident during analysis; Facing and embracing responsibility. Being a nurse anesthetist entails a great responsibility, and the participants demonstrated that they shouldered this responsibility with pride. The theme was divided in two sub-themes. The first of these, A new way of working, comprised the categories Adoption and Utility. This involved incorporating smart glasses into existing routines in order to provide safe anesthesia care. The second sub-theme, Encountering side effects, consisted of the categories Obstacles and Personal affect. This sub-theme concerned the possibility to use smart glasses as intended, as well as the affect on nurse anesthetists as users. Conclusion Smart glasses improved access to vital signs and enabled continuous monitoring regardless of location. Continued development and improvement, both in terms of the application software and the hardware, are necessary for smart glasses to meet nurse anesthetists' needs in clinical practice.</t>
  </si>
  <si>
    <t xml:space="preserve">[Romare, Charlotte; Anderberg, Peter; Berglund, Johan Sanmartin; Skar, Lisa] Blekinge Inst Technol, Dept Hlth, Karlskrona, Sweden; [Romare, Charlotte] Reg Blekinge, Dept Anesthesiol, Intens Care Unit, Karlskrona, Sweden; [Enlof, Per; Jildenstal, Pether] Univ Gothenburg, Sahlgrenska Acad, Inst Hlth &amp; Care Sci, Gothenburg, Sweden; [Enlof, Per; Jildenstal, Pether] Sahlgrens Univ Hosp, Dept Anesthesiol Surg &amp; Intens Care, Gothenburg, Sweden; [Anderberg, Peter] Univ Skovde, Dept Hlth Sci, Skovde, Sweden</t>
  </si>
  <si>
    <t xml:space="preserve">Blekinge Institute Technology; University of Gothenburg; Sahlgrenska University Hospital; University of Skovde</t>
  </si>
  <si>
    <t xml:space="preserve">Romare, C (corresponding author), Blekinge Inst Technol, Dept Hlth, Karlskrona, Sweden.;Romare, C (corresponding author), Reg Blekinge, Dept Anesthesiol, Intens Care Unit, Karlskrona, Sweden.</t>
  </si>
  <si>
    <t xml:space="preserve">Jildenstaal, pether/IAO-2289-2023; Sanmartin Berglund, Johan/HGB-0471-2022; Anderberg, Peter/B-5541-2012; Romare, Charlotte/G-1756-2018</t>
  </si>
  <si>
    <t xml:space="preserve">Anderberg, Peter/0000-0001-9870-8477; Romare, Charlotte/0000-0003-3348-4307; Jildenstal, pether/0000-0001-7518-8915</t>
  </si>
  <si>
    <t xml:space="preserve">Scientific Committee of Region Blekinge's Research and Development Foundation; Blekinge Institute of Technology (BTH); Sahlgrenska University Hospital, Department of Anesthesia and Intensive Care</t>
  </si>
  <si>
    <t xml:space="preserve">CR was funded by the Scientific Committee of Region Blekinge's Research and Development Foundation, and Blekinge Institute of Technology (BTH). PE was funded by Sahlgrenska University Hospital, Department of Anesthesia and Intensive Care. The funders had no role in study design, data collection and analysis, decision to publish, or preparation of the manuscript.</t>
  </si>
  <si>
    <t xml:space="preserve">e0250122</t>
  </si>
  <si>
    <t xml:space="preserve">10.1371/journal.pone.0250122</t>
  </si>
  <si>
    <t xml:space="preserve">RT0BF</t>
  </si>
  <si>
    <t xml:space="preserve">WOS:000644133400015</t>
  </si>
  <si>
    <t xml:space="preserve">Braunerhjelm, P; Lappi, E</t>
  </si>
  <si>
    <t xml:space="preserve">Braunerhjelm, Pontus; Lappi, Emma</t>
  </si>
  <si>
    <t xml:space="preserve">Employees? entrepreneurial human capital and firm performance</t>
  </si>
  <si>
    <t xml:space="preserve">RESEARCH POLICY</t>
  </si>
  <si>
    <t xml:space="preserve">Human capital; Entrepreneurial experience; Productivity; Innovation</t>
  </si>
  <si>
    <t xml:space="preserve">LABOR-MARKET CONSEQUENCES; SELF-EMPLOYMENT; MANAGEMENT-PRACTICES; ABSORPTIVE-CAPACITY; PERSONAL INCOME; PRODUCTIVITY; EXPERIENCE; INVESTMENT; RETURNS; MOBILITY</t>
  </si>
  <si>
    <t xml:space="preserve">We introduce a new measure of human capital, defined as employees' former involvement in entrepreneurship. Such entrepreneurial human capital (EHC) complements traditional human capital measures accumulated through work experience and education. Using detailed longitudinal register data, we track the previous years of entrepreneurial experience for the population of employees in Swedish private sector firms. We provide evidence that higher EHC among employees is associated with significantly higher levels of firm productivity. The baseline result implies that a 10 % increase in employees being former entrepreneurs increases firm-level productivity by 3.9 %. Additionally, we provide evidence that heterogeneity in employees' previous entrepreneurial experience (e.g., the reason for entering and exiting entrepreneurship, type of venture, length of entrepreneurial experi-ences, and relatedness of technology) influences the impact of EHC on productivity. The results are shown to be robust to various estimation techniques, alternative definitions of EHC, and other performance measures.</t>
  </si>
  <si>
    <t xml:space="preserve">[Braunerhjelm, Pontus] KTH Royal Inst Technol, Dept Ind Econ &amp; Management, INDEK, Entrepreneurship &amp; Int Business, SE-10044 Stockholm, Sweden; [Braunerhjelm, Pontus] Blekinge Inst Technol, Econ, S-37179 Karlskrona, Sweden; [Braunerhjelm, Pontus] Swedish Entrepreneurship Forum, Saltmatargatan 9, SE-11359 Stockholm, Sweden; [Lappi, Emma] Copenhagen Business Sch, Dept Strategy &amp; Innovat, DK-2000 Frederiksberg, Denmark; [Lappi, Emma] Jonkoping Int Business Sch, Ctr Entrepreneurship &amp; Spatial Econ CEnSe, POB 1026, SE-55111 Jonkoping, Sweden</t>
  </si>
  <si>
    <t xml:space="preserve">Royal Institute of Technology; Blekinge Institute Technology; Copenhagen Business School; Jonkoping University</t>
  </si>
  <si>
    <t xml:space="preserve">Braunerhjelm, P (corresponding author), KTH Royal Inst Technol, Dept Ind Econ &amp; Management, INDEK, Entrepreneurship &amp; Int Business, SE-10044 Stockholm, Sweden.;Braunerhjelm, P (corresponding author), Blekinge Inst Technol, Econ, S-37179 Karlskrona, Sweden.;Braunerhjelm, P (corresponding author), Swedish Entrepreneurship Forum, Saltmatargatan 9, SE-11359 Stockholm, Sweden.</t>
  </si>
  <si>
    <t xml:space="preserve">pontus.braunerhjelm@indek.kth.se; Emma.Lappi@cbs.dk</t>
  </si>
  <si>
    <t xml:space="preserve">Lappi, Emma/AFS-7709-2022</t>
  </si>
  <si>
    <t xml:space="preserve">0048-7333</t>
  </si>
  <si>
    <t xml:space="preserve">1873-7625</t>
  </si>
  <si>
    <t xml:space="preserve">RES POLICY</t>
  </si>
  <si>
    <t xml:space="preserve">Res. Policy</t>
  </si>
  <si>
    <t xml:space="preserve">10.1016/j.respol.2022.104703</t>
  </si>
  <si>
    <t xml:space="preserve">8E4RA</t>
  </si>
  <si>
    <t xml:space="preserve">WOS:000918961300003</t>
  </si>
  <si>
    <t xml:space="preserve">Lindberg, T; Berglund, JS; Wimo, A; Qiu, CX; Bohman, DM; Elmstahl, S</t>
  </si>
  <si>
    <t xml:space="preserve">Lindberg, Terese; Sanmartin Berglund, Johan; Wimo, Anders; Qiu, Chengxuan; Bohman, Doris M.; Elmstahl, Solve</t>
  </si>
  <si>
    <t xml:space="preserve">Prevalence of Atrial Fibrillation and Long-Term Survival of Older Adults; Findings from the SNAC Study</t>
  </si>
  <si>
    <t xml:space="preserve">atrial fibrillation; long-term survival; older adults; prevalence; SNAC</t>
  </si>
  <si>
    <t xml:space="preserve">RISK-FACTORS; STROKE; ANTICOAGULATION; EPIDEMIOLOGY; METAANALYSIS; POPULATION</t>
  </si>
  <si>
    <t xml:space="preserve">Objective: This study examined the prevalence and long-term survival of atrial fibrillation (AF) in the older population. Methods: Data was recruited from the longitudinal SNAC study from baseline (2001-2004) for up to 10 years. Results: The population comprised 6,904 persons (59% women) (mean age 73.9 years). The prevalence of AF was 4.9% and increased with age. The hazard ratio (HR) for death in those with AF at baseline was 1.29 during the 10-year observation period. Cox regression analysis in persons with AF (n = 341) showed that men had a higher HR for death (1.57). CHA2DS2-VASc scores were significantly associated with death within 10 years (HR 1.29/score). Any form of anticoagulant use was reported in 146 (42.8%) and was significantly associated with survival (p = .031). Conclusions: The prevalence of AF in the general population was almost 5%, and it shortened life expectancy by nearly 2.4 years over a 10-year period. Despite the proven efficacy of OAC therapies, our results demonstrate that AF continues to be associated with increased mortality, especially among men, and that many older people are at high risk of developing a stroke because they do not receive appropriate anticoagulant therapy. These results emphasize the need for improved preventive and therapeutic modalities.</t>
  </si>
  <si>
    <t xml:space="preserve">[Lindberg, Terese; Sanmartin Berglund, Johan; Bohman, Doris M.] Blekinge Inst Technol, Karlskrona, Sweden; [Lindberg, Terese; Sanmartin Berglund, Johan] Blekinge Ctr Competence, Karlskrona, Sweden; [Lindberg, Terese; Elmstahl, Solve] Lund Univ, Lund, Sweden; [Wimo, Anders] Stockholm Univ, Stockholm, Sweden; [Wimo, Anders; Qiu, Chengxuan] Karolinska Inst, Stockholm, Sweden; [Wimo, Anders] Uppsala Univ, Sjukhuset &amp; Gavle, Uppsala, Sweden</t>
  </si>
  <si>
    <t xml:space="preserve">Blekinge Institute Technology; Lund University; Stockholm University; Karolinska Institutet; Uppsala University</t>
  </si>
  <si>
    <t xml:space="preserve">Wimo, Anders/ABA-2678-2021</t>
  </si>
  <si>
    <t xml:space="preserve">Swedish Ministry of Health and Social Affairs; Swedish National study on Aging and Care SNAC; Swedish Ministry of Health and Social Affairs and the participating county councils</t>
  </si>
  <si>
    <t xml:space="preserve">We are grateful to the study participants and the participating counties and municipalities. The Swedish National study on Aging and Care SNAC (www.snac.org) is financially supported by the Swedish Ministry of Health and Social Affairs and the participating county councils, municipalities, and university departments.</t>
  </si>
  <si>
    <t xml:space="preserve">10.1177/23337214241304887</t>
  </si>
  <si>
    <t xml:space="preserve">O2H8G</t>
  </si>
  <si>
    <t xml:space="preserve">WOS:001369413100001</t>
  </si>
  <si>
    <t xml:space="preserve">Sharif, U; Sun, BB; Islam, MS; Majeed, K; Ibrahim, DS; Adewale, OO; Akhtar, N; Zaki, ZI; El-Bahy, ZM</t>
  </si>
  <si>
    <t xml:space="preserve">Sharif, Umer; Sun, Beibei; Islam, Md Shafiqul; Majeed, Kashif; Ibrahim, Dauda Sh; Adewale, Orelaja Oluseyi; Akhtar, Naseem; Zaki, Zaki Ismail; El-Bahy, Zeinhom M.</t>
  </si>
  <si>
    <t xml:space="preserve">Fracture Toughness Analysis of Aluminum (Al) Foil and Its Adhesion with Low-Density Polyethylene (LPDE) in the Packing Industry</t>
  </si>
  <si>
    <t xml:space="preserve">COATINGS</t>
  </si>
  <si>
    <t xml:space="preserve">fracture toughness; aluminum foil; LDPE film; laminate; FE model</t>
  </si>
  <si>
    <t xml:space="preserve">THIN METAL-FILMS; INTERFACE; DELAMINATION</t>
  </si>
  <si>
    <t xml:space="preserve">Liquid food packages consist of various polymers films, which are bonded together with Aluminum foil (Al-foil) using adhesion or by direct heat. The main aim of this research was to define important material properties such as fracture toughness and some FE-simulation material model parameters such as damage initiation, damage evolution, and the adhesion between Al-foil and low-density polyethylene (LDPE) film. This investigation is based on both physical experiments and FE simulations in ABAQUS with and without initial cracks of different lengths for comparison purposes. The final FE model in ABAQUS was used to compare the numerical input parameters in an extensive study with the ambition to investigate the materials' parameters in cases with or without adhesion between laminates. Finally, the relation between the theoretical and experimental results for Al-foil using linear elastic fracture mechanics and modified strip yield model were shown, and the fracture toughness was calculated for two different thicknesses of Al-foil.</t>
  </si>
  <si>
    <t xml:space="preserve">[Sharif, Umer; Sun, Beibei; Ibrahim, Dauda Sh; Adewale, Orelaja Oluseyi] Southeast Univ, Sch Mech Engn, Nanjing 211189, Peoples R China; [Sharif, Umer; Islam, Md Shafiqul; Majeed, Kashif] Blekinge Inst Technol, Dept Mech Engn, S-37179 Karlskrona, Sweden; [Akhtar, Naseem] Govt Sadiq Coll Women Univ, Dept Chem, Bahawalpur 63100, Pakistan; [Zaki, Zaki Ismail] Taif Univ, Coll Sci, Dept Chem, POB 11099, At Taif 21944, Saudi Arabia; [El-Bahy, Zeinhom M.] Al Azhar Univ, Fac Sci, Dept Chem, Cairo 11884, Egypt</t>
  </si>
  <si>
    <t xml:space="preserve">Southeast University - China; Blekinge Institute Technology; Taif University; Egyptian Knowledge Bank (EKB); Al Azhar University</t>
  </si>
  <si>
    <t xml:space="preserve">Sharif, U; Sun, BB (corresponding author), Southeast Univ, Sch Mech Engn, Nanjing 211189, Peoples R China.;Sharif, U (corresponding author), Blekinge Inst Technol, Dept Mech Engn, S-37179 Karlskrona, Sweden.</t>
  </si>
  <si>
    <t xml:space="preserve">233179945@seu.edu.cn; bbsun@seu.edu.cn; shafiqul.islam@bth.se; kama10@bth.se; sidauda.mct@buk.edu.ng; 233179946@seu.edu.cn; drnaseem@gscwu.edu.pk; zakimohamed@tu.edu.sa; zeinelbahy@azhar.edu.eg</t>
  </si>
  <si>
    <t xml:space="preserve">Islam, Shafiqul/AAA-7809-2021; Sharif, Umer/ABD-8668-2021; M. El-Bahy, Zeinhom/AGU-7054-2022</t>
  </si>
  <si>
    <t xml:space="preserve">Islam, Md Shafiqul/0000-0002-1162-7023; Sharif, Umer/0000-0002-1042-4996; M. El-Bahy, Zeinhom/0000-0003-4124-4792; I. Zaki, Zaki/0000-0002-5690-2439</t>
  </si>
  <si>
    <t xml:space="preserve">National Key Research and Development Program of China [2019yFB2006404]; Taif University, Taif, Saudi Arabia [TURSP-2020/42]</t>
  </si>
  <si>
    <t xml:space="preserve">National Key Research and Development Program of China(National Key Research &amp; Development Program of China); Taif University, Taif, Saudi Arabia(Taif University)</t>
  </si>
  <si>
    <t xml:space="preserve">Supported by National Key Research and Development Program of China (Grant No. 2019yFB2006404) and the Taif Researchers Supporting Project (TURSP-2020/42), Taif University, Taif, Saudi Arabia.</t>
  </si>
  <si>
    <t xml:space="preserve">2079-6412</t>
  </si>
  <si>
    <t xml:space="preserve">Coatings</t>
  </si>
  <si>
    <t xml:space="preserve">10.3390/coatings11091079</t>
  </si>
  <si>
    <t xml:space="preserve">Materials Science, Multidisciplinary; Materials Science, Coatings &amp; Films; Physics, Applied</t>
  </si>
  <si>
    <t xml:space="preserve">Materials Science; Physics</t>
  </si>
  <si>
    <t xml:space="preserve">UU9MU</t>
  </si>
  <si>
    <t xml:space="preserve">WOS:000699117500001</t>
  </si>
  <si>
    <t xml:space="preserve">Javeed, A; Berglund, JS; Dallora, AL; Saleem, MA; Anderberg, P</t>
  </si>
  <si>
    <t xml:space="preserve">Javeed, Ashir; Berglund, Johan Sanmartin; Dallora, Ana Luiza; Saleem, Muhammad Asim; Anderberg, Peter</t>
  </si>
  <si>
    <t xml:space="preserve">Predictive Power of XGBoost_BiLSTM Model: A Machine-Learning Approach for Accurate Sleep Apnea Detection Using Electronic Health Data</t>
  </si>
  <si>
    <t xml:space="preserve">Sleep apnea; Deep learning; Computer vision; Feature engineering</t>
  </si>
  <si>
    <t xml:space="preserve">ASSOCIATION; POPULATION; SEVERITY</t>
  </si>
  <si>
    <t xml:space="preserve">Sleep apnea is a common disorder that can cause pauses in breathing and can last from a few seconds to several minutes, as well as shallow breathing or complete cessation of breathing. Obstructive sleep apnea is strongly associated with the risk of developing several heart diseases, including coronary heart disease, heart attack, heart failure, and stroke. In addition, obstructive sleep apnea increases the risk of developing irregular heartbeats (arrhythmias), which can lead to low blood pressure. To prevent these conditions, this study presents a novel machine-learning (ML) model for predicting sleep apnea based on electronic health data that provides accurate predictions and helps in identifying the risk factors that contribute to the development of sleep apnea. The dataset used in the study includes 75 features and 10,765 samples from the Swedish National Study on Aging and Care (SNAC). The proposed model is based on two modules: the XGBoost module assesses the most important features from feature space, while the Bidirectional Long Short-Term Memory Networks (BiLSTM) module classifies the probability of sleep apnea. Using a cross-validation scheme, the proposed XGBoost_BiLSTM algorithm achieves an accuracy of 97% while using only the six most significant features from the dataset. The model's performance is also compared with conventional long-short-term memory networks (LSTM) and other state-of-the-art ML models. The results of the study suggest that the proposed model improved the diagnosis and treatment of sleep apnea by identifying the risk factors.</t>
  </si>
  <si>
    <t xml:space="preserve">[Javeed, Ashir] Karolinska Inst, Aging Res Ctr, Tomtebodavagen 18A, S-17165 Stockholm, Sweden; [Javeed, Ashir; Berglund, Johan Sanmartin; Dallora, Ana Luiza; Anderberg, Peter] Blekinge Inst Technol, Dept Hlth, Valhallavagen 1, S-37179 Karlskrona, Blekinge, Sweden; [Saleem, Muhammad Asim] Chulalongkorn Univ, Ctr Excellence Artificial Intelligence Machine Lea, Jan Waldenstroms g 35, Bangkok 10330, Thailand; [Anderberg, Peter] Univ Skovde, Sch Hlth Sci, Hogskolevagen 1, S-54128 Skovde, Vastra Gotaland, Sweden</t>
  </si>
  <si>
    <t xml:space="preserve">Karolinska Institutet; Blekinge Institute Technology; Chulalongkorn University; University of Skovde</t>
  </si>
  <si>
    <t xml:space="preserve">Javeed, A (corresponding author), Karolinska Inst, Aging Res Ctr, Tomtebodavagen 18A, S-17165 Stockholm, Sweden.;Javeed, A (corresponding author), Blekinge Inst Technol, Dept Hlth, Valhallavagen 1, S-37179 Karlskrona, Blekinge, Sweden.</t>
  </si>
  <si>
    <t xml:space="preserve">ajv@bth.se; johan.sanmartin.berglund@bth.se; ana.luiza.moraes@bth.se; asim.saleem@riphahfsd.edu.pk; peter.anderberg@bth.se</t>
  </si>
  <si>
    <t xml:space="preserve">Javeed, Ashir/ABG-2567-2022; Anderberg, Peter/B-5541-2012; Sanmartin Berglund, Johan/HGB-0471-2022; Saleem, Dr. Muhammad/W-5210-2019</t>
  </si>
  <si>
    <t xml:space="preserve">The first author's learning process was supported by the National E-Infrastructure for Aging Research (NEAR), Sweden. NEAR is working on improving the health condition of older adults in Sweden</t>
  </si>
  <si>
    <t xml:space="preserve">NOV 27</t>
  </si>
  <si>
    <t xml:space="preserve">10.1007/s44196-023-00362-y</t>
  </si>
  <si>
    <t xml:space="preserve">Z8VY4</t>
  </si>
  <si>
    <t xml:space="preserve">WOS:001114808900001</t>
  </si>
  <si>
    <t xml:space="preserve">Mouritz, M; Newman, P; Newman, R; Bryant, J; Smith, A; Olsen, E</t>
  </si>
  <si>
    <t xml:space="preserve">Mouritz, Mike; Newman, Peter; Newman, Renee; Bryant, Jayne; Smith, Aimee; Olsen, Elaine</t>
  </si>
  <si>
    <t xml:space="preserve">Leadership in Sustainability: Collective Wisdom, Conversations, Creativity, Contemplation and Courage, the Five Pillars of a Master's Teaching Unit</t>
  </si>
  <si>
    <t xml:space="preserve">leadership; sustainability; Collective Wisdom; Conversations; Creativity; Contemplation; Courage</t>
  </si>
  <si>
    <t xml:space="preserve">KEY COMPETENCES; EDUCATION</t>
  </si>
  <si>
    <t xml:space="preserve">This paper provides an overview of insights and lessons learned from nearly 20 years of running a Master's unit called Leadership in Sustainability and how it has been used to foster change agents in small business enterprises, as well as other parts of our economy and community. The unit is based on five 'C' pillars, which are discussed in this paper to show how the teaching was able to assist potential leaders in their journey towards sustainability. Collective Wisdom is the theory of how leaders have used their imagination to solve collective 'wicked problems' and how sustainability requires such wisdom. The unit covers such theory from innovation, complexity, leadership, management and sustainability literatures, and the students are required to show they used this in solving a problem. Conversations are the main tool that is used because only through integrating diverse opinions have solutions been found to such problems as sustainability. The unit is based around case studies from leaders (including SMEs) who have approached sustainability from various perspectives, and conversations were created with the leaders to illustrate this. Creativity is introduced as a tool that draws upon different layers of perspectives on how to tackle wicked problems, as well as facilitating the breadth of conversations and actions required to solve them. The unit requires students to make a creativity contribution and the teachers provide assistance in how to make this work. Contemplation is designed to show how leadership requires reflection to enable the creativity and conversations to reach the depth and breadth required. The unit introduces students to the Theory-U tools to help instil the link between creativity and reflection or contemplation in addressing sustainability challenges and enabling leadership that creates change in personal, organizational and social systems. Finally, Courage is shown as a necessary part of the role of a leader in sustainability to make the magic of collective and creative solutions, based on conversations and contemplation, come to life through a demonstration-based transition.</t>
  </si>
  <si>
    <t xml:space="preserve">[Mouritz, Mike; Newman, Peter; Bryant, Jayne] Curtin Univ, Curtin Univ Sustainabil Policy Inst CUSP, Perth, WA 6102, Australia; [Newman, Renee; Smith, Aimee] Edith Cowan Univ ECU, Ctr Res Entertainment Arts Technol Educ &amp; Commun, Western Australian Acad Performing Arts, Fac Educ &amp; Arts, Perth, WA 6050, Australia; [Bryant, Jayne] Blekinge Inst Technol BTH, Dept Strateg Sustainable Dev, S-37179 Karlskrona, Sweden; [Olsen, Elaine] Fourth Space, Perth, WA 6000, Australia</t>
  </si>
  <si>
    <t xml:space="preserve">Curtin University; Edith Cowan University; Blekinge Institute Technology</t>
  </si>
  <si>
    <t xml:space="preserve">Mouritz, M (corresponding author), Curtin Univ, Curtin Univ Sustainabil Policy Inst CUSP, Perth, WA 6102, Australia.</t>
  </si>
  <si>
    <t xml:space="preserve">mike.mouritz@curtin.edu.au; p.newman@curtin.edu.au; r.newman@ecu.edu.au; jayne.bryant@bth.se; absmith@our.ecu.edu.au; elaine@thefourthspace.com.au</t>
  </si>
  <si>
    <t xml:space="preserve">Newman, Peter/0000-0002-8668-2764; Newman, Renee/0000-0003-4036-8419; Mouritz, Michael (Mike)/0000-0001-9501-4875; Smith, Aimee/0000-0002-6801-6522; Bryant, Jayne/0000-0002-7993-7116</t>
  </si>
  <si>
    <t xml:space="preserve">10.3390/su14095070</t>
  </si>
  <si>
    <t xml:space="preserve">1E7JF</t>
  </si>
  <si>
    <t xml:space="preserve">WOS:000794659300001</t>
  </si>
  <si>
    <t xml:space="preserve">Zhang, ZM; Ning, HS; Farha, F; Ding, JG; Choo, KKR</t>
  </si>
  <si>
    <t xml:space="preserve">Zhang, Zhimin; Ning, Huansheng; Farha, Fadi; Ding, Jianguo; Choo, Kim-Kwang Raymond</t>
  </si>
  <si>
    <t xml:space="preserve">Arti fi cial intelligence in physiological characteristics recognition for internet of things authentication</t>
  </si>
  <si>
    <t xml:space="preserve">DIGITAL COMMUNICATIONS AND NETWORKS</t>
  </si>
  <si>
    <t xml:space="preserve">Physiological characteristics recognition; Artificial intelligence; Internet of things; Biological-driven authentication</t>
  </si>
  <si>
    <t xml:space="preserve">CONVOLUTIONAL NEURAL-NETWORKS; EXTREME LEARNING-MACHINE; SAMPLE FACE RECOGNITION; FINGER-VEIN; ARTIFICIAL-INTELLIGENCE; COMPUTER VISION; BIOMETRIC AUTHENTICATION; PALMPRINT RECOGNITION; RESOLUTION SCHEME; IDENTIFICATION</t>
  </si>
  <si>
    <t xml:space="preserve">Effective user authentication is key to ensuring equipment security, data privacy, and personalized services in Internet of Things (IoT) systems. However, conventional mode-based authentication methods (e.g., passwords and smart cards) may be vulnerable to a broad range of attacks (e.g., eavesdropping and side-channel attacks). Hence, there have been attempts to design biometric-based authentication solutions, which rely on physiological and behavioral characteristics. Behavioral characteristics need continuous monitoring and specific environmental settings, which can be challenging to implement in practice. However, we can also leverage Artificial Intelligence (AI) in the extraction and classification of physiological characteristics from IoT devices processing to facilitate authentication. Thus, we review the literature on the use of AI in physiological characteristics recognition published after 2015. We use the three-layer architecture of the IoT (i.e., sensing layer, feature layer, and algorithm layer) to guide the discussion of existing approaches and their limitations. We also identify a number of future research opportunities, which will hopefully guide the design of next generation solutions.</t>
  </si>
  <si>
    <t xml:space="preserve">[Zhang, Zhimin; Ning, Huansheng] Univ Sci &amp; Technol Beijing, Sch Comp &amp; Commun Engn, Beijing 100083, Peoples R China; [Ning, Huansheng] Beijing Engn Res Ctr Cyberspace Data Anal &amp; Applic, Beijing 100083, Peoples R China; [Farha, Fadi] Aleppo Univ, Fac Informat Engn, Aleppo, Syria; [Ding, Jianguo] Blekinge Inst Technol, Dept Comp Sci, S-37179 Karlskrona, Sweden; [Choo, Kim-Kwang Raymond] Univ Texas San Antonio, Dept Informat Syst &amp; Cyber Secur, San Antonio, TX 78249 USA</t>
  </si>
  <si>
    <t xml:space="preserve">University of Science &amp; Technology Beijing; University of Aleppo; Blekinge Institute Technology; University of Texas System; University of Texas at San Antonio (UTSA)</t>
  </si>
  <si>
    <t xml:space="preserve">Choo, Kim-Kwang Raymond/A-3634-2009; Ding, Jianguo/B-5748-2008; Farha, Fadi/D-6690-2018</t>
  </si>
  <si>
    <t xml:space="preserve">Farha, Fadi/0000-0003-3894-7913; Ding, Jianguo/0000-0002-8927-0968</t>
  </si>
  <si>
    <t xml:space="preserve">National Natural Science Foundation of China [61872038]; Fundamental Research Funds for the Central Universities [FRF-GF-20-15B]; Cloud Technology Endowed Professorship</t>
  </si>
  <si>
    <t xml:space="preserve">National Natural Science Foundation of China(National Natural Science Foundation of China (NSFC)); Fundamental Research Funds for the Central Universities(Fundamental Research Funds for the Central Universities); Cloud Technology Endowed Professorship</t>
  </si>
  <si>
    <t xml:space="preserve">Acknowledgements This work was funded in part by the National Natural Science Foundation of China under Grant No. 61872038, and in part by the Fundamental Research Funds for the Central Universities under Grant No. FRF-GF-20-15B. The work of K. -K. R. Choo was supported only by the Cloud Technology Endowed Professorship.</t>
  </si>
  <si>
    <t xml:space="preserve">2468-5925</t>
  </si>
  <si>
    <t xml:space="preserve">2352-8648</t>
  </si>
  <si>
    <t xml:space="preserve">DIGIT COMMUN NETW</t>
  </si>
  <si>
    <t xml:space="preserve">Digit. Commun. Netw.</t>
  </si>
  <si>
    <t xml:space="preserve">10.1016/j.dcan.2022.10.006</t>
  </si>
  <si>
    <t xml:space="preserve">ZD9L2</t>
  </si>
  <si>
    <t xml:space="preserve">WOS:001273473200001</t>
  </si>
  <si>
    <t xml:space="preserve">Moghimi, A; Celik, T; Mohammadzadeh, A; Kusetogullari, H</t>
  </si>
  <si>
    <t xml:space="preserve">Moghimi, Armin; Celik, Turgay; Mohammadzadeh, Ali; Kusetogullari, Huseyin</t>
  </si>
  <si>
    <t xml:space="preserve">Comparison of Keypoint Detectors and Descriptors for Relative Radiometric Normalization of Bitemporal Remote Sensing Images</t>
  </si>
  <si>
    <t xml:space="preserve">Radiometry; Feature extraction; Detectors; Remote sensing; Lighting; Image sensors; Visualization; AKAZE; BRISK; change detection; KAZE; keypoint detector and descriptor; keypoint matching; ORB; relative radiometric normalization (RRN); SIFT; SURF</t>
  </si>
  <si>
    <t xml:space="preserve">MODEL; MAD</t>
  </si>
  <si>
    <t xml:space="preserve">This article compares the performances of the most commonly used keypoint detectors and descriptors (SIFT, SURF, KAZE, AKAZE, ORB, and BRISK) in keypoint-based relative radiometric normalization (RRN) of unregistered bitemporal multispectral images. The keypoints matched between subject and reference images represent possible unchanged regions and form a radiometric control set (RCS). The initial RCS is further refined by removing the matched keypoints with a low cross-correlation. The final RCS is used to approximate a linear mapping between the corresponding bands of the subject and reference images. This procedure is validated on five datasets of unregistered multispectral image pairs acquired by inter/intra sensors in terms of RRN accuracy, visual quality, quality, and quantity of the samples in the RCS, and computational time. The experimental results show that keypoint-based RRN is robust against variations in spatial-resolution, illumination, and sensors. The blob detectors (SURF, SIFT, KAZE, and AKAZE) are more accurate on average than the corner detectors (ORB and BRISK) in RRN, with an expense of higher computational cost. The source code and samples of datasets used in this study are made available at https://github.com/ArminMoghimi/keypoint-based-RRN to support reproducible research in remote sensing.</t>
  </si>
  <si>
    <t xml:space="preserve">[Moghimi, Armin; Mohammadzadeh, Ali] KN Toosi Univ Technol, Geomat Engn Fac, Dept Photogrammetry &amp; Remote Sensing, Tehran 1543319967, Iran; [Celik, Turgay] Univ Witwatersrand, Sch Elect &amp; Informat Engn, ZA-2000 Johannesburg, South Africa; [Celik, Turgay] Univ Witwatersrand, Wits Inst Data Sci, ZA-2000 Johannesburg, South Africa; [Celik, Turgay] Southwest Jiaotong Univ, Sch Informat Sci &amp; Technol, Chengdu 610031, Peoples R China; [Kusetogullari, Huseyin] Blekinge Inst Technol, Dept Comp Sci, S-37141 Karlskrona, Sweden</t>
  </si>
  <si>
    <t xml:space="preserve">K. N. Toosi University of Technology; University of Witwatersrand; University of Witwatersrand; Southwest Jiaotong University; Blekinge Institute Technology</t>
  </si>
  <si>
    <t xml:space="preserve">Celik, T (corresponding author), Univ Witwatersrand, Sch Elect &amp; Informat Engn, ZA-2000 Johannesburg, South Africa.;Celik, T (corresponding author), Univ Witwatersrand, Wits Inst Data Sci, ZA-2000 Johannesburg, South Africa.</t>
  </si>
  <si>
    <t xml:space="preserve">moghimi.armin@gmail.com; celikturgay@gmail.com; a_mohammadzadeh@kntu.ac.ir; huseyinkusetogullari@gmail.com</t>
  </si>
  <si>
    <t xml:space="preserve">Kusetogullari, Huseyin/IAQ-0788-2023; Moghimi, Armin/AAF-8581-2021; Celik, Turgay/Q-9713-2018; Mohammadzadeh, Ali/I-4805-2013</t>
  </si>
  <si>
    <t xml:space="preserve">Moghimi, Armin/0000-0002-0455-4882; Celik, Turgay/0000-0001-6925-6010; Mohammadzadeh, Ali/0000-0003-3329-5063; Kusetogullari, Huseyin/0000-0001-5762-6678</t>
  </si>
  <si>
    <t xml:space="preserve">Sichuan Provincial Science, and Technology Projects [2019JDJQ0023]</t>
  </si>
  <si>
    <t xml:space="preserve">Sichuan Provincial Science, and Technology Projects</t>
  </si>
  <si>
    <t xml:space="preserve">Manuscript received February 8, 2021; revised March 20, 2021; accepted March 27, 2021. Date of publication March 31, 2021; date of current version April 21, 2021. This work was supported in part by Sichuan Provincial Science, and Technology Projects under Grant 2019JDJQ0023. (Corresponding author: Turgay Celik.)</t>
  </si>
  <si>
    <t xml:space="preserve">10.1109/JSTARS.2021.3069919</t>
  </si>
  <si>
    <t xml:space="preserve">RQ9XW</t>
  </si>
  <si>
    <t xml:space="preserve">WOS:000642765300008</t>
  </si>
  <si>
    <t xml:space="preserve">Ernst, NA; Carver, JC; Mendez, D; Torchiano, M</t>
  </si>
  <si>
    <t xml:space="preserve">Ernst, Neil A.; Carver, Jeffrey C.; Mendez, Daniel; Torchiano, Marco</t>
  </si>
  <si>
    <t xml:space="preserve">Understanding peer review of software engineering papers</t>
  </si>
  <si>
    <t xml:space="preserve">Peer review; Interview; Survey</t>
  </si>
  <si>
    <t xml:space="preserve">Context Peer review is a key activity intended to preserve the quality and integrity of scientific publications. However, in practice it is far from perfect. Objective We aim at understanding how reviewers, including those who have won awards for reviewing, perform their reviews of software engineering papers to identify both what makes a good reviewing approach and what makes a good paper. Method We first conducted a series of interviews with recognised reviewers in the software engineering field. Then, we used the results of those interviews to develop a questionnaire used in an online survey and sent out to reviewers from well-respected venues covering a number of software engineering disciplines, some of whom had won awards for their reviewing efforts. Results We analyzed the responses from the interviews and from 175 reviewers who completed the online survey (including both reviewers who had won awards and those who had not). We report on several descriptive results, including: Nearly half of award-winners (45%) are reviewing 20+ conference papers a year, while 28% of non-award winners conduct that many. The majority of reviewers (88%) are taking more than two hours on journal reviews. We also report on qualitative results. Our findings suggest that the most important criteria of a good review is that it should be factual and helpful, which ranked above others such as being detailed or kind. The most important features of papers that result in positive reviews are a clear and supported validation, an interesting problem, and novelty. Conversely, negative reviews tend to result from papers that have a mismatch between the method and the claims and from papers with overly grandiose claims. Further insights include, if not limited to, that reviewers view data availability and its consistency as being important or that authors need to make their contribution of the work very clear in their paper. Conclusions Based on the insights we gained through our study, we conclude our work by compiling a proto-guideline for reviewing. One hope we associate with our work is to contribute to the ongoing debate and contemporary effort to further improve our peer review models in the future.</t>
  </si>
  <si>
    <t xml:space="preserve">[Ernst, Neil A.] Univ Victoria, Victoria, BC, Canada; [Carver, Jeffrey C.] Univ Alabama, Tuscaloosa, AL USA; [Mendez, Daniel] Blekinge Inst Technol, Karlskrona, Sweden; [Mendez, Daniel] Fortiss GmbH, Munich, Germany; [Torchiano, Marco] Politecn Torino, Turin, Italy</t>
  </si>
  <si>
    <t xml:space="preserve">University of Victoria; University of Alabama System; University of Alabama Tuscaloosa; Blekinge Institute Technology; fortiss; Polytechnic University of Turin</t>
  </si>
  <si>
    <t xml:space="preserve">Ernst, NA (corresponding author), Univ Victoria, Victoria, BC, Canada.;Mendez, D (corresponding author), Blekinge Inst Technol, Karlskrona, Sweden.;Mendez, D (corresponding author), Fortiss GmbH, Munich, Germany.;Torchiano, M (corresponding author), Politecn Torino, Turin, Italy.</t>
  </si>
  <si>
    <t xml:space="preserve">nernst@uvic.ca; carver@cs.ua.edu; daniel.mendez@bth.se; marco.torchiano@polito.it</t>
  </si>
  <si>
    <t xml:space="preserve">Mendez Fernandez, Daniel/0000-0003-0619-6027; Torchiano, Marco/0000-0001-5328-368X; Carver, Jeffrey/0000-0002-7824-9151</t>
  </si>
  <si>
    <t xml:space="preserve">10.1007/s10664-021-10005-5</t>
  </si>
  <si>
    <t xml:space="preserve">TJ7PX</t>
  </si>
  <si>
    <t xml:space="preserve">WOS:000673670000001</t>
  </si>
  <si>
    <t xml:space="preserve">Javeed, Ashir; Dallora, Ana Luiza; Berglund, Johan Sanmartin; Ali, Arif; Ali, Liaqata; Anderberg, Peter</t>
  </si>
  <si>
    <t xml:space="preserve">Machine Learning for Dementia Prediction: A Systematic Review and Future Research Directions</t>
  </si>
  <si>
    <t xml:space="preserve">Dementia prediction; Feature selection; Machine learning; Deep learning</t>
  </si>
  <si>
    <t xml:space="preserve">ALZHEIMERS-DISEASE; EARLY-DIAGNOSIS; COGNITIVE FUNCTION; MANAGEMENT; CRITERIA; PET</t>
  </si>
  <si>
    <t xml:space="preserve">Nowadays, Artificial Intelligence (AI) and machine learning (ML) have successfully provided automated solutions to numerous real-world problems. Healthcare is one of the most important research areas for ML researchers, with the aim of developing automated disease prediction systems. One of the disease detection problems that AI and ML researchers have focused on is dementia detection using ML methods. Numerous automated diagnostic systems based on ML techniques for early prediction of dementia have been proposed in the literature. Few systematic literature reviews (SLR) have been conducted for dementia prediction based on ML techniques in the past. However, these SLR focused on a single type of data modality for the detection of dementia. Hence, the purpose of this study is to conduct a comprehensive evaluation of ML-based automated diagnostic systems considering different types of data modalities such as images, clinical-features, and voice data. We collected the research articles from 2011 to 2022 using the keywords dementia, machine learning, feature selection, data modalities, and automated diagnostic systems. The selected articles were critically analyzed and discussed. It was observed that image data driven ML models yields promising results in terms of dementia prediction compared to other data modalities, i.e., clinical feature-based data and voice data. Furthermore, this SLR highlighted the limitations of the previously proposed automated methods for dementia and presented future directions to overcome these limitations.</t>
  </si>
  <si>
    <t xml:space="preserve">[Javeed, Ashir] Karolinska Inst, Aging Res Ctr, S-17165 Solna, Sweden; [Javeed, Ashir; Dallora, Ana Luiza; Berglund, Johan Sanmartin; Anderberg, Peter] Blekinge Inst Technol, Dept Hlth, Valhallavagen 1, S-37141 Karlskrona, Blekinge, Sweden; [Ali, Arif] Univ Sci &amp; Technol Bannu, Dept Comp Sci, Bannu 28100, Khyber Pakhtunk, Pakistan; [Ali, Liaqata] Univ Sci &amp; Technol Bannu, Dept Elect Engn, Bannu 28100, Khyber Pakhtunk, Pakistan; [Anderberg, Peter] Univ Skovde, Sch Hlth Sci, Hogskolevagen 1, SE-54128 Skovde, Sweden</t>
  </si>
  <si>
    <t xml:space="preserve">Javeed, Ashir/ABG-2567-2022; Sanmartin Berglund, Johan/HGB-0471-2022; Ali, Liaqat/AAD-4705-2020; Anderberg, Peter/B-5541-2012</t>
  </si>
  <si>
    <t xml:space="preserve">Anderberg, Peter/0000-0001-9870-8477; Dallora Moraes, Ana Luiza/0000-0002-6752-017X; Ali, Liaqat/0000-0002-3095-7271; javeed, ashir/0000-0003-4190-3532</t>
  </si>
  <si>
    <t xml:space="preserve">10.1007/s10916-023-01906-7</t>
  </si>
  <si>
    <t xml:space="preserve">8G0PG</t>
  </si>
  <si>
    <t xml:space="preserve">WOS:000920053700001</t>
  </si>
  <si>
    <t xml:space="preserve">Yavariabdi, A; Kusetogullari, H; Celik, T; Thummanapally, S; Rijwan, S; Hall, J</t>
  </si>
  <si>
    <t xml:space="preserve">Yavariabdi, Amir; Kusetogullari, Huseyin; Celik, Turgay; Thummanapally, Shivani; Rijwan, Sakib; Hall, Johan</t>
  </si>
  <si>
    <t xml:space="preserve">CArDIS: A Swedish Historical Handwritten Character and Word Dataset</t>
  </si>
  <si>
    <t xml:space="preserve">Character recognition; Optical character recognition software; Feature extraction; Hidden Markov models; Handwriting recognition; Machine learning; Image recognition; Character and word recognition; machine learning methods; optical character recognition (OCR); old handwritten style; Swedish handwritten character dataset; Swedish handwritten word dataset</t>
  </si>
  <si>
    <t xml:space="preserve">RECOGNITION; DATABASE; SVM</t>
  </si>
  <si>
    <t xml:space="preserve">This paper introduces a new publicly available image-based Swedish historical handwritten character and word dataset named Character Arkiv Digital Sweden (CArDIS) (https://cardisdataset.github.io/CARDIS/). The samples in CArDIS are collected from 64, 084 Swedish historical documents written by several anonymous priests between 1800 and 1900. The dataset contains 116, 000 Swedish alphabet images in RGB color space with 29 classes, whereas the word dataset contains 30, 000 image samples of ten popular Swedish names as well as 1, 000 region names in Sweden. To examine the performance of different machine learning classifiers on CArDIS dataset, three different experiments are conducted. In the first experiment, classifiers such as Support Vector Machine (SVM), Artificial Neural Networks (ANN), k-Nearest Neighbor (k-NN), Convolutional Neural Network (CNN), Recurrent Neural Network (RNN), and Random Forest (RF) are trained on existing character datasets which are Extended Modified National Institute of Standards and Technology (EMNIST), IAM and CVL and tested on CArDIS dataset. In the second and third experiments, the same classifiers as well as two pre-trained VGG-16 and VGG-19 classifiers are trained and tested on CArDIS character and word datasets. The experiments show that the machine learning methods trained on existing handwritten character datasets struggle to recognize characters efficiently on the CArDIS dataset, proving that characters in the CArDIS contain unique features and characteristics. Moreover, in the last two experiments, the deep learning-based classifiers provide the best recognition rates.</t>
  </si>
  <si>
    <t xml:space="preserve">[Yavariabdi, Amir] KTO Karatay Univ, Dept Mechatron Engn, TR-42020 Konya, Turkey; [Kusetogullari, Huseyin; Thummanapally, Shivani; Rijwan, Sakib] Blekinge Inst Technol, Dept Comp Sci, S-37141 Karlskrona, Sweden; [Celik, Turgay] Univ Witwatersrand, Sch Elect &amp; Informat Engn, ZA-2000 Johannesburg, South Africa; [Celik, Turgay] Univ Witwatersrand, Wits Inst Data Sci, ZA-2000 Johannesburg, South Africa; [Celik, Turgay] Univ Agder, Fac Engn &amp; Sci, N-4630 Kristiansand, Norway; [Hall, Johan] Arkiv Digital, S-54873 Stockholm, Sweden</t>
  </si>
  <si>
    <t xml:space="preserve">KTO Karatay University; Blekinge Institute Technology; University of Witwatersrand; University of Witwatersrand; University of Agder</t>
  </si>
  <si>
    <t xml:space="preserve">Kusetogullari, Huseyin/IAQ-0788-2023; Celik, Turgay/Q-9713-2018</t>
  </si>
  <si>
    <t xml:space="preserve">Celik, Turgay/0000-0001-6925-6010; Kusetogullari, Huseyin/0000-0001-5762-6678</t>
  </si>
  <si>
    <t xml:space="preserve">Knowledge Foundation, Sweden [20140032]</t>
  </si>
  <si>
    <t xml:space="preserve">This work was supported by the Research Project ``Scalable Resource Ef~cient Systems for Big Data Analytics'' through by the Knowledge Foundation, Sweden, under Grant 20140032.</t>
  </si>
  <si>
    <t xml:space="preserve">10.1109/ACCESS.2022.3175197</t>
  </si>
  <si>
    <t xml:space="preserve">1T3KY</t>
  </si>
  <si>
    <t xml:space="preserve">WOS:000804633200001</t>
  </si>
  <si>
    <t xml:space="preserve">Moghimi, A; Sarmadian, A; Mohammadzadeh, A; Celik, T; Amani, M; Kusetogullari, H</t>
  </si>
  <si>
    <t xml:space="preserve">Moghimi, Armin; Sarmadian, Amin; Mohammadzadeh, Ali; Celik, Turgay; Amani, Meisam; Kusetogullari, Huseyin</t>
  </si>
  <si>
    <t xml:space="preserve">Distortion Robust Relative Radiometric Normalization of Multitemporal and Multisensor Remote Sensing Images Using Image Features</t>
  </si>
  <si>
    <t xml:space="preserve">Radiometry; Sensors; Remote sensing; Image sensors; Satellite broadcasting; Linear regression; Feature extraction; Change detection; feature detection; feature matching; image matching; relative radiometric normalization; rotation invariant; scale invariant</t>
  </si>
  <si>
    <t xml:space="preserve">SATELLITE IMAGES; LANDSAT TM; NEW-MODEL; SURF; MAD</t>
  </si>
  <si>
    <t xml:space="preserve">In this article, we propose a novel framework to radiometrically correct unregistered multisensor image pairs based on the extracted feature points with the KAZE detector and the conditional probability (CP) process in the linear model fitting. In this method, the scale, rotation, and illumination invariant radiometric control set samples (SRII-RCSS) are first extracted by the blockwise KAZE strategy. They are then distributed uniformly over both textured and texture-less land use/land cover (LULC) using grid interpolation and a set of nearest-neighbors. Subsequently, SRII-RCSS are scored by a similarity measure, and the histogram of the scores is then used to refine SRII-RCSS. The normalized subject image is produced by adjusting the subject image to the reference image using the CP-based linear regression (CPLR) based on the optimal SRII-RCSS. The registered normalized image is finally generated by registration of the normalized subject image to the reference image through a two-pass registration method, namely affine-B-spline and, then, it is enhanced by updating the normalization coefficient of CPLR based on the SRII-RCSS. In this study, eight multitemporal data sets acquired by inter/intra satellite sensors were used in tests to comprehensively assess the efficiency of the proposed method. Experimental results show that the proposed method outperforms the existing state-of-the-art relative radiometric normalization (RRN) methods both qualitatively and quantitatively, indicating its capability for RRN of unregistered multisensor image pairs.</t>
  </si>
  <si>
    <t xml:space="preserve">[Moghimi, Armin; Sarmadian, Amin; Mohammadzadeh, Ali] KN Toosi Univ Technol, Geomat Engn Fac, Dept Photogrammetry &amp; Remote Sensing, Tehran 1543319967, Iran; [Celik, Turgay] Univ Witwatersrand, Wits Inst Data Sci, Sch Elect &amp; Informat Engn, ZA-2000 Johannesburg, South Africa; [Celik, Turgay] Southwest Jiaotong Univ, Sch Informat Sci &amp; Technol, Chengdu 610031, Peoples R China; [Amani, Meisam] Wood Environm &amp; Infrastructure Solut, Edmonton, AB, Canada; [Kusetogullari, Huseyin] Blekinge Inst Technol, Dept Comp Sci, S-37141 Karlskrona, Sweden</t>
  </si>
  <si>
    <t xml:space="preserve">K. N. Toosi University of Technology; University of Witwatersrand; Southwest Jiaotong University; Blekinge Institute Technology</t>
  </si>
  <si>
    <t xml:space="preserve">Celik, T (corresponding author), Univ Witwatersrand, Wits Inst Data Sci, Sch Elect &amp; Informat Engn, ZA-2000 Johannesburg, South Africa.;Celik, T (corresponding author), Southwest Jiaotong Univ, Sch Informat Sci &amp; Technol, Chengdu 610031, Peoples R China.</t>
  </si>
  <si>
    <t xml:space="preserve">moghimi.armin@gmail.com; sarmadian.amin@gmail.com; almoh2@gmail.com; celikturgay@gmail.com; meisam.amani69@gmail.com; huseyinkusetogullari@gmail.com</t>
  </si>
  <si>
    <t xml:space="preserve">Kusetogullari, Huseyin/IAQ-0788-2023; Moghimi, Armin/AAF-8581-2021; Amani, Meisam/X-4606-2018; Mohammadzadeh, Ali/I-4805-2013; Celik, Turgay/Q-9713-2018</t>
  </si>
  <si>
    <t xml:space="preserve">Amani, Meisam/0000-0002-9495-4010; Kusetogullari, Huseyin/0000-0001-5762-6678; Mohammadzadeh, Ali/0000-0003-3329-5063; Moghimi, Armin/0000-0002-0455-4882; Celik, Turgay/0000-0001-6925-6010</t>
  </si>
  <si>
    <t xml:space="preserve">Sichuan Provincial Science and Technology Project [2019JDJQ0023]</t>
  </si>
  <si>
    <t xml:space="preserve">Sichuan Provincial Science and Technology Project</t>
  </si>
  <si>
    <t xml:space="preserve">This work was supported in part by the Sichuan Provincial Science and Technology Project under Project 2019JDJQ0023.</t>
  </si>
  <si>
    <t xml:space="preserve">10.1109/TGRS.2021.3063151</t>
  </si>
  <si>
    <t xml:space="preserve">XL6PS</t>
  </si>
  <si>
    <t xml:space="preserve">WOS:000728266600088</t>
  </si>
  <si>
    <t xml:space="preserve">Baldassarre, MT; Caivano, D; Fucci, D; Juristo, N; Romano, S; Scanniello, G; Turhan, B</t>
  </si>
  <si>
    <t xml:space="preserve">Baldassarre, Maria Teresa; Caivano, Danilo; Fucci, Davide; Juristo, Natalia; Romano, Simone; Scanniello, Giuseppe; Turhan, Burak</t>
  </si>
  <si>
    <t xml:space="preserve">Studying test-driven development and its retainment over a six-month time spank</t>
  </si>
  <si>
    <t xml:space="preserve">Test-driven development; TDD; Longitudinal cohort study</t>
  </si>
  <si>
    <t xml:space="preserve">EXTERNAL QUALITY; PRODUCTIVITY; EXPERIENCE</t>
  </si>
  <si>
    <t xml:space="preserve">In this paper, we investigate the effect of TDD, as compared to a non-TDD approach, as well as its retainment (or retention) over a time span of (about) six months. To pursue these objectives, we conducted a (quantitative) longitudinal cohort study with 30 novice developers (i.e., third-year undergraduate students in Computer Science). We observed that TDD affects neither the external quality of software products nor developers' productivity. However, we observed that the participants applying TDD produced significantly more tests, with a higher fault-detection capability, than those using a non-TDD approach. As for the retainment of TDD, we found that TDD is retained by novice developers for at least six months. (C) 2021 Elsevier Inc. All rights reserved.</t>
  </si>
  <si>
    <t xml:space="preserve">[Baldassarre, Maria Teresa; Caivano, Danilo; Romano, Simone] Univ Bari, Bari, Italy; [Fucci, Davide] Blekinge Inst Technol, Karlskrona, Sweden; [Juristo, Natalia] Univ Politecn Madrid, Madrid, Spain; [Scanniello, Giuseppe] Univ Basilicata, Potenza, Italy; [Turhan, Burak] Univ Oulu, Oulu, Finland; [Turhan, Burak] Monash Univ, Melbourne, Vic, Australia</t>
  </si>
  <si>
    <t xml:space="preserve">Universita degli Studi di Bari Aldo Moro; Blekinge Institute Technology; Universidad Politecnica de Madrid; University of Basilicata; University of Oulu; Monash University</t>
  </si>
  <si>
    <t xml:space="preserve">mariateresa.baldassarre@uniba.it; danilo.caivano@uniba.it; davide.fucci@bth.se; natalia@fi.upm.es; simone.romano@uniba.it; giuseppe.scanniello@unibas.it; burak.turhan@oulu.fi</t>
  </si>
  <si>
    <t xml:space="preserve">Fucci, Davide/C-1463-2015; Romano, Simone/JVZ-6529-2024; Turhan, Burak/G-7400-2011</t>
  </si>
  <si>
    <t xml:space="preserve">Romano, Simone/0000-0003-4880-3622; Turhan, Burak/0000-0003-1511-2163</t>
  </si>
  <si>
    <t xml:space="preserve">10.1016/j.jss.2021.110937</t>
  </si>
  <si>
    <t xml:space="preserve">RH7CH</t>
  </si>
  <si>
    <t xml:space="preserve">WOS:000636371400011</t>
  </si>
  <si>
    <t xml:space="preserve">Moyón, F; Soares, R; Pinto-Albuquerque, M; Mendez, D; Beckers, K</t>
  </si>
  <si>
    <t xml:space="preserve">Moyon, Fabiola; Soares, Rafael; Pinto-Albuquerque, Maria; Mendez, Daniel; Beckers, Kristian</t>
  </si>
  <si>
    <t xml:space="preserve">Integration of Security Standards in DevOps Pipelines: An Industry Case Study</t>
  </si>
  <si>
    <t xml:space="preserve">Secure software engineering; Security standards; Agile software engineering; DevOps pipeline; DevSecOps; Industrial control systems</t>
  </si>
  <si>
    <t xml:space="preserve">In the last decade, companies adopted DevOps as a fast path to deliver software products according to customer expectations, with well aligned teams and in continuous cycles. As a basic practice, DevOps relies on pipelines that simulate factory swim-lanes. The more automation in the pipeline, the shorter a lead time is supposed to be. However, applying DevOps is challenging, particularly for industrial control systems (ICS) that support critical infrastructures and that must obey to rigorous requirements from security regulations and standards. Current research on security compliant DevOps presents open gaps for this particular domain and in general for systematic application of security standards. In this paper, we present a systematic approach to integrate standard-based security activities into DevOps pipelines and highlight their automation potential. Our intention is to share our experiences and help practitioners to overcome the trade-off between adding security activities into the development process and keeping a short lead time. We conducted an evaluation of our approach at a large industrial company considering the IEC 62443-4-1 security standard that regulates ICS. The results strengthen our confidence in the usefulness of our approach and artefacts, and in that they can support practitioners to achieve security compliance while preserving agility including short lead times.</t>
  </si>
  <si>
    <t xml:space="preserve">[Moyon, Fabiola] Siemens CT, Munich, Germany; [Moyon, Fabiola] Tech Univ Munich, Munich, Germany; [Soares, Rafael; Pinto-Albuquerque, Maria] Inst Univ Lisboa ISCTE IUL, ISTAR IUL, Lisbon, Portugal; [Mendez, Daniel] Blekinge Inst Technol, Karlskrona, Sweden; [Mendez, Daniel] fortiss GmbH, Munich, Germany; [Beckers, Kristian] Social Engn Acad, Munich, Germany</t>
  </si>
  <si>
    <t xml:space="preserve">Siemens AG; Siemens Germany; Technical University of Munich; Instituto Universitario de Lisboa; Blekinge Institute Technology; fortiss</t>
  </si>
  <si>
    <t xml:space="preserve">Moyón, F (corresponding author), Siemens CT, Munich, Germany.;Moyón, F (corresponding author), Tech Univ Munich, Munich, Germany.</t>
  </si>
  <si>
    <t xml:space="preserve">fabiola.moyon@siemens.com; rafael_soares@iscte-iul.pt; maria.albuquerque@iscte-iul.pt; daniel.mendez@bth.se; kristian.beckers@social-engineering.academy</t>
  </si>
  <si>
    <t xml:space="preserve">Pinto-Albuquerque, Maria/0000-0002-2725-7629; Mendez Fernandez, Daniel/0000-0003-0619-6027; Moyon Constante, Fabiola Paulina/0000-0003-0535-1371</t>
  </si>
  <si>
    <t xml:space="preserve">Portuguese national funds through FCT - Fundacao para a Ciencia e Tecnologia, I.P. [FCT UIDB/04466/2020]; Instituto Universitario de Lisboa; ISTAR-IUL</t>
  </si>
  <si>
    <t xml:space="preserve">Portuguese national funds through FCT - Fundacao para a Ciencia e Tecnologia, I.P.; Instituto Universitario de Lisboa; ISTAR-IUL</t>
  </si>
  <si>
    <t xml:space="preserve">This work is partially funded by Portuguese national funds through FCT - Fundacao para a Ciencia e Tecnologia, I.P., under the project FCT UIDB/04466/2020. Furthermore, the third author thanks the Instituto Universitario de Lisboa and ISTAR-IUL, for their support.</t>
  </si>
  <si>
    <t xml:space="preserve">10.1007/978-3-030-64148-1_27</t>
  </si>
  <si>
    <t xml:space="preserve">WOS:000766320200027</t>
  </si>
  <si>
    <t xml:space="preserve">Felderer, M; Galster, M; Izurieta, C; Seaman, C</t>
  </si>
  <si>
    <t xml:space="preserve">Felderer, Michael; Galster, Matthias; Izurieta, Clemente; Seaman, Carolyn</t>
  </si>
  <si>
    <t xml:space="preserve">Introduction to the Special Issue on value and waste in software engineering</t>
  </si>
  <si>
    <t xml:space="preserve">[Felderer, Michael] Univ Innsbruck, Innsbruck, Austria; [Felderer, Michael] Blekinge Inst Technol, Karlskrona, Sweden; [Galster, Matthias] Univ Canterbury, Christchurch, New Zealand; [Izurieta, Clemente] Montana State Univ, Bozeman, MT 59717 USA; [Seaman, Carolyn] Univ Maryland Baltimore Cty, Catonsville, MD USA</t>
  </si>
  <si>
    <t xml:space="preserve">University of Innsbruck; Blekinge Institute Technology; University of Canterbury; Montana State University System; Montana State University Bozeman; University System of Maryland; University of Maryland Baltimore County</t>
  </si>
  <si>
    <t xml:space="preserve">10.1016/j.infsof.2021.106801</t>
  </si>
  <si>
    <t xml:space="preserve">YK3DU</t>
  </si>
  <si>
    <t xml:space="preserve">WOS:000745098800015</t>
  </si>
  <si>
    <t xml:space="preserve">Lindberg, C; Almgren, M; Lennerling, A; Forsberg, A</t>
  </si>
  <si>
    <t xml:space="preserve">Lindberg, Catharina; Almgren, Matilda; Lennerling, Annette; Forsberg, Anna</t>
  </si>
  <si>
    <t xml:space="preserve">The Meaning of Surviving Three Years after a Heart Transplant-A Transition from Uncertainty to Acceptance through Adaptation</t>
  </si>
  <si>
    <t xml:space="preserve">heart transplantation; acceptance; adaptation; phenomenological-hermeneutic; qualitative; transition</t>
  </si>
  <si>
    <t xml:space="preserve">EXPERIENCE</t>
  </si>
  <si>
    <t xml:space="preserve">The rationale was to longitudinally follow-up interviews performed with heart recipients at their one-year examination in order to deepen the understanding of the meaning of surviving a heart transplant. The aim was to explore the meaning of surviving three years after a heart transplant compared to one year and to identify what constitutes the change process. A phenomenological-hermeneutic method was used. This multicenter study was carried out at the two hospitals in Sweden where heart transplants are performed. A total of 13 heart recipients who survived three years after a heart transplant were invited to participate in this three-year follow-up study and 12 accepted, 3 women and 9 men, with a mean age of 51.25 years. Thenaiveunderstanding revealed that the heart recipients strongly accepted their life situation and that time had enabled this acceptance of limitations through adaptation. The thematic structural analyses cover six themes illustrating the meaning of acceptance and adaptation, i.e., accepting life as it is, adapting to post-transplant limitations, adapting to a changed body, social adaptation, showing gratitude and trusting oneself and others. In conclusion, achieving acceptance and a solid sense of self-efficacy after heart transplantation is a time-consuming process that involves courage to face and accept the reality and adapt in every life dimension.</t>
  </si>
  <si>
    <t xml:space="preserve">[Lindberg, Catharina] Blekinge Inst Technol, Dept Hlth Sci, S-37435 Karlskrona, Sweden; [Almgren, Matilda; Forsberg, Anna] Lund Univ, Care High Tech Environm, Inst Hlth Sci, S-22100 Lund, Sweden; [Lennerling, Annette] Sahlgrens Univ Hosp, Transplant Ctr, S-41345 Gothenburg, Sweden; [Lennerling, Annette] Univ Gothenburg, Sahlgrenska Acad, Inst Hlth &amp; Care Sci, S-40530 Gothenburg, Sweden; [Forsberg, Anna] Skane Univ Hosp, Dept Thorac Surg, S-22242 Lund, Sweden</t>
  </si>
  <si>
    <t xml:space="preserve">Blekinge Institute Technology; Lund University; Sahlgrenska University Hospital; University of Gothenburg; Lund University; Skane University Hospital</t>
  </si>
  <si>
    <t xml:space="preserve">Forsberg, A (corresponding author), Lund Univ, Care High Tech Environm, Inst Hlth Sci, S-22100 Lund, Sweden.;Forsberg, A (corresponding author), Skane Univ Hosp, Dept Thorac Surg, S-22242 Lund, Sweden.</t>
  </si>
  <si>
    <t xml:space="preserve">catharina.lindberg@bth.se; matilda.almgren@med.lu.se; annette.lennerling@vgregion.se; anna.forsberg@med.lu.se</t>
  </si>
  <si>
    <t xml:space="preserve">Forsberg, Anna/0000-0002-5410-0723</t>
  </si>
  <si>
    <t xml:space="preserve">This study was funded by the Swedish Research Council Agreement concerning research and education of doctors.</t>
  </si>
  <si>
    <t xml:space="preserve">10.3390/ijerph17155434</t>
  </si>
  <si>
    <t xml:space="preserve">MZ4PJ</t>
  </si>
  <si>
    <t xml:space="preserve">WOS:000559104900001</t>
  </si>
  <si>
    <t xml:space="preserve">Romano, S; Fucci, D; Scanniello, G; Baldassarre, MT; Turhan, B; Juristo, N</t>
  </si>
  <si>
    <t xml:space="preserve">Romano, Simone; Fucci, Davide; Scanniello, Giuseppe; Baldassarre, Maria Teresa; Turhan, Burak; Juristo, Natalia</t>
  </si>
  <si>
    <t xml:space="preserve">Researcher Bias in Software Engineering Experiments: a Qualitative Investigation</t>
  </si>
  <si>
    <t xml:space="preserve">Survey; interview; researcher bias; blinding</t>
  </si>
  <si>
    <t xml:space="preserve">Researcher Bias (RB) occurs when researchers influence the results of an empirical study based on their expectations. RB might be due to the use of Questionable Research Practices (QRPs). In research fields like medicine, blinding techniques have been applied to counteract RB. We conducted an explorative qualitative survey to investigate RB in Software Engineering (SE) experiments, with respect to: (i) QRPs potentially leading to RB, (ii) causes behind RB, and (iii) possible actions to counteract RB including blinding techniques. Data collection was based on semi-structured interviews. We interviewed nine active experts in the empirical SE community. We then analyzed the transcripts of these interviews through thematic analysis. We found that some QRPs are acceptable in certain cases. Also, it appears that the presence of RB is perceived in SE and, to counteract RB, a number of solutions have been highlighted: some are intended for SE researchers and others for the boards of SE research outlets.</t>
  </si>
  <si>
    <t xml:space="preserve">[Romano, Simone; Baldassarre, Maria Teresa] Univ Bari, Bari, Italy; [Fucci, Davide] Blekinge Inst Technol, Karlskrona, Sweden; [Scanniello, Giuseppe] Univ Basilicata, Potenza, Italy; [Turhan, Burak] Monash Univ, Melbourne, Vic, Australia; [Turhan, Burak] Univ Oulu, Oulu, Finland; [Juristo, Natalia] Univ Politecn Madrid, Madrid, Spain</t>
  </si>
  <si>
    <t xml:space="preserve">Universita degli Studi di Bari Aldo Moro; Blekinge Institute Technology; University of Basilicata; Monash University; University of Oulu; Universidad Politecnica de Madrid</t>
  </si>
  <si>
    <t xml:space="preserve">simone.romano@uniba.it; davide.fucci@bth.se; giuseppe.scanniello@unibas.it; mariateresa.baldassarre@uniba.it; burak.turhan@monash.edu; natalia@fi.upm.es</t>
  </si>
  <si>
    <t xml:space="preserve">10.1109/SEAA51224.2020.00054</t>
  </si>
  <si>
    <t xml:space="preserve">WOS:000702094100043</t>
  </si>
  <si>
    <t xml:space="preserve">Wang, X; Shi, SY; Zhu, LT; Nie, YF; Lai, GJ</t>
  </si>
  <si>
    <t xml:space="preserve">Wang, Xing; Shi, Shuaiyi; Zhu, Litao; Nie, Yunfeng; Lai, Guojun</t>
  </si>
  <si>
    <t xml:space="preserve">Traditional and Novel Methods of Rainfall Observation and Measurement: A Review</t>
  </si>
  <si>
    <t xml:space="preserve">JOURNAL OF HYDROMETEOROLOGY</t>
  </si>
  <si>
    <t xml:space="preserve">Gauges; Measurements; Remote sensing; Weather radar signal processing</t>
  </si>
  <si>
    <t xml:space="preserve">MICROWAVE BACKHAUL LINKS; RADAR-RAINFALL; WEATHER RADAR; DROP SIZE; PRECIPITATION CLIMATOLOGY; TEMPORAL VARIATION; VIDEO DISDROMETER; MERGING METHODS; KINETIC-ENERGY; PHASED-ARRAY</t>
  </si>
  <si>
    <t xml:space="preserve">Because of its high spatial and temporal variability, rainfall remains one of the most challenging meteorological variables to measure accurately. Obtaining high-quality rainfall products is essential for flood monitoring, disaster warning, and weather forecasting systems, but this is not always possible on the basis of current rainfall observation networks. Innovative alternatives draw inspiration from citizen science and crowdsourcing, allowing for opportunistic sensing of rainfall from exist-ing measurements at a low cost, which has become a popular topic and is beginning to play an important role in developing rainfall observation systems. This paper reviews the current state of new rainfall observation approaches and explores their opportunities to complement more traditional ways of rainfall data collection in a hydrological context. Furthermore, the challenges of each new approach are discussed. Although these new options show great potential in enhancing the current rainfall network, they still face problems in terms of their accuracy, real-time accessibility, and limited applicability when individually employed. In contrast, the fusion of new measurements with traditional observation networks is feasible and will be effective for regional rainfall monitoring. This study also serves as an important reference in developing monitoring techniques for other environmental factors. SIGNIFICANCE STATEMENT: New rainfall observation techniques provide a meaningful supplement to current rain-fall networks in terms of spatiotemporal resolution and accuracy. In this paper, we present a comprehensive overview of the innovations in rainfall observation and their popularity in different regions around the world. Then, the application value and future opportunities that new techniques bring to hydrological research are analyzed. It is anticipated that this paper will be of value to researchers with an interest in improving the quality of rainfall data, thus paving the way to accelerate these studies, as well as the application and implementation of their findings, to the next stage. Furthermore, we expect to prompt a rethink on utilizing and exploiting these new rainfall products to enhance our understanding and optimization of current rainfall sensing systems.</t>
  </si>
  <si>
    <t xml:space="preserve">[Wang, Xing; Shi, Shuaiyi] Nanjing Inst Technol, Sch Comp Engn, Nanjing, Peoples R China; [Shi, Shuaiyi] Chinese Acad Sci, Aerosp Informat Res Inst, State Key Lab Remote Sensing Sci, Beijing, Peoples R China; [Zhu, Litao] Nanjing Univ Finance &amp; Econ, Coll Informat Engn, Nanjing, Jiangsu, Peoples R China; [Nie, Yunfeng] Nanchang Hangkong Univ, Sch Informat Engn, Nanchang, Peoples R China; [Lai, Guojun] Blekinge Inst Technol, Dept Comp Sci, Karlskrona, Sweden</t>
  </si>
  <si>
    <t xml:space="preserve">Nanjing Institute of Technology; Chinese Academy of Sciences; Aerospace Information Research Institute, CAS; Nanjing University of Finance &amp; Economics; Nanchang Hangkong University; Blekinge Institute Technology</t>
  </si>
  <si>
    <t xml:space="preserve">Wang, X; Shi, SY (corresponding author), Nanjing Inst Technol, Sch Comp Engn, Nanjing, Peoples R China.;Shi, SY (corresponding author), Chinese Acad Sci, Aerosp Informat Res Inst, State Key Lab Remote Sensing Sci, Beijing, Peoples R China.</t>
  </si>
  <si>
    <t xml:space="preserve">jwangxing0719@163.com; shisy01@radi.ac.cn</t>
  </si>
  <si>
    <t xml:space="preserve">Lai, Guojun/GOG-8645-2022; Zhu, Li-Tao/G-6000-2018; Shi, Shuaiyi/GOP-1692-2022</t>
  </si>
  <si>
    <t xml:space="preserve">Shi, Shuaiyi/0000-0002-5136-0386</t>
  </si>
  <si>
    <t xml:space="preserve">National Natural Science Foundation of China (NSFC) [42005104]; State Scholarship Fund from the China Scholarship Council (CSC) [202006860047]; Priority Academic Program Development of Jiangsu Higher Education Institutions [164320H116]</t>
  </si>
  <si>
    <t xml:space="preserve">National Natural Science Foundation of China (NSFC)(National Natural Science Foundation of China (NSFC)); State Scholarship Fund from the China Scholarship Council (CSC); Priority Academic Program Development of Jiangsu Higher Education Institutions</t>
  </si>
  <si>
    <t xml:space="preserve">This research was funded by the National Natural Science Foundation of China (NSFC) (42005104), the State Scholarship Fund from the China Scholarship Council (CSC) (202006860047), and a project funded by the Priority Academic Program Development of Jiangsu Higher Education Institutions (164320H116). We extend our thanks to the editor and three anonymous reviewers for their constructive comments on an earlier version of this paper, which had helped us to improve the quality of this article. In addition, author Xing Wang thanks all of the challenging experiences during his research stay at the University of Vienna within the research group ENGAGE}Geomorphic Systems and Risk Research.</t>
  </si>
  <si>
    <t xml:space="preserve">AMER METEOROLOGICAL SOC</t>
  </si>
  <si>
    <t xml:space="preserve">BOSTON</t>
  </si>
  <si>
    <t xml:space="preserve">45 BEACON ST, BOSTON, MA 02108-3693, UNITED STATES</t>
  </si>
  <si>
    <t xml:space="preserve">1525-755X</t>
  </si>
  <si>
    <t xml:space="preserve">1525-7541</t>
  </si>
  <si>
    <t xml:space="preserve">J HYDROMETEOROL</t>
  </si>
  <si>
    <t xml:space="preserve">J. Hydrometeorol.</t>
  </si>
  <si>
    <t xml:space="preserve">10.1175/JHM-D-22-0122.1</t>
  </si>
  <si>
    <t xml:space="preserve">X8WS7</t>
  </si>
  <si>
    <t xml:space="preserve">WOS:001101195800001</t>
  </si>
  <si>
    <t xml:space="preserve">Garousi, V; Giray, G; Tuzun, E; Catal, C; Felderer, M</t>
  </si>
  <si>
    <t xml:space="preserve">Garousi, Vahid; Giray, Gorkem; Tuzun, Eray; Catal, Cagatay; Felderer, Michael</t>
  </si>
  <si>
    <t xml:space="preserve">Closing the Gap Between Software Engineering Education and Industrial Needs</t>
  </si>
  <si>
    <t xml:space="preserve">Software engineering; Industries; Software; Education; Knowledge engineering; Computer science; Information systems; Software engineering education; industry needs; important skills; knowledge gap; software engineering curriculum</t>
  </si>
  <si>
    <t xml:space="preserve">Many recent software engineering graduates often face difficulties when beginning their professional careers, due to misalignment of the skills learned in their university education with what is needed in industry. In this article, we report a literature review of the studies that have been done to make improvements on this issue.</t>
  </si>
  <si>
    <t xml:space="preserve">[Garousi, Vahid] Queens Univ Belfast, Software Engn, Belfast, Antrim, North Ireland; [Tuzun, Eray] Bilkent Univ, Ankara, Turkey; [Catal, Cagatay] Wageningen Univ &amp; Res, Wageningen, Netherlands; [Catal, Cagatay] Bahcesehir Univ, Istanbul, Turkey; [Felderer, Michael] Blekinge Inst Technol, Karlskrona, Sweden; [Felderer, Michael] Univ Innsbruck, Innsbruck, Austria</t>
  </si>
  <si>
    <t xml:space="preserve">Queens University Belfast; Ihsan Dogramaci Bilkent University; Wageningen University &amp; Research; Bahcesehir University; Blekinge Institute Technology; University of Innsbruck</t>
  </si>
  <si>
    <t xml:space="preserve">Garousi, V (corresponding author), Queens Univ Belfast, Software Engn, Belfast, Antrim, North Ireland.</t>
  </si>
  <si>
    <t xml:space="preserve">vgarousi@gmail.com; gorkemgiray@gmail.com; eraytuzun@cs.bilkent.edu.tr; cagatay.catal@wur.nl; michael.felderer@uibk.ac.at</t>
  </si>
  <si>
    <t xml:space="preserve">Tuzun, Eray/AAD-7282-2021; Catal, Cagatay/AAF-3929-2019; Felderer, Michael/AAF-4909-2020; Tuzun, Eray/B-5949-2018; Giray, Gorkem/AAW-9845-2021</t>
  </si>
  <si>
    <t xml:space="preserve">Catal, Cagatay/0000-0003-0959-2930; Garousi, Vahid/0000-0001-6590-7576; Tuzun, Eray/0000-0002-5550-7816; Giray, Gorkem/0000-0002-7023-9469</t>
  </si>
  <si>
    <t xml:space="preserve">10.1109/MS.2018.2880823</t>
  </si>
  <si>
    <t xml:space="preserve">WOS:000520152900012</t>
  </si>
  <si>
    <t xml:space="preserve">Yasin, A; Fatima, R; Wen, LJ; Afzal, W; Azhar, M; Torkar, R</t>
  </si>
  <si>
    <t xml:space="preserve">Yasin, Affan; Fatima, Rubia; Wen, Lijie; Afzal, Wasif; Azhar, Muhammad; Torkar, Richard</t>
  </si>
  <si>
    <t xml:space="preserve">On Using Grey Literature and Google Scholar in Systematic Literature Reviews in Software Engineering</t>
  </si>
  <si>
    <t xml:space="preserve">Grey literature; Google scholar; software engineering; empirical evaluation; systematic mapping; tertiary study; gray; quality checklist</t>
  </si>
  <si>
    <t xml:space="preserve">REQUIREMENTS; TECHNOLOGY; MODELS; IDENTIFICATION; PREDICTION; MOTIVATION; MANAGEMENT; SCRUM; TOOL; WEB</t>
  </si>
  <si>
    <t xml:space="preserve">Context: The inclusion of grey literature (GL) is important to remove publication bias while gathering available evidence regarding a certain topic. The number of systematic literature reviews (SLRs) in Software Engineering (SE) is increasing but we do not know about the extent of GL usage in these SLRs. Moreover, Google Scholar is rapidly becoming a search engine of choice for many researchers but the extent to which it can find the primary studies is not known. Objective: This tertiary study is an attempt to i) measure the usage of GL in SLRs in SE. Furthermore this study proposes strategies for categorizing GL and a quality checklist to use for GL in future SLRs; ii) explore if it is feasible to use only Google Scholar for finding scholarly articles for academic research. Method: We have conducted a systematic mapping study to measure the extent of GL usage in SE SLRs as well as to measure the feasibility of finding primary studies using Google Scholar. Results and conclusions: a) Grey Literature: 76.09% SLRs (105 out of 138) in SE have included one or more GL studies as primary studies. Among total primary studies across all SLRs (6307), 582 are classified as GL, making the frequency of GL citing as 9.23%. The intensity of GL use indicate that each SLR contains 5 primary studies on average (total intensity of GL use being 5.54). The ranking of GL tells us that conference papers are the most used form 43.3% followed by technical reports 28.52%. Universities, research institutes, labs and scientific societies together make up 67.7% of GL used, indicating that these are useful sources for searching GL. We additionally propose strategies for categorizing GL and criteria for evaluating GL quality, which can become a basis for more detailed guidelines for including GL in future SLRs. b) Google Scholar Results: The results show that Google Scholar was able to retrieve 96% of primary studies of these SLRs. Most of the primary studies that were not found using Google Scholar were from grey sources.</t>
  </si>
  <si>
    <t xml:space="preserve">[Yasin, Affan; Fatima, Rubia; Wen, Lijie] Tsinghua Univ, Sch Software, Beijing 100084, Peoples R China; [Yasin, Affan] Blekinge Inst Technol, Sch Comp, S-37141 Karlskrona, Sweden; [Afzal, Wasif] Malardalen Univ, Sch Informat Design &amp; Innovat, S-72220 Vasteras, Sweden; [Azhar, Muhammad] Shenzhen Univ, Coll Comp Sci &amp; Software Engn, Shenzhen 518060, Peoples R China; [Torkar, Richard] Gothunberg Univ, Software Engn Div, S-40530 Gothenburg, Sweden</t>
  </si>
  <si>
    <t xml:space="preserve">Tsinghua University; Blekinge Institute Technology; Malardalen University; Shenzhen University</t>
  </si>
  <si>
    <t xml:space="preserve">Afzal, W (corresponding author), Malardalen Univ, Sch Informat Design &amp; Innovat, S-72220 Vasteras, Sweden.</t>
  </si>
  <si>
    <t xml:space="preserve">wasif.afzal@mdh.se</t>
  </si>
  <si>
    <t xml:space="preserve">Yasin, Affan/GON-8035-2022; Fatima, Rubia/GPT-2295-2022; Afzal, Wasif/C-8028-2013; Torkar, Richard/P-4740-2015</t>
  </si>
  <si>
    <t xml:space="preserve">Fatima, Rubia/0000-0002-7144-1925; Afzal, Wasif/0000-0003-0611-2655; Torkar, Richard/0000-0002-0118-8143; Wen, Lijie/0000-0003-0358-3160; Azhar, Muhammad/0000-0003-3687-0270; Yasin, Affan/0000-0002-0166-2239</t>
  </si>
  <si>
    <t xml:space="preserve">European Union [871319]; Knowledge Foundation in Sweden [20160139]; National Key Research and Development Program of China [2019YFB1704003]</t>
  </si>
  <si>
    <t xml:space="preserve">European Union(European Union (EU)); Knowledge Foundation in Sweden; National Key Research and Development Program of China(National Key Research &amp; Development Program of China)</t>
  </si>
  <si>
    <t xml:space="preserve">This work was supported in part by the European Union's Horizon 2020 Research and Innovation Programme under Grant 871319, in part by the Knowledge Foundation in Sweden under Grant 20160139 (TestMine), and in part by the National Key Research and Development Program of China under Grant 2019YFB1704003.</t>
  </si>
  <si>
    <t xml:space="preserve">10.1109/ACCESS.2020.2971712</t>
  </si>
  <si>
    <t xml:space="preserve">LB4NR</t>
  </si>
  <si>
    <t xml:space="preserve">WOS:000524612800017</t>
  </si>
  <si>
    <t xml:space="preserve">Pham, QT; Barlo, A; Islam, MS; Sigvant, M; Pilthammar, J; Caro, LP; Kesti, V</t>
  </si>
  <si>
    <t xml:space="preserve">Pham, Quoc Tuan; Barlo, Alexander; Islam, Md Shafiqul; Sigvant, Mats; Pilthammar, Johan; Caro, Lluis Perez; Kesti, Vili</t>
  </si>
  <si>
    <t xml:space="preserve">Uncertainty quantification for conical hole expansion test of DP800 sheet metal</t>
  </si>
  <si>
    <t xml:space="preserve">Hole expansion test; Edge crack; Uncertainty quantification; Monte-Carlo simulation; Sensitivity analysis; DP800 steel</t>
  </si>
  <si>
    <t xml:space="preserve">EDGE FRACTURE; MODEL; DAMAGE; STEEL; SIMULATION; PRESSURE; TENSILE</t>
  </si>
  <si>
    <t xml:space="preserve">The hole expansion ratio (HER) observed in a standardized hole expansion test (HET) is commonly used to determine the edge fracture of steel sheets. A large variation of the measured HER restricts the practical application of the method. This study presents a systematic investigation on uncertainties in the HER of DP800 sheet material, including the hole-edge quality, pre-strain due to the hole-punching process, the friction coefficient, and the determination of fracture. An artificial neural network was trained to develop a surrogate model using a database gained from a thousand finite element simulations of the HET. Monte-Carlo simulations were performed using the trained surrogate model to characterize the distribution of the HER. Sensitivity analysis via Sobol's indices is calculated to determine the influence of the input variables on the output. It is found that the pre-strain and pre-damage generated during the hole punching process in the shear-affected zone dominate the variation of the HER. Discussions on reducing the output's variation are detailed. In general, these findings provide valuable insights for the determination of HER as well as the edge crack behavior of the investigated DP800 steel sheet.</t>
  </si>
  <si>
    <t xml:space="preserve">[Pham, Quoc Tuan] Hanoi Univ Sci &amp; Technol, Sch Mech Engn, Hanoi, Vietnam; [Barlo, Alexander; Islam, Md Shafiqul; Sigvant, Mats; Pilthammar, Johan] Blekinge Inst Technol, Dept Mech Engn, Karlskrona, Sweden; [Sigvant, Mats] AutoForm Engn Sweden AB, Olofstrom, Sweden; [Pilthammar, Johan] Volvo Cars, Dept Mfg Technol Dev 81013, S-81013 Olofstrom, Sweden; [Caro, Lluis Perez] RISE Res Inst Sweden, Component Mfg Unit, Olofstrom, Sweden; [Kesti, Vili] SSAB Europe, Raahe, Finland</t>
  </si>
  <si>
    <t xml:space="preserve">Hanoi University of Science &amp; Technology (HUST); Blekinge Institute Technology; Volvo; RISE Research Institutes of Sweden; SSAB</t>
  </si>
  <si>
    <t xml:space="preserve">Islam, MS (corresponding author), Blekinge Inst Technol, Dept Mech Engn, Karlskrona, Sweden.</t>
  </si>
  <si>
    <t xml:space="preserve">tuan.phamquoc@hust.edu.vn; alexander.barlo@bth.se; shafiqul.islam@bth.se; mats.sigvant@bth.se; johan.pilthammar@volvocars.com; lluis.perez.caro@ri.se; vili.kesti@ssab.com</t>
  </si>
  <si>
    <t xml:space="preserve">Sigvant, Mats/JJG-2577-2023; Islam, Md Shafiqul/GLS-1837-2022; Pham, Tuan/AAH-8010-2019</t>
  </si>
  <si>
    <t xml:space="preserve">Pham, Tuan/0000-0002-8204-4802; Islam, Md Shafiqul/0000-0002-1162-7023</t>
  </si>
  <si>
    <t xml:space="preserve">VINNOVA [2020-02986]; VINNOVA in the Sustainable Production subprogram within Vehicle Strategic Research and Innovation (FFI) program, Sweden; Blekinge Institute of Technology, Sweden; Vinnova [2020-02986] Funding Source: Vinnova</t>
  </si>
  <si>
    <t xml:space="preserve">VINNOVA(Vinnova); VINNOVA in the Sustainable Production subprogram within Vehicle Strategic Research and Innovation (FFI) program, Sweden; Blekinge Institute of Technology, Sweden; Vinnova(Vinnova)</t>
  </si>
  <si>
    <t xml:space="preserve">The authors gratefully acknowledge the financial support from VINNOVA in the Sustainable Production subprogram within Vehicle Strategic Research and Innovation (FFI) program, Sweden (grant number 2020-02986). Open Access funding was provided by the Blekinge Institute of Technology, Sweden.</t>
  </si>
  <si>
    <t xml:space="preserve">10.1007/s12289-024-01869-1</t>
  </si>
  <si>
    <t xml:space="preserve">O4Y8A</t>
  </si>
  <si>
    <t xml:space="preserve">WOS:001371208200001</t>
  </si>
  <si>
    <t xml:space="preserve">Pena, C; Cartaxo, B; Steinmacher, I; Badampudi, D; da Silva, D; Ferreira, W; Almeida, A; Kamei, F; Soares, S</t>
  </si>
  <si>
    <t xml:space="preserve">Pena, Carolline; Cartaxo, Bruno; Steinmacher, Igor; Badampudi, Deepika; da Silva, Deyvson; Ferreira, Williby; Almeida, Adauto; Kamei, Fernando; Soares, Sergio</t>
  </si>
  <si>
    <t xml:space="preserve">Comparing the Efficacy of Rapid Review With a Systematic Review in the Software Engineering Field</t>
  </si>
  <si>
    <t xml:space="preserve">Rapid Review; Systematic Review; software engineering</t>
  </si>
  <si>
    <t xml:space="preserve">ContextRapid Reviews are secondary studies aiming to deliver evidence to experts in a more timely manner and with lower costs than traditional literature reviews. Previous studies have shown that experts and researchers are positive toward Rapid Reviews. However, little is known about how Rapid Reviews differ from traditional Systematic Reviews.ObjectiveThe goal of this paper is to compare a Rapid Review with a Systematic Review in terms of their methods (e.g., search strategy, study selection, quality assessment, and data extraction) and findings to understand how optimizing the traditional Systematic Review method impacts what we obtain with Rapid Review.MethodTo achieve this goal, we conducted a Systematic Review with the same research questions answered by a pre-existing Rapid Review and compared those two studies. Also, we surveyed experts from industry and academia to evaluate the relevance of the findings obtained from both the secondary studies.ResultsThe Rapid Review lasted 6 days, while the Systematic Review took 1 year and 2 months. The main bottlenecks we identified in the Systematic Review are (i) executing the search strategy and (ii) selecting the procedure. Together, they took 10 months. The researchers had to analyze the information from 11,383 papers for the Systematic Review compared with 1973 for the Rapid Review. Still, most (similar to$$ \sim $$ 78%) of the papers included in the Systematic Review were returned by the Rapid Review search, and some papers that could be included were unduly excluded during the Rapid Review's selection procedure. Both secondary studies identified the same number of pieces of evidence (30), but the pieces of evidence are not the same.ConclusionThe Rapid Review and Systematic Review results are inherently different and complementary. The time and cost to conduct a Systematic Review can be prohibitive in experts' contexts. Thus, at least in such situations, a Rapid Review may be an adequate choice. Moreover, a Rapid Review may be executed in the experts' context as a previous low-cost step before deciding to invest in a high-cost Systematic Review.</t>
  </si>
  <si>
    <t xml:space="preserve">[Pena, Carolline; da Silva, Deyvson; Ferreira, Williby; Soares, Sergio] Univ Fed Pernambuco UFPE, Comp Ctr, Recife, PE, Brazil; [Pena, Carolline; Cartaxo, Bruno] Inst Fed Pernambuco IFPE, Syst Anal &amp; Dev Course, Recife, PE, Brazil; [Steinmacher, Igor] No Arizona Univ, Sch Informat Comp &amp; Cyber Syst, Flagstaff, AZ USA; [Badampudi, Deepika] Blekinge Inst Technol, Dept Software Engn, Karlskrona, Sweden; [Almeida, Adauto] Univ Pernambuco UPE, Dept Software Engn, Garanhuns, PE, Brazil; [Kamei, Fernando] Inst Fed Alagoas IFAL, Informat Syst course, Maceio, AL, Brazil</t>
  </si>
  <si>
    <t xml:space="preserve">Universidade Federal de Pernambuco; Instituto Federal de Pernambuco (IFPE); Northern Arizona University; Blekinge Institute Technology; Universidade de Pernambuco (UPE); Instituto Federal de Alagoas (IFAL)</t>
  </si>
  <si>
    <t xml:space="preserve">Pena, C (corresponding author), Univ Fed Pernambuco UFPE, Comp Ctr, Recife, PE, Brazil.;Pena, C (corresponding author), Inst Fed Pernambuco IFPE, Syst Anal &amp; Dev Course, Recife, PE, Brazil.</t>
  </si>
  <si>
    <t xml:space="preserve">cdp@cin.ufpe.br</t>
  </si>
  <si>
    <t xml:space="preserve">Igor, Steinmacher/B-6414-2012; Steinmacher, Igor/H-2709-2012</t>
  </si>
  <si>
    <t xml:space="preserve">Steinmacher, Igor/0000-0002-0612-5790</t>
  </si>
  <si>
    <t xml:space="preserve">INES; CNPq [465614/2014-0, 306000/2022-9]; FACEPE [APQ/0388-1.03/14]; CAPES [88887.13641 0/2017-00]; [APQ-0399-1.03/17]</t>
  </si>
  <si>
    <t xml:space="preserve">INES; CNPq(Conselho Nacional de Desenvolvimento Cientifico e Tecnologico (CNPQ)); FACEPE(Fundacao de Amparo a Ciencia e Tecnologia do Estado de Pernambuco (FACEPE)); CAPES(Coordenacao de Aperfeicoamento de Pessoal de Nivel Superior (CAPES));</t>
  </si>
  <si>
    <t xml:space="preserve">This work is partially supported by INES (http://www.ines.org.br), CNPq grant 465614/2014-0, FACEPE grants APQ-0399-1.03/17, and APQ/0388-1.03/14, CAPES grant 88887.13641 0/2017-00. Sergio Soares is partially supported by CNPq, grant 306000/2022-9.</t>
  </si>
  <si>
    <t xml:space="preserve">10.1002/smr.2748</t>
  </si>
  <si>
    <t xml:space="preserve">T0J5K</t>
  </si>
  <si>
    <t xml:space="preserve">WOS:001368569100001</t>
  </si>
  <si>
    <t xml:space="preserve">Andersson, M; Eklund, JE; Tsvetkova, A</t>
  </si>
  <si>
    <t xml:space="preserve">Andersson, Martin; Eklund, Johan E.; Tsvetkova, Alexandra</t>
  </si>
  <si>
    <t xml:space="preserve">Spatial variations in financial constraints of SMEs-evidence from firm-level estimates of investment-cash flow sensitivities in Sweden</t>
  </si>
  <si>
    <t xml:space="preserve">Sweden; SMEs; Financial constraints; Urban-rural continuum; Access to finance; Investment decisions</t>
  </si>
  <si>
    <t xml:space="preserve">MEDIUM-SIZED ENTERPRISES; ACCESS; INFORMATION; DECISIONS; AREAS</t>
  </si>
  <si>
    <t xml:space="preserve">Plain English Summary We show that small- and medium-sized enterprises (SMEs) located outside the main city regions are more dependent on internal cash flow in their investments compared to SME urban city regions. Our findings clearly show that, as access to agglomerated economies decreases, financial constraints faced by the SMEs increase. The investment ability of SMEs in rural regions depends on own cash flow more but revenues in smaller regions tend to be smaller too-implying that the cash flow is likely to be lower. As a result, SMEs in smaller and more remote places would find it harder to invest and, therefore, to grow or increase productivity. The fact that such a consistent pattern of increasing investment-cash flow sensitivity is clearly observable in Sweden, one of the least regionally unequal countries, only reinforces the importance of considering the spatial dimension in policies targeted at closing SME financing gap. It is well established that there is uneven availability of credit across space, in particular for SMEs. The evidence on whether this translates into differences in actual business investments remains scarce. We assess this question by using firm-level data for Swedish firms and estimate the extent to which the average investment-cash flow sensitivities of firms vary across the urban-rural hierarchy. We find that the world of financing is not yet flat for the majority of Swedish SMEs. Companies located in non-metro regions are most dependent on own cash flow in their investments. The results hold for all firms, firms of different sizes, firms operating in low-end services, unaffiliated firms and those belonging to domestic corporations. In contrast, investment-cash flow sensitivity of firms operating in high-tech services and those belonging to a multinational enterprise does not differ geographically. On average, regional investment-cash flow sensitivity is lower in bigger, denser and more educated local labour market regions; it is higher in regions with greater concentration of SMEs.</t>
  </si>
  <si>
    <t xml:space="preserve">[Andersson, Martin; Eklund, Johan E.] Blekinge Inst Technol, Dept Ind Econ, Blekinge, Sweden; [Andersson, Martin] Swedish Entrepreneurship Forum, Stockholm, Sweden; [Andersson, Martin] Lund Univ, CIRCLE, Lund, Sweden; [Eklund, Johan E.] Chamber Commerce &amp; Ind Southern Sweden, Malmo, Sweden; [Eklund, Johan E.] Jonkoping Univ, Jonkoping Int Business Sch, Jonkoping, Sweden; [Tsvetkova, Alexandra] OECD Trento Ctr Local Dev, Spatial Prod Lab SPL, Trento, Italy</t>
  </si>
  <si>
    <t xml:space="preserve">Blekinge Institute Technology; Lund University; Jonkoping University; Organisation for Economic Co-operation &amp; Development (OECD)</t>
  </si>
  <si>
    <t xml:space="preserve">Andersson, M (corresponding author), Blekinge Inst Technol, Dept Ind Econ, Blekinge, Sweden.</t>
  </si>
  <si>
    <t xml:space="preserve">martin.andersson@bth.se; johan.eklund@entreprenorskapsforum.se; Alexandra.tsvetkova@oecd.org</t>
  </si>
  <si>
    <t xml:space="preserve">Andersson, Martin/AAB-5164-2021; Eklund, Johan/HPC-9141-2023</t>
  </si>
  <si>
    <t xml:space="preserve">10.1007/s11187-022-00673-y</t>
  </si>
  <si>
    <t xml:space="preserve">F6YL9</t>
  </si>
  <si>
    <t xml:space="preserve">WOS:000849463700002</t>
  </si>
  <si>
    <t xml:space="preserve">Alves, DI; Palm, BG; Pettersson, MI; Vu, VT; Machado, R; Uchoa, BF; Dammert, P; Hellsten, H</t>
  </si>
  <si>
    <t xml:space="preserve">Alves, Dimas I.; Palm, Bruna G.; Pettersson, Mats I.; Vu, Viet T.; Machado, Renato; Uchoa-Filho, Bartolomeu F.; Dammert, Patrik; Hellsten, Hans</t>
  </si>
  <si>
    <t xml:space="preserve">A Statistical Analysis for Wavelength-Resolution SAR Image Stacks</t>
  </si>
  <si>
    <t xml:space="preserve">Synthetic aperture radar; Radar polarimetry; Image resolution; Data models; Statistical analysis; Rician channels; Geometry; Anderson-Darling (AD) test; CARABAS II; change detection; image stack; multitemporal synthetic aperture radar (SAR) images; SAR</t>
  </si>
  <si>
    <t xml:space="preserve">FALSE DISCOVERY RATE; MODEL; FIT; PERFORMANCE</t>
  </si>
  <si>
    <t xml:space="preserve">This letter presents a clutter statistical analysis for stacks of wavelength-resolution synthetic aperture radar (SAR) images. Each image stack consists of SAR images generated by the same sensor, using the same flight track illuminating the same scene but with a time separation between the illuminations. We test three candidate statistical distributions for time changes in the stack, namely, Rician, Rayleigh, and log-normal. The tests results reveal that the Rician distribution is a very good candidate for modeling stack of wavelength-resolution SAR images, where 98.59% of the tested samples passed the Anderson-Darling (AD) goodness-of-fit test. Also, it is observed that the presence of changes in the ground scene is related to the tested samples that have failed in the AD test for the Rician distribution hypothesis.</t>
  </si>
  <si>
    <t xml:space="preserve">[Alves, Dimas I.] Fed Univ Pampa UNIPAMPA, Campus Alegrete, BR-97546550 Alegrete, Brazil; [Alves, Dimas I.; Uchoa-Filho, Bartolomeu F.] Fed Univ Santa Catarina UFSC, Dept Elect &amp; Elect Engn, BR-88040900 Florianopolis, SC, Brazil; [Alves, Dimas I.; Palm, Bruna G.; Pettersson, Mats I.; Vu, Viet T.] Blekinge Inst Technol BTH, S-37179 Karlskrona, Sweden; [Palm, Bruna G.] Fed Univ Pernambuco UFPE, Dept Stat, BR-50670901 Recife, PE, Brazil; [Machado, Renato] Aeronaut Inst Technol ITA, BR-12228900 Sao Jose Dos Campos, Brazil; [Dammert, Patrik; Hellsten, Hans] Saab Elect Def Syst, S-41289 Gothenburg, Sweden</t>
  </si>
  <si>
    <t xml:space="preserve">Universidade Federal do Pampa; Blekinge Institute Technology; Universidade Federal de Pernambuco; Saab Group</t>
  </si>
  <si>
    <t xml:space="preserve">Alves, DI (corresponding author), Fed Univ Pampa UNIPAMPA, Campus Alegrete, BR-97546550 Alegrete, Brazil.</t>
  </si>
  <si>
    <t xml:space="preserve">G. Palm, Bruna/AAZ-4107-2021; Irion Alves, Dimas/AAY-4651-2021; Machado, Renato/P-8515-2018; Vu, Viet/JDW-0738-2023; Uchoa-Filho, Bartolomeu/C-5437-2013; Pettersson, Mats/N-1063-2016</t>
  </si>
  <si>
    <t xml:space="preserve">Machado, Renato/0000-0003-0856-5391; Irion Alves, Dimas/0000-0002-5443-6446; Uchoa-Filho, Bartolomeu/0000-0003-3727-3988; Pettersson, Mats/0000-0002-6643-312X; G. Palm, Bruna/0000-0003-0423-9927</t>
  </si>
  <si>
    <t xml:space="preserve">10.1109/LGRS.2019.2917627</t>
  </si>
  <si>
    <t xml:space="preserve">KH8KV</t>
  </si>
  <si>
    <t xml:space="preserve">WOS:000510900300009</t>
  </si>
  <si>
    <t xml:space="preserve">Alawadi, S; Ait-Mlouk, A; Toor, S; Hellander, A</t>
  </si>
  <si>
    <t xml:space="preserve">Alawadi, Sadi; Ait-Mlouk, Addi; Toor, Salman; Hellander, Andreas</t>
  </si>
  <si>
    <t xml:space="preserve">Toward efficient resource utilization at edge nodes in federated learning</t>
  </si>
  <si>
    <t xml:space="preserve">PROGRESS IN ARTIFICIAL INTELLIGENCE</t>
  </si>
  <si>
    <t xml:space="preserve">Distributed training; Data privacy; Federated learning; Machine learning; Training parallelization; Partial training</t>
  </si>
  <si>
    <t xml:space="preserve">Federated learning (FL) enables edge nodes to collaboratively contribute to constructing a global model without sharing their data. This is accomplished by devices computing local, private model updates that are then aggregated by a server. However, computational resource constraints and network communication can become a severe bottleneck for larger model sizes typical for deep learning (DL) applications. Edge nodes tend to have limited hardware resources (RAM, CPU), and the network bandwidth and reliability at the edge is a concern for scaling federated fleet applications. In this paper, we propose and evaluate a FL strategy inspired by transfer learning in order to reduce resource utilization on devices, as well as the load on the server and network in each global training round. For each local model update, we randomly select layers to train, freezing the remaining part of the model. In doing so, we can reduce both server load and communication costs per round by excluding all untrained layer weights from being transferred to the server. The goal of this study is to empirically explore the potential trade-off between resource utilization on devices and global model convergence under the proposed strategy. We implement the approach using the FL framework FEDn. A number of experiments were carried out over different datasets (CIFAR-10, CASA, and IMDB), performing different tasks using different DL model architectures. Our results show that training the model partially can accelerate the training process, efficiently utilizes resources on-device, and reduce the data transmission by around 75% and 53% when we train 25%, and 50% of the model layers, respectively, without harming the resulting global model accuracy. Furthermore, our results demonstrate a negative correlation between the number of participating clients in the training process and the number of layers that need to be trained on each client's side. As the number of clients increases, there is a decrease in the required number of layers. This observation highlights the potential of the approach, particularly in cross-device use cases.</t>
  </si>
  <si>
    <t xml:space="preserve">[Alawadi, Sadi] Blekinge Inst Technol, Dept Comp Sci, S-37179 Karlskrona, Sweden; [Alawadi, Sadi] Univ Santiago De Compostela, Comp Graph &amp; Data Engn COGRADE Res Grp, Santiago De Compostela, Spain; [Ait-Mlouk, Addi] Univ Skovde, Sch Informat, Hogskolevagen 1, S-54128 Skovde, Sweden; [Toor, Salman; Hellander, Andreas] Uppsala Univ, Dept Informat Technol, Hus 10,Lagerhyddsvagen 1, S-75105 Uppsala, Sweden</t>
  </si>
  <si>
    <t xml:space="preserve">Blekinge Institute Technology; Universidade de Santiago de Compostela; University of Skovde; Uppsala University</t>
  </si>
  <si>
    <t xml:space="preserve">Alawadi, S (corresponding author), Blekinge Inst Technol, Dept Comp Sci, S-37179 Karlskrona, Sweden.;Alawadi, S (corresponding author), Univ Santiago De Compostela, Comp Graph &amp; Data Engn COGRADE Res Grp, Santiago De Compostela, Spain.</t>
  </si>
  <si>
    <t xml:space="preserve">sadi.alawadi@bth.se; addi.ait-mlouk@his.se; salman.toor@it.uu.se; andreas.hellander@it.uu.se</t>
  </si>
  <si>
    <t xml:space="preserve">ESSENCE strategic collaboration on eScience; Blekinge Institute of Technology (BTH)</t>
  </si>
  <si>
    <t xml:space="preserve">This work was funded by the eSSENCE strategic collaboration on eScience (Alawadi, Ait-Mlouk, Toor, and Hellander), and supported by Blekinge Institute of Technology (BTH). The authors also would like to thank SNIC for providing cloud resources.</t>
  </si>
  <si>
    <t xml:space="preserve">2192-6352</t>
  </si>
  <si>
    <t xml:space="preserve">2192-6360</t>
  </si>
  <si>
    <t xml:space="preserve">PROG ARTIF INTELL</t>
  </si>
  <si>
    <t xml:space="preserve">Prog. Artif. Intell.</t>
  </si>
  <si>
    <t xml:space="preserve">10.1007/s13748-024-00322-3</t>
  </si>
  <si>
    <t xml:space="preserve">XW8B1</t>
  </si>
  <si>
    <t xml:space="preserve">WOS:001242726300001</t>
  </si>
  <si>
    <t xml:space="preserve">Fakhouri, HN; Alawadi, S; Awaysheh, FM; Hamad, F; Alzubi, S; AlAdwan, MN</t>
  </si>
  <si>
    <t xml:space="preserve">Fakhouri, Hussam N.; Alawadi, Sadi; Awaysheh, Feras M.; Hamad, Faten; Alzubi, Sawsan; AlAdwan, Mohammad Naser</t>
  </si>
  <si>
    <t xml:space="preserve">An Overview of using of Artificial Intelligence in Enhancing Security and Privacy in Mobile Social Networks</t>
  </si>
  <si>
    <t xml:space="preserve">Mobile social networks; Security; Privacy; Artificial intelligence</t>
  </si>
  <si>
    <t xml:space="preserve">CHALLENGES; ISSUES</t>
  </si>
  <si>
    <t xml:space="preserve">Mobile Social Networks (MSNs) have emerged as pivotal platforms for communication, information dissemination, and social connection in contemporary society. As their prevalence escalates, so too do concerns regarding security and privacy. This paper presents a furnishes a detailed analysis of these pressing issues and elucidates how Artificial Intelligence (AI) can be instrumental in addressing them. The study thoroughly explores a spectrum of security and privacy challenges endemic to MSNs, such as data leakage, unauthorized access, cyberstalking, location privacy, and more. Additionally, the investigation expands to encompass problems like impersonation, phishing attacks, malware threats, information overload, user profiling, inadequate privacy policies, third-party application vulnerabilities, and privacy issues related to photos, videos, end-to-end encryption, Wi-Fi connections, and data retention. Each of these issues is dissected in depth, highlighting the potential risks and implications for users. Furthermore, the paper underlines how AI can provide in mitigating these problems, establishing its fundamental role in fortifying the security and privacy of MSNs. This thorough analysis offers valuable insights and feasible solutions using AI to bolster security and privacy in the ever-evolving landscape of Mobile Social Networks.</t>
  </si>
  <si>
    <t xml:space="preserve">[Fakhouri, Hussam N.] Univ Petra, Fac Informat Technol, Data Sci &amp; Artificial Intelligence Dept, Amman, Jordan; [Alawadi, Sadi] Blekinge Inst Technol, Dept Comp Sci, Karlskrona, Sweden; [Awaysheh, Feras M.] Univ Tartu, Tartu, Estonia; [Hamad, Faten] Sultan Qaboos Univ, Seeb, Oman; [Hamad, Faten] Univ Jordan, Amman, Jordan; [Alzubi, Sawsan] Tartu Univ, Tartu, Estonia; [AlAdwan, Mohammad Naser] Jerash Univ, Jerash, Jordan</t>
  </si>
  <si>
    <t xml:space="preserve">Petra University; Blekinge Institute Technology; University of Tartu; University of Jordan; University of Tartu</t>
  </si>
  <si>
    <t xml:space="preserve">Fakhouri, HN (corresponding author), Univ Petra, Fac Informat Technol, Data Sci &amp; Artificial Intelligence Dept, Amman, Jordan.</t>
  </si>
  <si>
    <t xml:space="preserve">Hussam.fakhouri@uop.edu.jo; sadi.alawadi@bth.se; feras.awaysheh@ut.ee; sawsanalzoubi34@gmail.com</t>
  </si>
  <si>
    <t xml:space="preserve">Awaysheh, Feras/AAG-7301-2019; fakhouri, hussam/A-3089-2016; alawadi, sadi/Q-8576-2016; Hamad, Faten/S-6262-2016</t>
  </si>
  <si>
    <t xml:space="preserve">Hamad, Faten/0000-0001-7548-0529</t>
  </si>
  <si>
    <t xml:space="preserve">10.1109/FMEC59375.2023.10305886</t>
  </si>
  <si>
    <t xml:space="preserve">WOS:001103180200006</t>
  </si>
  <si>
    <t xml:space="preserve">Andersson, M; Johansson, B; Niedomysl, T</t>
  </si>
  <si>
    <t xml:space="preserve">Andersson, Martin; Johansson, Borje; Niedomysl, Thomas</t>
  </si>
  <si>
    <t xml:space="preserve">Structural change in city systems evolution</t>
  </si>
  <si>
    <t xml:space="preserve">City systems; Evolution; Urban growth; Size distribution; Spatial interaction; Spatial interdependence; City networks; C21; L84; R11; R12; R30</t>
  </si>
  <si>
    <t xml:space="preserve">AGGLOMERATION ECONOMIES; INCREASING RETURNS; ZIPFS LAW; CITIES</t>
  </si>
  <si>
    <t xml:space="preserve">This paper analyzes city system dynamics, based on a theoretical framework relating interaction potentials to agglomeration economies and density externalities. It employs new historical time series data on population size of cities in Sweden over two centuries (1810-2010) and introduces two schematic growth factors: (i) the intra-city potential and (ii) the extra-city potential located in in rings encircling each city. The first factor is measured by each city's population size, while the second is a vector of distance-discounted population size for each of a city's urban rings. In this way, we can explain a city's growth as a function of its interaction potential inside the city, as well as inside the first, second hand third ring. A robust finding is that cities with large ring potentials follow different development paths than those with small ring potentials. We also find clear evidence of structural change between the two centuries 1810-1910 and 1910-2010. In the first period, city growth is positively impacted by the size of the intra-city potential, whereas the same potential dampens or reduces the growth in the second period. Moreover, the ring potentials outside the city tend to switch from having negative growth stimulation in the first period to having positive stimulation in the second period.</t>
  </si>
  <si>
    <t xml:space="preserve">[Andersson, Martin] Blekinge Inst Technol BTH, Dept Ind Econ, Karlskrona, Sweden; [Andersson, Martin] Swedish Entrepreneurship Forum, Stockholm, Sweden; [Andersson, Martin] Lund Univ, CIRCLE, Karlskrona, Sweden; [Johansson, Borje] Jonkoping Univ, Jonkoping, Sweden; [Niedomysl, Thomas] Stockholm Univ, Nordregio, Stockholm, Sweden; [Niedomysl, Thomas] Stockholm Univ, Dept Human Geog, Stockholm, Sweden</t>
  </si>
  <si>
    <t xml:space="preserve">Blekinge Institute Technology; Lund University; Jonkoping University; Stockholm University; Stockholm University</t>
  </si>
  <si>
    <t xml:space="preserve">Andersson, M (corresponding author), Blekinge Inst Technol BTH, Dept Ind Econ, Karlskrona, Sweden.;Andersson, M (corresponding author), Swedish Entrepreneurship Forum, Stockholm, Sweden.;Andersson, M (corresponding author), Lund Univ, CIRCLE, Karlskrona, Sweden.</t>
  </si>
  <si>
    <t xml:space="preserve">martin.andersson@bth.se; thomas.niedomysl@nordregio.org</t>
  </si>
  <si>
    <t xml:space="preserve">10.1007/s00168-024-01322-w</t>
  </si>
  <si>
    <t xml:space="preserve">WOS:001333424500002</t>
  </si>
  <si>
    <t xml:space="preserve">Braunerhjelm, P; Hepburn, C</t>
  </si>
  <si>
    <t xml:space="preserve">Braunerhjelm, Pontus; Hepburn, Cameron</t>
  </si>
  <si>
    <t xml:space="preserve">Climate change, complexity, and policy design</t>
  </si>
  <si>
    <t xml:space="preserve">OXFORD REVIEW OF ECONOMIC POLICY</t>
  </si>
  <si>
    <t xml:space="preserve">climate policy; urgency; trajectory; prices; multi-faceted measures</t>
  </si>
  <si>
    <t xml:space="preserve">POLYCENTRIC APPROACH; ECONOMICS</t>
  </si>
  <si>
    <t xml:space="preserve">The challenges of combatting climate change are unprecedented and now very urgent. Current approaches are not working fast enough. This paper, and this journal issue, conceive of the challenge as one of non-marginal structural and institutional change. Several different conceptual frameworks and pluralist theories are considered, emanating from complexity theory, economics, natural sciences, political economy, and strategy. These are deployed to identify potential accelerators, including synergies between climate action and other key political issues, and beneficial non-linear dynamics such as shifts in consumer preferences and technology learning curves. The delays in action also mean that removing carbon dioxide from the atmosphere is now necessary, and even unconventional geoengineering approaches may need to be considered. A pluralist and practical approach to climate action, accounting for different institutional and social contexts across countries, is argued to be required to accelerate action.</t>
  </si>
  <si>
    <t xml:space="preserve">[Braunerhjelm, Pontus] KTH Royal Inst Technol, Dept Ind Econ &amp; Management, Stockholm, Sweden; [Braunerhjelm, Pontus] Swedish Entrepreneurship Forum, Stockholm, Sweden; [Braunerhjelm, Pontus] Blekinge Inst Technol, Dept Ind Econ, Karlskrona, Sweden; [Hepburn, Cameron] Univ Oxford, Smith Sch Enterprise &amp; Environm, Oxford, England; [Hepburn, Cameron] Univ Oxford, New Coll, Oxford, England</t>
  </si>
  <si>
    <t xml:space="preserve">Royal Institute of Technology; Blekinge Institute Technology; University of Oxford; University of Oxford</t>
  </si>
  <si>
    <t xml:space="preserve">Braunerhjelm, P (corresponding author), KTH Royal Inst Technol, Dept Ind Econ &amp; Management, Stockholm, Sweden.;Braunerhjelm, P (corresponding author), Swedish Entrepreneurship Forum, Stockholm, Sweden.;Braunerhjelm, P (corresponding author), Blekinge Inst Technol, Dept Ind Econ, Karlskrona, Sweden.</t>
  </si>
  <si>
    <t xml:space="preserve">pontus.braunerhjelm@entreprenorskapsforum.se; cameron.hepburn@smithschool.ox.ac.uk</t>
  </si>
  <si>
    <t xml:space="preserve">Hepburn, Cameron/0000-0003-0467-7441</t>
  </si>
  <si>
    <t xml:space="preserve">0266-903X</t>
  </si>
  <si>
    <t xml:space="preserve">1460-2121</t>
  </si>
  <si>
    <t xml:space="preserve">OXFORD REV ECON POL</t>
  </si>
  <si>
    <t xml:space="preserve">Oxf. Rev. Econ. Policy</t>
  </si>
  <si>
    <t xml:space="preserve">NOV 22</t>
  </si>
  <si>
    <t xml:space="preserve">10.1093/oxrep/grad047</t>
  </si>
  <si>
    <t xml:space="preserve">Y8LA6</t>
  </si>
  <si>
    <t xml:space="preserve">WOS:001107708100006</t>
  </si>
  <si>
    <t xml:space="preserve">Brychko, M; Bilan, Y; Lyeonov, S; Streimikiene, D</t>
  </si>
  <si>
    <t xml:space="preserve">Brychko, Maryna; Bilan, Yuriy; Lyeonov, Serhiy; Streimikiene, Dalia</t>
  </si>
  <si>
    <t xml:space="preserve">Do changes in the business environment and sustainable development really matter for enhancing enterprise development?</t>
  </si>
  <si>
    <t xml:space="preserve">business environment; ecological dimension; economic dimension; enterprise development; renewable energy; SDGs; social dimension; sustainable development; sustainable energy policy</t>
  </si>
  <si>
    <t xml:space="preserve">INNOVATION; PERFORMANCE; PRINCIPLES; MANAGEMENT; VARIABLES; QUALITY; ECONOMY; IMPACT; SIZE</t>
  </si>
  <si>
    <t xml:space="preserve">The accomplishment of sustainable development goals has become a global initiative to encourage renewable energy, reduce wasteful energy consumption and increase investment in energy efficiency projects. The number of publications devoted to sustainable development, environmental protection and green investments is growing exponentially. Firstly, this study is committed to provide a comprehensive overview of research literature on enterprise development in decades-long, focusing on the sustainable development and business environment field. Secondly, it seeks to elaborate the most comprehensive structural model examining the multilateral and facilitative role of internal and external business environment changes in the relationship between sustainable development and enterprise development. A bibliometric analysis via VOSviewer was applied to detect and visualize the research trends and display the research status of enterprise development under the changes in the business environment and sustainable development. A confirmatory factor analysis and structural equation modeling were performed to develop, implement and verify a conceptual structural model examining the multilateral and facilitative role of internal and external business environment changes in the relationship between sustainable development and enterprise development. Mapping bibliographic data based on co-citation, co-occurrence, bibliographic coupling, and network and content analysis showed that generally, researchers had made significant efforts to investigate different links that arise between enterprises development, sustainable development, and business environment separately in different combinations. Structural equation modeling showed that the argument that sustainable development directly causes enterprise development is disputable since sustainable development focuses on changes in the internal and external business environment that eventually influence enterprise development, which in turn leads to a further new shift in the external environment.</t>
  </si>
  <si>
    <t xml:space="preserve">[Brychko, Maryna] Blekinge Inst Technol, Dept Ind Econ, Karlskrona, Sweden; [Brychko, Maryna; Lyeonov, Serhiy] Sumy State Univ, Acad &amp; Res Inst Business Econ &amp; Management, Sumy, Ukraine; [Bilan, Yuriy] Czech Univ Life Sci Prague, Fac Econ &amp; Management, Prague, Czech Republic; [Lyeonov, Serhiy] Silesian Tech Univ, Dept Appl Social Sci, Gliwice, Poland; [Lyeonov, Serhiy] London Acad Sci &amp; Business, London, England; [Streimikiene, Dalia] Lithuanian Energy Inst, Lab Energy Syst Res, Kaunas, Lithuania</t>
  </si>
  <si>
    <t xml:space="preserve">Blekinge Institute Technology; Ministry of Education &amp; Science of Ukraine; Sumy State University; Czech University of Life Sciences Prague; Silesian University of Technology; Lithuanian Energy Institute</t>
  </si>
  <si>
    <t xml:space="preserve">Streimikiene, D (corresponding author), Lithuanian Energy Inst, Kaunas, Lithuania.</t>
  </si>
  <si>
    <t xml:space="preserve">dalia.streimikiene@lei.lt</t>
  </si>
  <si>
    <t xml:space="preserve">Lyeonov, Serhiy/A-9659-2017; Bilan, Yuriy/ABC-6948-2021; Bilan, Yuriy/B-3119-2012; Brychko, Maryna/P-4841-2014; Streimikiene, Dalia/AAF-2180-2020</t>
  </si>
  <si>
    <t xml:space="preserve">Bilan, Yuriy/0000-0003-0268-009X; Lyeonov, Serhiy/0000-0001-5639-3008; Brychko, Maryna/0000-0002-9351-3280; Streimikiene, Dalia/0000-0002-3247-9912</t>
  </si>
  <si>
    <t xml:space="preserve">Ministry of Education and Science of Ukraine [0121U100469]</t>
  </si>
  <si>
    <t xml:space="preserve">Ministry of Education and Science of Ukraine, Grant/Award Number: 0121U100469</t>
  </si>
  <si>
    <t xml:space="preserve">10.1002/sd.2410</t>
  </si>
  <si>
    <t xml:space="preserve">C5SE5</t>
  </si>
  <si>
    <t xml:space="preserve">WOS:000854573400001</t>
  </si>
  <si>
    <t xml:space="preserve">Alsolai, H; Qureshi, S; Iqbal, SMZ; Vanichayobon, S; Henesey, LE; Lindley, C; Karrila, S</t>
  </si>
  <si>
    <t xml:space="preserve">Alsolai, Hadeel; Qureshi, Shahnawaz; Iqbal, Syed Muhammad Zeeshan; Vanichayobon, Sirirut; Henesey, Lawrence Edward; Lindley, Craig; Karrila, Seppo</t>
  </si>
  <si>
    <t xml:space="preserve">A Systematic Review of Literature on Automated Sleep Scoring</t>
  </si>
  <si>
    <t xml:space="preserve">Sleep; Feature extraction; Machine learning; Electroencephalography; Standards; Sleep apnea; Deep learning; Artificial neural network; deep learning; automatic sleep scoring system; big data; feature extraction; inter-rater variability; machine learning; sleep stages</t>
  </si>
  <si>
    <t xml:space="preserve">ARTIFICIAL NEURAL-NETWORK; TIME-FREQUENCY ANALYSIS; FULL-TERM NEWBORNS; REM-SLEEP; NONLINEAR-ANALYSIS; EEG SIGNALS; HUMAN ELECTROENCEPHALOGRAM; LYAPUNOV EXPONENT; FEATURE-SELECTION; SPECTRAL-ANALYSIS</t>
  </si>
  <si>
    <t xml:space="preserve">Sleep is a period of rest that is essential for functional learning ability, mental health, and even the performance of normal activities. Insomnia, sleep apnea, and restless legs are all examples of sleep-related issues that are growing more widespread. When appropriately analyzed, the recording of bio-electric signals, such as the Electroencephalogram, can tell how well we sleep. Improved analyses are possible due to recent improvements in machine learning and feature extraction, and they are commonly referred to as automatic sleep analysis to distinguish them from sleep data analysis by a human sleep expert. This study outlines a Systematic Literature Review and the results it provided to assess the present state-of-the-art in automatic analysis of sleep data. A search string was organized according to the PICO (Population, Intervention, Comparison, and Outcome) strategy in order to determine what machine learning and feature extraction approaches are used to generate an Automatic Sleep Scoring System. The American Academy of Sleep Medicine and Rechtschaffen &amp; Kales are the two main scoring standards used in contemporary research, according to the report. Other types of sensors, such as Electrooculography, are employed in addition to Electroencephalography to automatically score sleep. Furthermore, the existing research on parameter tuning for machine learning models that was examined proved to be incomplete. Based on our findings, different sleep scoring standards, as well as numerous feature extraction and machine learning algorithms with parameter tuning, have a high potential for developing a reliable and robust automatic sleep scoring system for supporting physicians. In the context of the sleep scoring problem, there are evident gaps that need to be investigated in terms of automatic feature engineering techniques and parameter tuning in machine learning algorithms.</t>
  </si>
  <si>
    <t xml:space="preserve">[Alsolai, Hadeel] Princess Nourah Bint Abdulrahman Univ, Dept Informat Syst, Coll Comp &amp; Informat Sci, Riyadh 11671, Saudi Arabia; [Qureshi, Shahnawaz] Natl Univ Comp &amp; Emerging Sci, Dept Comp Sci, Fasialabad 38000, Pakistan; [Iqbal, Syed Muhammad Zeeshan] BrightWare LLC, Res &amp; Dev, Riyadh 13323, Saudi Arabia; [Vanichayobon, Sirirut] Prince Songkla Univ, Dept Comp Sci, Hat Yai 90110, Thailand; [Henesey, Lawrence Edward] Blekinge Inst Technol, S-37424 Karlshamn, Sweden; [Henesey, Lawrence Edward] DP World, Karlshamn 37424, Sweden; [Lindley, Craig] CSIRO Data 61, Pullenvale, Qld 4069, Australia; [Karrila, Seppo] Prince Songkla Univ, Fac Sci &amp; Ind Technol, Surat Thani Campus, Muang 84000, Surat Thani, Thailand</t>
  </si>
  <si>
    <t xml:space="preserve">Princess Nourah bint Abdulrahman University; Prince of Songkla University; Blekinge Institute Technology; Commonwealth Scientific &amp; Industrial Research Organisation (CSIRO); Prince of Songkla University</t>
  </si>
  <si>
    <t xml:space="preserve">Alsolai, H (corresponding author), Princess Nourah Bint Abdulrahman Univ, Dept Informat Syst, Coll Comp &amp; Informat Sci, Riyadh 11671, Saudi Arabia.;Qureshi, S (corresponding author), Natl Univ Comp &amp; Emerging Sci, Dept Comp Sci, Fasialabad 38000, Pakistan.;Vanichayobon, S (corresponding author), Prince Songkla Univ, Dept Comp Sci, Hat Yai 90110, Thailand.</t>
  </si>
  <si>
    <t xml:space="preserve">haalsolai@pnu.edu.sa; Shahnawaz.qureshi@nu.edu.pk; sirirut.v@psu.ac.th</t>
  </si>
  <si>
    <t xml:space="preserve">qureshi, shahnawaz/GRY-4666-2022; Karrila, Seppo/AAT-5271-2020; Iqbal, Muhammad/AAZ-8813-2020; Alsolai, Hadeel/HSG-1200-2023; Henesey, Lawrence/AFP-0796-2022</t>
  </si>
  <si>
    <t xml:space="preserve">Henesey, Lawrence/0000-0002-0518-6532; Alsolai, Hadeel/0000-0002-4897-8038; Karrila, Seppo/0000-0002-2818-6746; qureshi, shahnawaz/0000-0003-0458-0076</t>
  </si>
  <si>
    <t xml:space="preserve">Princess Nourah bint Abdulrahman University, Riyadh, Saudi Arabia [PNURSP2022R303]</t>
  </si>
  <si>
    <t xml:space="preserve">Princess Nourah bint Abdulrahman University, Riyadh, Saudi Arabia(Princess Nourah bint Abdulrahman University)</t>
  </si>
  <si>
    <t xml:space="preserve">This work was supported by the Princess Nourah bint Abdulrahman University Researchers Supporting Project number (PNURSP2022R303), Princess Nourah bint Abdulrahman University, Riyadh, Saudi Arabia.</t>
  </si>
  <si>
    <t xml:space="preserve">10.1109/ACCESS.2022.3194145</t>
  </si>
  <si>
    <t xml:space="preserve">3O1LR</t>
  </si>
  <si>
    <t xml:space="preserve">WOS:000836601900001</t>
  </si>
  <si>
    <t xml:space="preserve">Rainer, A; Williams, A; Garousi, V; Felderer, M</t>
  </si>
  <si>
    <t xml:space="preserve">Rainer, Austen; Williams, Ashley; Garousi, Vahid; Felderer, Michael</t>
  </si>
  <si>
    <t xml:space="preserve">Retrieving and mining professional experience of software practice from grey literature: an exploratory review</t>
  </si>
  <si>
    <t xml:space="preserve">data mining; professional aspects; information retrieval; document handling; DP industry; social networking (online); classification; software professional; software practice; professional experience mining; grey literature; practitioner self report mining; practitioner self report retrieval; social media platform</t>
  </si>
  <si>
    <t xml:space="preserve">Retrieving and mining practitioners' self-reports of their professional experience of software practice could provide valuable evidence for research. The authors are, however, unaware of any existing reviews of research conducted in this area. The authors reviewed and classified previous research, and identified insights into the challenges research confronts when retrieving and mining practitioners' self-reports of their experience of software practice. They conducted an exploratory review to identify and classify 42 studies. They analysed a selection of those studies for insights on challenges to mining professional experience. They identified only one directly relevant study. Even then this study concerns the software professional's emotional experiences rather than the professional's reporting of behaviour and events occurring during software practice. They discussed the challenges concerning: the prevalence of professional experience; definitions, models and theories; the sparseness of data; units of discourse analysis; annotator agreement; evaluation of the performance of algorithms; and the lack of replications. No directly relevant prior research appears to have been conducted in this area. They discussed the value of reporting negative results in secondary studies. There are a range of research opportunities but also considerable challenges. They formulated a set of guiding questions for further research in this area.</t>
  </si>
  <si>
    <t xml:space="preserve">[Rainer, Austen; Garousi, Vahid] Queens Univ Belfast, Sch Elect Elect Engn &amp; Comp Sci, Belfast, Antrim, North Ireland; [Williams, Ashley] Manchester Metropolitan Univ, Dept Comp &amp; Math, Manchester, Lancs, England; [Felderer, Michael] Univ Innsbruck, Dept Comp Sci, Innsbruck, Austria; [Felderer, Michael] Blekinge Inst Technol, Dept Software Engn, Karlskrona, Sweden</t>
  </si>
  <si>
    <t xml:space="preserve">Queens University Belfast; Manchester Metropolitan University; University of Innsbruck; Blekinge Institute Technology</t>
  </si>
  <si>
    <t xml:space="preserve">Williams, A (corresponding author), Manchester Metropolitan Univ, Dept Comp &amp; Math, Manchester, Lancs, England.</t>
  </si>
  <si>
    <t xml:space="preserve">Ashley.Williams@mmu.ac.uk</t>
  </si>
  <si>
    <t xml:space="preserve">Rainer, Austen/0000-0001-8868-263X; Williams, Ashley/0000-0002-6888-0521</t>
  </si>
  <si>
    <t xml:space="preserve">INST ENGINEERING TECHNOLOGY-IET</t>
  </si>
  <si>
    <t xml:space="preserve">HERTFORD</t>
  </si>
  <si>
    <t xml:space="preserve">MICHAEL FARADAY HOUSE SIX HILLS WAY STEVENAGE, HERTFORD SG1 2AY, ENGLAND</t>
  </si>
  <si>
    <t xml:space="preserve">10.1049/iet-sen.2020.0109</t>
  </si>
  <si>
    <t xml:space="preserve">PB8NS</t>
  </si>
  <si>
    <t xml:space="preserve">WOS:000596571800008</t>
  </si>
  <si>
    <t xml:space="preserve">Faludi, J; Hoffenson, S; Kwok, SY; Saidani, M; Hallstedt, SI; Telenko, C; Martinez, V</t>
  </si>
  <si>
    <t xml:space="preserve">Faludi, Jeremy; Hoffenson, Steven; Kwok, Sze Yin; Saidani, Michael; Hallstedt, Sophie, I; Telenko, Cassandra; Martinez, Victor</t>
  </si>
  <si>
    <t xml:space="preserve">A Research Roadmap for Sustainable Design Methods and Tools</t>
  </si>
  <si>
    <t xml:space="preserve">sustainable design; design methodologies; product development; design methods and tools; research agenda; industry adoption</t>
  </si>
  <si>
    <t xml:space="preserve">ECODESIGN TOOLS; CONCEPTUAL-FRAMEWORK; PRODUCT DESIGN; INNOVATION; IMPLEMENTATION; INFORMATION; EXPERIENCE; MANAGEMENT; TAXONOMY; BARRIERS</t>
  </si>
  <si>
    <t xml:space="preserve">Sustainable design methods and tools abound, but their implementation in practice remains marginal. This article brings together results from previous literature reviews and analyses of sustainable design methods and tools, as well as input from design researchers and professional practitioners to identify the needs and gaps in the area. It results in a shared vision of how sustainable design methods and tools can be more tightly integrated into mainstream product design and development, as well as the current state of practice and research in relation to four central questions: What are the needs and values of industry regarding sustainable design? What improvements in sustainable design methods and tools would most drive industry forward? How should researchers move forward with developing more useful sustainable design methods and tools? How can sustainable design be more effectively integrated into industry? A roadmap for the international sustainable design research community is proposed with descriptions of short-, medium-, and long-term tasks for addressing each question. The purpose is to support collective progress and discussions on method and tool development and adoption, and to enable more tangible success in mainstreaming sustainable design practices in industry.</t>
  </si>
  <si>
    <t xml:space="preserve">[Faludi, Jeremy] Delft Univ Technol, Fac Ind Design Engn, NL-2629 HS Delft, Netherlands; [Hoffenson, Steven] Stevens Inst Technol, Sch Syst &amp; Enterprises, Hoboken, NJ 07030 USA; [Kwok, Sze Yin; Hallstedt, Sophie, I] Blekinge Inst Technol, Dept Strateg Sustainable Dev, SE-37179 Karlskrona, Sweden; [Saidani, Michael] Univ Paris Saclay, CentraleSupelec, Ind Engn, F-91192 Paris, France; [Telenko, Cassandra] Ford Motor Co, Detroit, MI 48234 USA; [Martinez, Victor] Kwantlen Polytech Univ, Wilson Sch Design, Surrey, BC V3W 2M8, Canada</t>
  </si>
  <si>
    <t xml:space="preserve">Delft University of Technology; Stevens Institute of Technology; Blekinge Institute Technology; Universite Paris Saclay; Ford Motor Company</t>
  </si>
  <si>
    <t xml:space="preserve">Faludi, J (corresponding author), Delft Univ Technol, Fac Ind Design Engn, NL-2629 HS Delft, Netherlands.</t>
  </si>
  <si>
    <t xml:space="preserve">j.faludi@tudelft.nl; shoffens@stevens.edu; sze.yin.kwok@bth.se; saidani.michael@gmail.com; sophie.hallstedt@bth.se; ctelenko@ford.com; victor.martinez@kpu.ca</t>
  </si>
  <si>
    <t xml:space="preserve">Saidani, Michael/A-3529-2017; Martinez, Victor/JZE-5230-2024; Kwok, Sze/AEZ-2160-2022; Faludi, Jeremy/KHU-5051-2024</t>
  </si>
  <si>
    <t xml:space="preserve">Kwok, Sze Yin/0000-0003-4703-8519; Saidani, Michael/0000-0002-8269-4477; Hoffenson, Steven/0000-0002-2200-3638; I. Hallstedt, Sophie/0000-0002-7382-1825; Faludi, Jeremy/0000-0002-9673-5305</t>
  </si>
  <si>
    <t xml:space="preserve">10.3390/su12198174</t>
  </si>
  <si>
    <t xml:space="preserve">ON1FU</t>
  </si>
  <si>
    <t xml:space="preserve">WOS:000586456900001</t>
  </si>
  <si>
    <t xml:space="preserve">Aguinis, H; Kraus, S; Pocek, J; Meyer, N; Jensen, SH</t>
  </si>
  <si>
    <t xml:space="preserve">Aguinis, Herman; Kraus, Sascha; Pocek, Jasna; Meyer, Natanya; Jensen, Soren H.</t>
  </si>
  <si>
    <t xml:space="preserve">The why, how, and what of public policy implications of tourism and hospitality research</t>
  </si>
  <si>
    <t xml:space="preserve">TOURISM MANAGEMENT</t>
  </si>
  <si>
    <t xml:space="preserve">Public policy; Tourism; Hospitality; Policy; Societal impact; Tourism relevance; Hospitality relevance; Policy -making</t>
  </si>
  <si>
    <t xml:space="preserve">ECONOMIC-IMPACT; INNOVATION; IMPLEMENTATION; MANAGEMENT; KNOWLEDGE; INDUSTRY; SCIENCE; GAP; TRANSITIONS; PERSPECTIVE</t>
  </si>
  <si>
    <t xml:space="preserve">We synthesized policy implications of tourism and hospitality research by reviewing 12,269 articles published in 10 leading journals from 2011 to 2021. The most common rationale for policies (i.e., the why) is market failure, while the most typical role of policies (i.e., the how) is to create incentives. In addition, policies are typically hybrid and include suggestions for formal and informal institutional setups (i.e., the what). Because our review revealed that only 114 articles (i.e., 0.93%) included the why, how, and what of actual policies, we offer a theory-based research agenda on policy-making focused on making tourism and hospitality more inclusive and focusing on evolutionary dynamics, providing an understanding of the impact of crises and contemporary so-lutions, focusing on resilience and institutional complexity, and addressing the actors and time dimension. Our results, combined with those of our suggested research directions, will benefit organizations and society and simultaneously enhance the perceived societal value-added, contributions, and stature of tourism and hospitality research.</t>
  </si>
  <si>
    <t xml:space="preserve">[Aguinis, Herman] George Washington Univ, Sch Business, Funger Hall,Suite 311,2201 G St NW, Washington, DC 20052 USA; [Kraus, Sascha; Pocek, Jasna] Free Univ Bozen Bolzano, Fac Econ &amp; Management, I-39100 Bolzano, Italy; [Kraus, Sascha; Meyer, Natanya] Univ Johannesburg, Dept Business Management, SARChI Entrepreneurship Educ, ZA-2006 Auckland Pk, South Africa; [Pocek, Jasna] Blekinge Inst Technol, Valhallavagen 1, S-37141 Karlskrona, Sweden; [Jensen, Soren H.] Copenhagen Business Sch, Porcelaenshaven 18B, DK-2000 Frederiksberg, Denmark</t>
  </si>
  <si>
    <t xml:space="preserve">George Washington University; Free University of Bozen-Bolzano; University of Johannesburg; Blekinge Institute Technology; Copenhagen Business School</t>
  </si>
  <si>
    <t xml:space="preserve">Kraus, S (corresponding author), Free Univ Bozen Bolzano, Fac Econ &amp; Management, I-39100 Bolzano, Italy.</t>
  </si>
  <si>
    <t xml:space="preserve">sascha.kraus@zfke.de</t>
  </si>
  <si>
    <t xml:space="preserve">Kraus, Sascha/HCH-3626-2022; Meyer, Natanya/T-9821-2017; Aguinis, Herman/M-2918-2014</t>
  </si>
  <si>
    <t xml:space="preserve">Kraus, Sascha/0000-0003-4886-7482; Aguinis, Herman/0000-0002-3485-9484; Pocek, Jasna/0000-0002-6362-2320</t>
  </si>
  <si>
    <t xml:space="preserve">project Policy Implications of Management Research (POLICY) by the Free University of Bozen-Bolzano [WW2819]</t>
  </si>
  <si>
    <t xml:space="preserve">project Policy Implications of Management Research (POLICY) by the Free University of Bozen-Bolzano</t>
  </si>
  <si>
    <t xml:space="preserve">This work was supported by the project Policy Implications of Management Research (POLICY) WW2819 provided by the Free University of Bozen-Bolzano.</t>
  </si>
  <si>
    <t xml:space="preserve">0261-5177</t>
  </si>
  <si>
    <t xml:space="preserve">1879-3193</t>
  </si>
  <si>
    <t xml:space="preserve">TOURISM MANAGE</t>
  </si>
  <si>
    <t xml:space="preserve">Tourism Manage.</t>
  </si>
  <si>
    <t xml:space="preserve">10.1016/j.tourman.2023.104720</t>
  </si>
  <si>
    <t xml:space="preserve">Environmental Studies; Hospitality, Leisure, Sport &amp; Tourism; Management</t>
  </si>
  <si>
    <t xml:space="preserve">Environmental Sciences &amp; Ecology; Social Sciences - Other Topics; Business &amp; Economics</t>
  </si>
  <si>
    <t xml:space="preserve">C3WP5</t>
  </si>
  <si>
    <t xml:space="preserve">WOS:000961260600001</t>
  </si>
  <si>
    <t xml:space="preserve">On researcher bias in Software Engineering experiments</t>
  </si>
  <si>
    <t xml:space="preserve">Researcher bias; Experimenter bias; Survey; Blinding</t>
  </si>
  <si>
    <t xml:space="preserve">Researcher bias occurs when researchers influence the results of an empirical study based on their expectations, either consciously or unconsciously. Researcher bias might be due to the use of Questionable Research Practices (QRPs). In research fields like medicine, blinding techniques have been applied to counteract researcher bias. In this paper, we present two studies to increase our body of knowledge on researcher bias in Software Engineering (SE) experiments, including: (i) QRPs potentially leading to researcher bias; (ii) causes behind researcher bias; and (iii) possible actions to counteract researcher bias with a focus on, but not limited to, blinding techniques. The former is an interview study, intended as an exploratory study, with nine experts of the empirical SE community. The latter is a quantitative survey with 51 respondents, who were experts of the above-mentioned community. The findings from the exploratory study represented the starting point to design the survey. In particular, we defined the questionnaire of this survey to support the findings from the exploratory study. From the interview study, it emerged that some QRPs (e.g., post-hoc outlier criteria) are acceptable in certain cases. Also, it appears that researcher bias is perceived in SE and, to counteract researcher bias, a number of solutions have been highlighted. For example, duplicating the data analysis in SE experiments or fostering open data policies in SE conferences/journals. The findings from the interview study are mostly confirmed by those from the survey, and allowed us to delineate recommendations to counteract researcher bias in SE experiments. Some recommendations are intended for SE researchers, while others are purposeful for the boards of SE research venues. (C) 2021 Elsevier Inc. All rights reserved.</t>
  </si>
  <si>
    <t xml:space="preserve">[Romano, Simone; Baldassarre, Maria Teresa] Univ Bari, Bari, Italy; [Fucci, Davide] Blekinge Inst Technol, Karlskrona, Sweden; [Scanniello, Giuseppe] Univ Basilicata, Potenza, Italy; [Turhan, Burak] Univ Oulu, Oulu, Finland; [Turhan, Burak] Monash Univ, Melbourne, Vic, Australia; [Juristo, Natalia] Univ Politecn Madrid, Madrid, Spain</t>
  </si>
  <si>
    <t xml:space="preserve">Universita degli Studi di Bari Aldo Moro; Blekinge Institute Technology; University of Basilicata; University of Oulu; Monash University; Universidad Politecnica de Madrid</t>
  </si>
  <si>
    <t xml:space="preserve">simone.romano@uniba.it; davide.fucci@bth.se; giuseppe.scanniello@unibas.it; mariateresa.baldassarre@uniba.it; burak.turhan@oulu.fi; natalia@fi.upm.es</t>
  </si>
  <si>
    <t xml:space="preserve">Romano, Simone/JVZ-6529-2024; Turhan, Burak/G-7400-2011; Fucci, Davide/C-1463-2015</t>
  </si>
  <si>
    <t xml:space="preserve">baldassarre, maria teresa/0000-0001-8589-2850; Romano, Simone/0000-0003-4880-3622; Turhan, Burak/0000-0003-1511-2163; Fucci, Davide/0000-0002-0679-4361</t>
  </si>
  <si>
    <t xml:space="preserve">10.1016/j.jss.2021.111068</t>
  </si>
  <si>
    <t xml:space="preserve">UR8YO</t>
  </si>
  <si>
    <t xml:space="preserve">WOS:000697027700003</t>
  </si>
  <si>
    <t xml:space="preserve">Fagerholm, F; Felderer, M; Fucci, D; Unterkalmsteiner, M; Marculescu, B; Martini, M; Tengberg, LGW; Feldt, R; Lehtelä, B; Nagyváradi, B; Khattak, J</t>
  </si>
  <si>
    <t xml:space="preserve">Fagerholm, Fabian; Felderer, Michael; Fucci, Davide; Unterkalmsteiner, Michael; Marculescu, Bogdan; Martini, Markus; Tengberg, Lars Goran Wallgren; Feldt, Robert; Lehtela, Bettina; Nagyvaradi, Balazs; Khattak, Jehan</t>
  </si>
  <si>
    <t xml:space="preserve">Cognition in Software Engineering: A Taxonomy and Survey of a Half-Century of Research</t>
  </si>
  <si>
    <t xml:space="preserve">Cognition; cognitive concepts; psychology of programming; human factors; measurement; taxonomy</t>
  </si>
  <si>
    <t xml:space="preserve">REQUIREMENTS; PSYCHOLOGY; MANAGEMENT; EMOTION; DESIGN</t>
  </si>
  <si>
    <t xml:space="preserve">Cognition plays a fundamental role in most software engineering activities. This article provides a taxonomy of cognitive concepts and a survey of the literature since the beginning of the Software Engineering discipline. The taxonomy comprises the top-level concepts of perception, attention, memory, cognitive load, reasoning, cognitive biases, knowledge, social cognition, cognitive control, and errors, and procedures to assess them both qualitatively and quantitatively. The taxonomy provides a useful tool to filter existing studies, classify new studies, and support researchers in getting familiar with a (sub) area. In the literature survey, we systematically collected and analysed 311 scientific papers spanning five decades and classified them using the cognitive concepts from the taxonomy. Our analysis shows that the most developed areas of research correspond to the four life-cycle stages, software requirements, design, construction, and maintenance. Most research is quantitative and focuses on knowledge, cognitive load, memory, and reasoning. Overall, the state of the art appears fragmented when viewed from the perspective of cognition. There is a lack of use of cognitive concepts that would represent a coherent picture of the cognitive processes active in specific tasks. Accordingly, we discuss the research gap in each cognitive concept and provide recommendations for future research.</t>
  </si>
  <si>
    <t xml:space="preserve">[Fagerholm, Fabian; Lehtela, Bettina; Nagyvaradi, Balazs; Khattak, Jehan] Aalto Univ, POB 15400, FI-00076 Espoo, Finland; [Fagerholm, Fabian; Felderer, Michael; Fucci, Davide; Unterkalmsteiner, Michael; Feldt, Robert] Blekinge Inst Technol, Valhallavagen 1, S-37141 Karlskrona, Sweden; [Felderer, Michael; Martini, Markus] Univ Innsbruck, Technikerstr 21a, A-6020 Innsbruck, Austria; [Marculescu, Bogdan] Kristiania Univ Coll, PB 1190 Sentrum, N-0107 Oslo, Norway; [Tengberg, Lars Goran Wallgren] Univ Gothenburg, Box 100, S-40530 Gothenburg, Sweden; [Feldt, Robert] Chalmers Univ Technol, Chalmersplatsen 4, S-41296 Gothenburg, Sweden</t>
  </si>
  <si>
    <t xml:space="preserve">Aalto University; Blekinge Institute Technology; University of Innsbruck; Kristiania University College; University of Gothenburg; Chalmers University of Technology</t>
  </si>
  <si>
    <t xml:space="preserve">Fagerholm, F (corresponding author), Aalto Univ, POB 15400, FI-00076 Espoo, Finland.;Fagerholm, F (corresponding author), Blekinge Inst Technol, Valhallavagen 1, S-37141 Karlskrona, Sweden.</t>
  </si>
  <si>
    <t xml:space="preserve">fabian.fagerholm@aalto.fi; michael.felderer@uibk.ac.at; davide.fucci@bth.se; michael.unterkalmsteiner@bth.se; bogdan.marculescu@kristiania.no; markus.martini@uibk.ac.at; larsgoran.wallgren@psy.gu.se; robert.feldt@chalmers.se; bettina.lehtela@aalto.fi; balazs.nagyvaradi@aalto.fi; jehan.khattak@aalto.fi</t>
  </si>
  <si>
    <t xml:space="preserve">Felderer, Michael/AAF-4909-2020; Martini, Markus/AAH-7651-2020; Fucci, Davide/C-1463-2015; Fagerholm, Fabian/B-1952-2015</t>
  </si>
  <si>
    <t xml:space="preserve">Fagerholm, Fabian/0000-0002-7298-3021</t>
  </si>
  <si>
    <t xml:space="preserve">11S</t>
  </si>
  <si>
    <t xml:space="preserve">10.1145/3508359</t>
  </si>
  <si>
    <t xml:space="preserve">6J6JT</t>
  </si>
  <si>
    <t xml:space="preserve">WOS:000886929000001</t>
  </si>
  <si>
    <t xml:space="preserve">Yavariabdi, A; Kusetogullari, H; Orhan, O; Uray, E; Demir, V; Celik, T; Mendi, E</t>
  </si>
  <si>
    <t xml:space="preserve">Yavariabdi, Amir; Kusetogullari, Huseyin; Orhan, Osman; Uray, Esra; Demir, Vahdettin; Celik, Turgay; Mendi, Engin</t>
  </si>
  <si>
    <t xml:space="preserve">SinkholeNet: A novel RGB-slope sinkhole dataset and deep weakly-supervised learning framework for sinkhole classification and localization</t>
  </si>
  <si>
    <t xml:space="preserve">EGYPTIAN JOURNAL OF REMOTE SENSING AND SPACE SCIENCES</t>
  </si>
  <si>
    <t xml:space="preserve">Sinkhole classification; Sinkhole localization; Multimodal deep learning; Weakly-supervised; RGB-slope dataset polariton</t>
  </si>
  <si>
    <t xml:space="preserve">This paper proposes a novel multimodal deep weakly-supervised learning framework, SinkholeNet, to classify and localize sinkhole(s) in high-resolution RGB-slope aerial images. The SinkholeNet first employs a multimodal Convolutional Neural Network (CNN) architecture that simultaneously extracts features from the input RGB image and ground slope map and then fuses the extracted features. It then uses an improved ShuffleNet architecture on the fused features to classify patches as sinkholes or non-sinkholes. Finally, the last extracted feature maps, belonging to the sinkhole class, are used as input of gradient-weighted class activation mapping (Grad-CAM) to localize sinkhole(s) in a weakly-supervised setting. The proposed weakly-supervised framework intends to increase the available labeled data for training and decrease the cost of human annotation. We also introduce a novel publicly available weakly labeled sinkhole dataset comprising RGB-slope paired image patches to support reproducible research. The experimental results on the newly introduced dataset show that the SinkholeNet outperforms the other methods considered in this paper both for sinkhole classification and localization.</t>
  </si>
  <si>
    <t xml:space="preserve">[Yavariabdi, Amir] KTO Karatay Univ, Fac Engn, Dept Mechatron, Alaaddin Kap Cd 130, TR-42020 Konya, Turkiye; [Kusetogullari, Huseyin] Blekinge Inst Technol, Dept Comp Sci, S-37141 Karlskrona, Sweden; [Orhan, Osman] Mersin Univ, Fac Engn, Dept Remote Sensing &amp; GIS, Mersin, Turkiye; [Uray, Esra; Demir, Vahdettin] KTO Karatay Univ, Dept Civil Engn, Konya, Turkiye; [Celik, Turgay] Univ Witwatersrand, Sch Elect &amp; Informat Engn, Johannesburg, South Africa; [Mendi, Engin] Kimep Univ, Dept Operat Management &amp; Informat Syst, Alma Ata, Kazakhstan</t>
  </si>
  <si>
    <t xml:space="preserve">KTO Karatay University; Blekinge Institute Technology; Mersin University; KTO Karatay University; University of Witwatersrand; KIMEP University</t>
  </si>
  <si>
    <t xml:space="preserve">Yavariabdi, A (corresponding author), KTO Karatay Univ, Fac Engn, Dept Mechatron, Alaaddin Kap Cd 130, TR-42020 Konya, Turkiye.</t>
  </si>
  <si>
    <t xml:space="preserve">amir.yavariabdi@gmail.com; huseyinkusetogullari@gmail.com; osmanorhan@mersin.edu.tr; esra.uray@karatay.edu.tr; vahdettin.demir@karatay.edu.tr; celikturgay@gmail.com; e.mendi@kimep.kz</t>
  </si>
  <si>
    <t xml:space="preserve">Kusetogullari, Huseyin/IAQ-0788-2023; orhan, osman/W-6764-2019; Uray, Esra/AAZ-5765-2021; Celik, Turgay/Q-9713-2018; DEMIR, Vahdettin/AAD-3764-2020</t>
  </si>
  <si>
    <t xml:space="preserve">Celik, Turgay/0000-0001-6925-6010; orhan, osman/0000-0002-1362-8206; DEMIR, Vahdettin/0000-0002-6590-5658; Uray, Esra/0000-0002-1121-2880</t>
  </si>
  <si>
    <t xml:space="preserve">1110-9823</t>
  </si>
  <si>
    <t xml:space="preserve">2090-2476</t>
  </si>
  <si>
    <t xml:space="preserve">EGYPT J REMOTE SENS</t>
  </si>
  <si>
    <t xml:space="preserve">Egypt. J. Remote Sens. Space Sci.</t>
  </si>
  <si>
    <t xml:space="preserve">10.1016/j.ejrs.2023.10.006</t>
  </si>
  <si>
    <t xml:space="preserve">Environmental Sciences; Remote Sensing</t>
  </si>
  <si>
    <t xml:space="preserve">Environmental Sciences &amp; Ecology; Remote Sensing</t>
  </si>
  <si>
    <t xml:space="preserve">AI0J3</t>
  </si>
  <si>
    <t xml:space="preserve">WOS:001117715600001</t>
  </si>
  <si>
    <t xml:space="preserve">Steinmacher, I; Clarke, P; Tuzun, E; Britto, R</t>
  </si>
  <si>
    <t xml:space="preserve">Steinmacher, Igor; Clarke, Paul; Tuzun, Eray; Britto, Ricardo</t>
  </si>
  <si>
    <t xml:space="preserve">Best papers of the 14th International Conference on Software and System Processes (ICSSP 2020) and 15th International Conference on Global Software Engineering (ICGSE 2020)</t>
  </si>
  <si>
    <t xml:space="preserve">global software engineering; software process; Machine Learning</t>
  </si>
  <si>
    <t xml:space="preserve">Today's software industry is global, virtual, and depending more than ever on strong and reliable processes. Stakeholders and infrastructure are distributed across the globe, posing challenges that go beyond those with co-located teams and servers. Software Engineering continues to be a complex undertaking, with projects challenged to meet expectations, especially regarding costs. We know that Software Engineering is an ever-changing discipline, with the result that firms and their employees must regularly embrace new methods, tools, technologies, and processes. In 2020, the International Conference on Global Software Engineering (ICGSE) and the International Conference on Systems and Software Processes (ICSSP) joined forces aiming to create a holistic understanding of the software landscape both from the perspective of human and infrastructure distribution and also the processes to support software development. Unfortunately, these challenges have become even more personal to many more in 2020 due to the disruption introduced by the COVID-19 pandemic, which forced both conferences to be held virtually. As an outcome of the joint event, we selected a set of the best papers from the two conferences, which were invited to submit extended versions to this Special Issue in the Journal of Software: Maintenance and Evolution. Dedicated committees were established to identify the best papers. Eight papers were invited and ultimately, seven of these invited papers have made it into this Special Issue.</t>
  </si>
  <si>
    <t xml:space="preserve">[Steinmacher, Igor] No Arizona Univ, Flagstaff, AZ 86011 USA; [Clarke, Paul] Dublin City Univ, Dublin, Ireland; [Clarke, Paul] LERO, Limerick, Ireland; [Tuzun, Eray] Bilkent Univ, Ankara, Turkiye; [Britto, Ricardo] Ericsson AB, Karskrona, Sweden; [Britto, Ricardo] Blekinge Inst Technol, Karskrona, Sweden</t>
  </si>
  <si>
    <t xml:space="preserve">Northern Arizona University; Dublin City University; University of Limerick; Ihsan Dogramaci Bilkent University; Ericsson; Blekinge Institute Technology</t>
  </si>
  <si>
    <t xml:space="preserve">Steinmacher, I (corresponding author), No Arizona Univ, Flagstaff, AZ 86011 USA.</t>
  </si>
  <si>
    <t xml:space="preserve">igor.steinmacher@nau.edu</t>
  </si>
  <si>
    <t xml:space="preserve">Clarke, Paul/JAX-9606-2023; Igor, Steinmacher/B-6414-2012; Tuzun, Eray/AAD-7282-2021; Tuzun, Eray/B-5949-2018; Steinmacher, Igor/H-2709-2012</t>
  </si>
  <si>
    <t xml:space="preserve">Clarke, Paul/0000-0002-4487-627X; Tuzun, Eray/0000-0002-5550-7816; Steinmacher, Igor/0000-0002-0612-5790</t>
  </si>
  <si>
    <t xml:space="preserve">e2544</t>
  </si>
  <si>
    <t xml:space="preserve">10.1002/smr.2544</t>
  </si>
  <si>
    <t xml:space="preserve">E6KV9</t>
  </si>
  <si>
    <t xml:space="preserve">WOS:000941041900001</t>
  </si>
  <si>
    <t xml:space="preserve">Widén, C; Holmer, H; Sättlin, S; Renvert, S; Lernmark, A; Persson, GR</t>
  </si>
  <si>
    <t xml:space="preserve">Widen, Cecilia; Holmer, Helene; Sattlin, Susanna; Renvert, Stefan; Lernmark, Ake; Persson, G. Rutger</t>
  </si>
  <si>
    <t xml:space="preserve">Periodontal conditions, retinopathy, and serum markers in individuals with type 1 diabetes</t>
  </si>
  <si>
    <t xml:space="preserve">JOURNAL OF PERIODONTOLOGY</t>
  </si>
  <si>
    <t xml:space="preserve">diabetes immunology; periodontal-systemic disease interactions; periodontitis</t>
  </si>
  <si>
    <t xml:space="preserve">RISK-FACTORS; AUTOANTIBODIES; PROGRESSION; CLASSIFICATION; COMPLICATIONS; PREVALENCE; POSITIVITY; DURATION; ANTIBODY; DISEASE</t>
  </si>
  <si>
    <t xml:space="preserve">Background The prevalence of diabetes is high and increasing. Periodontitis has been identified as a risk factor in both type 1 and 2 diabetes. The study purpose was to assess periodontal conditions, retinopathy, and serum glutamic acid decarboxylase antibody (GADA) titers in relation to retinopathy in individuals with type 1 diabetes (T1D). Methods The study is a case series. Adult individuals with a diagnosis of T1D (n = 85) monitored &gt;= 5 years were recruited from an endocrinology clinic. Peripheral venous blood samples were analyzed including assessments of serum HbA1c levels and GADA titers. Medical and periodontal conditions were examined, and the data assessed. Independentttests, binary and multivariate analyses, chi(2)and odds ratios were employed. Results Gingivitis was found in 68.2%, periodontitis in 21.2%, and retinopathy in 64.7%, GADA (&gt;= 35 U/mL) in 54.1%, and serum HbA1c &gt; 48 mmol/mol in 94.3% of the individuals. The unadjusted odds ratio for periodontitis to differentiate a diagnosis of retinopathy was 7.3 (95%CI 1.6, 4.4,P&lt;0.01). Multivariate analyses identified the following dependent factors to differentiate retinopathy; age, T1D duration, gingivitis, periodontitis atP&lt; 0.001, gender, and serum GADA atP&lt; 0.01, and by the number of remaining teeth atP&lt; 0.05. Conclusion Retinopathy as a complication to T1D is linked to the duration of diabetes, age of the individual and with increasing severity to periodontitis. Periodontal intervention studies are warranted.</t>
  </si>
  <si>
    <t xml:space="preserve">[Widen, Cecilia; Sattlin, Susanna; Renvert, Stefan; Persson, G. Rutger] Kristianstad Univ, Fac Hlth Sci, Kristianstad, Sweden; [Holmer, Helene] Cent Hosp Kristianstad, Kristianstad, Sweden; [Renvert, Stefan] Blekinge Inst Technol, Karlskrona, Sweden; [Lernmark, Ake] Lund Univ, Dept Clin Sci, Clin Res Ctr Univ Hosp, Malmo, Sweden; [Persson, G. Rutger] Univ Washington, Dept Oral Med, Seattle, WA 98195 USA; [Persson, G. Rutger] Univ Washington, Dept Periodont, Seattle, WA 98195 USA</t>
  </si>
  <si>
    <t xml:space="preserve">Kristianstad University; Blekinge Institute Technology; Lund University; University of Washington; University of Washington Seattle; University of Washington; University of Washington Seattle</t>
  </si>
  <si>
    <t xml:space="preserve">Persson, GR (corresponding author), Univ Washington, Sch Dent, Dept Periodont, 1959 NE Pacific St B-307, Seattle, WA 98195 USA.</t>
  </si>
  <si>
    <t xml:space="preserve">rper@uw.edu</t>
  </si>
  <si>
    <t xml:space="preserve">Renvert, Stefan/AAM-2415-2020; Lernmark, Ake/F-8140-2015</t>
  </si>
  <si>
    <t xml:space="preserve">Renvert, Stefan/0000-0003-0992-2362; Lernmark, Ake/0000-0003-1735-0499; Holmer, Helene/0000-0003-0464-6485</t>
  </si>
  <si>
    <t xml:space="preserve">Kristianstad Central Hospital; Kristianstad University</t>
  </si>
  <si>
    <t xml:space="preserve">We thank Anita Ramelius, Department of Clinical Sciences, Lund University/Clinical Research Centre, University Hospital, Malmo, Sweden for expert technical assistance. The study was supported by Kristianstad Central Hospital and Kristianstad University. The authors declare no conflict of interest.</t>
  </si>
  <si>
    <t xml:space="preserve">0022-3492</t>
  </si>
  <si>
    <t xml:space="preserve">1943-3670</t>
  </si>
  <si>
    <t xml:space="preserve">J PERIODONTOL</t>
  </si>
  <si>
    <t xml:space="preserve">J. Periodont.</t>
  </si>
  <si>
    <t xml:space="preserve">10.1002/JPER.19-0641</t>
  </si>
  <si>
    <t xml:space="preserve">OQ1JJ</t>
  </si>
  <si>
    <t xml:space="preserve">WOS:000544362200001</t>
  </si>
  <si>
    <t xml:space="preserve">Wiecher, C; Mandel, C; Günther, M; Fischbach, J; Greenyer, J; Greinert, M; Wolff, C; Dumitrescu, R; Mendez, D; Albers, A</t>
  </si>
  <si>
    <t xml:space="preserve">Wiecher, Carsten; Mandel, Constantin; Guenther, Matthias; Fischbach, Jannik; Greenyer, Joel; Greinert, Matthias; Wolff, Carsten; Dumitrescu, Roman; Mendez, Daniel; Albers, Albert</t>
  </si>
  <si>
    <t xml:space="preserve">Model-based analysis and specification of functional requirements and tests for complex automotive systems</t>
  </si>
  <si>
    <t xml:space="preserve">SYSTEMS ENGINEERING</t>
  </si>
  <si>
    <t xml:space="preserve">model-based systems engineering; requirements specification; scenario-based requirements engineering; test specification; validation; verification</t>
  </si>
  <si>
    <t xml:space="preserve">The specification of requirements and tests are crucial activities in automotive development projects. However, due to the increasing complexity of automotive systems, practitioners fail to specify requirements and tests for distributed and evolving systems with complex interactions when following traditional development processes. To address this research gap, we propose a technique that starts with the early identification of validation concerns from a stakeholder perspective, which we use to systematically design tests that drive a scenario-based modeling and analysis of system requirements. To ensure complete and consistent requirements and test specifications in a form that is required in automotive development projects, we develop a Model-Based Systems Engineering (MBSE) methodology. This methodology supports system architects and test designers in the collaborative application of our technique and in maintaining a central system model, in order to automatically derive the required specifications. We evaluate our methodology by applying it at KOSTAL (Tier1 supplier) and within student projects as part of the masters program Embedded Systems Engineering. Our study corroborates that our methodology is applicable and improves existing requirements and test specification processes by supporting the integrated and stakeholder-focused modeling of product and validation systems, where the early definition of stakeholder and validation concerns fosters a problem-oriented, iterative and test-driven requirements modeling.</t>
  </si>
  <si>
    <t xml:space="preserve">[Wiecher, Carsten] Kostal Automobil Elekt GmbH &amp; Co KG, Dortmund, Germany; [Mandel, Constantin; Albers, Albert] Karlsruhe Inst Technol KIT, IPEK Inst Prod Engn, Karlsruhe, Germany; [Guenther, Matthias; Dumitrescu, Roman] Fraunhofer IEM, Paderborn, Germany; [Fischbach, Jannik] Fortiss GmbH, Munich, Germany; [Fischbach, Jannik] Netlight Consulting GmbH, Munich, Germany; [Greenyer, Joel] FHDW Hannover, Hannover, Germany; [Greinert, Matthias] Two Pillars GmbH, Paderborn, Germany; [Wolff, Carsten] FH Dortmund, Dortmund, Germany; [Mendez, Daniel] Blekinge Inst Technol, Karlskrona, Sweden; [Wiecher, Carsten] Kostal Automobil Elekt GmbH &amp; Co KG, D-44227 Dortmund, Germany</t>
  </si>
  <si>
    <t xml:space="preserve">Helmholtz Association; Karlsruhe Institute of Technology; fortiss; Blekinge Institute Technology</t>
  </si>
  <si>
    <t xml:space="preserve">Wiecher, C (corresponding author), Kostal Automobil Elekt GmbH &amp; Co KG, D-44227 Dortmund, Germany.</t>
  </si>
  <si>
    <t xml:space="preserve">c.wiecher@kostal.com</t>
  </si>
  <si>
    <t xml:space="preserve">Greenyer, Joel/Q-8476-2017</t>
  </si>
  <si>
    <t xml:space="preserve">Mandel, Constantin/0000-0002-7073-2763; Dumitrescu, Roman/0009-0009-6877-740X</t>
  </si>
  <si>
    <t xml:space="preserve">German Federal Ministry of Education and Research (BMBF) within the The Future of Value Creation - Research on Production, Services and Work [02J19B106 - 02J19B090]; German Federal Ministry of Education and Research (BMBF) within the The Future of Value Creation - Research on Production, Services and Work program</t>
  </si>
  <si>
    <t xml:space="preserve">German Federal Ministry of Education and Research (BMBF) within the The Future of Value Creation - Research on Production, Services and Work(Federal Ministry of Education &amp; Research (BMBF)); German Federal Ministry of Education and Research (BMBF) within the The Future of Value Creation - Research on Production, Services and Work program(Federal Ministry of Education &amp; Research (BMBF))</t>
  </si>
  <si>
    <t xml:space="preserve">This research was supported by the the German Federal Ministry of Education and Research (BMBF) within the The Future of Value Creation - Research on Production, Services and Work program (funding number 02J19B106 - 02J19B090) as part of the research project MoSyS - Human - Oriented Design of Complex Systems of Systems, which is managed by the Project Management Agency Karlsruhe (PTKA). The authors are responsible for the content of this publication.</t>
  </si>
  <si>
    <t xml:space="preserve">1098-1241</t>
  </si>
  <si>
    <t xml:space="preserve">1520-6858</t>
  </si>
  <si>
    <t xml:space="preserve">SYSTEMS ENG</t>
  </si>
  <si>
    <t xml:space="preserve">Syst. Eng.</t>
  </si>
  <si>
    <t xml:space="preserve">10.1002/sys.21748</t>
  </si>
  <si>
    <t xml:space="preserve">Engineering, Industrial; Operations Research &amp; Management Science</t>
  </si>
  <si>
    <t xml:space="preserve">Engineering; Operations Research &amp; Management Science</t>
  </si>
  <si>
    <t xml:space="preserve">XO8P7</t>
  </si>
  <si>
    <t xml:space="preserve">WOS:001157900500001</t>
  </si>
  <si>
    <t xml:space="preserve">Frattini, J; Fucci, D; Torkar, R; Montgomery, L; Unterkalmsteiner, M; Fischbach, J; Mendez, D</t>
  </si>
  <si>
    <t xml:space="preserve">Frattini, Julian; Fucci, Davide; Torkar, Richard; Montgomery, Lloyd; Unterkalmsteiner, Michael; Fischbach, Jannik; Mendez, Daniel</t>
  </si>
  <si>
    <t xml:space="preserve">Applying bayesian data analysis for causal inference about requirements quality: a controlled experiment</t>
  </si>
  <si>
    <t xml:space="preserve">Requirements engineering; Requirements quality; Experiment; Replication; Bayesian data analysis</t>
  </si>
  <si>
    <t xml:space="preserve">ENGINEERING RESEARCH; AMBIGUITY</t>
  </si>
  <si>
    <t xml:space="preserve">It is commonly accepted that the quality of requirements specifications impacts subsequent software engineering activities. However, we still lack empirical evidence to support organizations in deciding whether their requirements are good enough or impede subsequent activities. We aim to contribute empirical evidence to the effect that requirements quality defects have on a software engineering activity that depends on this requirement. We conduct a controlled experiment in which 25 participants from industry and university generate domain models from four natural language requirements containing different quality defects. We evaluate the resulting models using both frequentist and Bayesian data analysis. Contrary to our expectations, our results show that the use of passive voice only has a minor impact on the resulting domain models. The use of ambiguous pronouns, however, shows a strong effect on various properties of the resulting domain models. Most notably, ambiguous pronouns lead to incorrect associations in domain models. Despite being equally advised against by literature and frequentist methods, the Bayesian data analysis shows that the two investigated quality defects have vastly different impacts on software engineering activities and, hence, deserve different levels of attention. Our employed method can be further utilized by researchers to improve reliable, detailed empirical evidence on requirements quality.</t>
  </si>
  <si>
    <t xml:space="preserve">[Frattini, Julian; Fucci, Davide; Unterkalmsteiner, Michael; Mendez, Daniel] Blekinge Inst Technol, Valhallavagen 1, S-37140 Karlskrona, Sweden; [Torkar, Richard] Chalmers Univ Technol, S-41756 Gothenburg, Sweden; [Torkar, Richard] Univ Gothenburg, S-41756 Gothenburg, Sweden; [Torkar, Richard] Stellenbosch Inst Adv Study STIAS, Stellenbosch, South Africa; [Montgomery, Lloyd] Univ Hamburg, Mittelweg 177, D-20148 Hamburg, Germany; [Fischbach, Jannik] Netlight Consulting GmbH, Prannerstr 4, D-80333 Munich, Germany; [Fischbach, Jannik; Mendez, Daniel] Fortiss GmbH, Guerickestr 25, D-80805 Munich, Germany</t>
  </si>
  <si>
    <t xml:space="preserve">Blekinge Institute Technology; Chalmers University of Technology; University of Gothenburg; Stellenbosch University; University of Hamburg; fortiss</t>
  </si>
  <si>
    <t xml:space="preserve">julian.frattini@bth.se; davide.fucci@bth.se; richard.torkar@gu.se; lloyd.montgomery@uni-hamburg.de; michael.unterkalmsteiner@bth.se; jannik.fischbach@netlight.com; daniel.mendez@bth.se</t>
  </si>
  <si>
    <t xml:space="preserve">; Fucci, Davide/C-1463-2015; Torkar, Richard/P-4740-2015</t>
  </si>
  <si>
    <t xml:space="preserve">Montgomery, Lloyd/0000-0002-8249-1418; Frattini, Julian/0000-0003-3995-6125; Mendez Fernandez, Daniel/0000-0003-0619-6027; Fucci, Davide/0000-0002-0679-4361; Unterkalmsteiner, Michael/0000-0003-4118-0952; Torkar, Richard/0000-0002-0118-8143</t>
  </si>
  <si>
    <t xml:space="preserve">Blekinge Institute of Technology; KKS foundation</t>
  </si>
  <si>
    <t xml:space="preserve">This work was supported by the KKS foundation through the S.E.R.T. Research Profile project at Blekinge Institute of Technology. We are deeply grateful to Parisa Yousefi from Ericsson AB for recruiting practitioners to the experiment. We further thank the reviewers for their tremendous effort that significantly improved this manuscript.</t>
  </si>
  <si>
    <t xml:space="preserve">10.1007/s10664-024-10582-1</t>
  </si>
  <si>
    <t xml:space="preserve">N0G7H</t>
  </si>
  <si>
    <t xml:space="preserve">WOS:001361224300001</t>
  </si>
  <si>
    <t xml:space="preserve">Doering, N; De Moor, K; Fiedler, M; Schoenenberg, K; Raake, A</t>
  </si>
  <si>
    <t xml:space="preserve">Doering, Nicola; De Moor, Katrien; Fiedler, Markus; Schoenenberg, Katrin; Raake, Alexander</t>
  </si>
  <si>
    <t xml:space="preserve">Videoconference Fatigue: A Conceptual Analysis</t>
  </si>
  <si>
    <t xml:space="preserve">video call; Zoom; Skype; Cisco Webex; Microsoft Teams; Big Blue Button; exhaustion; COVID-19 pandemic; computer-mediated communication; face-to-face-communication</t>
  </si>
  <si>
    <t xml:space="preserve">MEDIA RICHNESS; SPEECH-INTELLIGIBILITY; GENERAL-POPULATION; VIRTUAL MEETINGS; MENTAL FATIGUE; VISUAL FATIGUE; COVID-19; COMMUNICATION; WORKING; LOAD</t>
  </si>
  <si>
    <t xml:space="preserve">Videoconferencing (VC) is a type of online meeting that allows two or more participants from different locations to engage in live multi-directional audio-visual communication and collaboration (e.g., via screen sharing). The COVID-19 pandemic has induced a boom in both private and professional videoconferencing in the early 2020s that elicited controversial public and academic debates about its pros and cons. One main concern has been the phenomenon of videoconference fatigue. The aim of this conceptual review article is to contribute to the conceptual clarification of VC fatigue. We use the popular and succinct label Zoom fatigue interchangeably with the more generic label videoconference fatigue and define it as the experience of fatigue during and/or after a videoconference, regardless of the specific VC system used. We followed a structured eight-phase process of conceptual analysis that led to a conceptual model of VC fatigue with four key causal dimensions: (1) personal factors, (2) organizational factors, (3) technological factors, and (4) environmental factors. We present this 4D model describing the respective dimensions with their sub-dimensions based on theories, available evidence, and media coverage. The 4D-model is meant to help researchers advance empirical research on videoconference fatigue.</t>
  </si>
  <si>
    <t xml:space="preserve">[Doering, Nicola] Tech Univ Ilmenau, Inst Media &amp; Commun Sci, D-98693 Ilmenau, Germany; [De Moor, Katrien] Norwegian Univ Sci &amp; Technol, Dept Informat Secur &amp; Commun Technol, Trondheim, Norway; [Fiedler, Markus] Blekinge Inst Technol, Dept Technol &amp; Aesthet, S-37435 Karlshamn, Sweden; [Schoenenberg, Katrin] Berg Univ Wuppertal, Dept Clin Psychol &amp; Psychotherapy, D-42119 Wuppertal, Germany; [Raake, Alexander] Tech Univ Ilmenau, Inst Media Technol, D-98693 Ilmenau, Germany</t>
  </si>
  <si>
    <t xml:space="preserve">Technische Universitat Ilmenau; Norwegian University of Science &amp; Technology (NTNU); Blekinge Institute Technology; University of Wuppertal; Technische Universitat Ilmenau</t>
  </si>
  <si>
    <t xml:space="preserve">Doering, N (corresponding author), Tech Univ Ilmenau, Inst Media &amp; Commun Sci, D-98693 Ilmenau, Germany.</t>
  </si>
  <si>
    <t xml:space="preserve">nicola.doering@tu-ilmenau.de; katrien.demoor@ntnu.no; markus.fiedler@bth.se; schoenenberg@uni-wuppertal.de; alexander.raake@tu-ilmenau.de</t>
  </si>
  <si>
    <t xml:space="preserve">Schoenenberg, Katrin/HGU-5276-2022; Raake, Alexander/R-7050-2017</t>
  </si>
  <si>
    <t xml:space="preserve">Raake, Alexander/0000-0002-9357-1763; Fiedler, Markus/0000-0001-8929-4911; De Moor, Katrien/0000-0002-8752-3351</t>
  </si>
  <si>
    <t xml:space="preserve">CYTEMEX project funded by the Free State of Thuringia, Germany</t>
  </si>
  <si>
    <t xml:space="preserve">FundingThis work has partially been supported by the CYTEMEX project funded by the Free State of Thuringia, Germany (FKZ: 2018-FGI-0019) and partially funded by the Carl Zeiss Foundation in the course of the project CO-HUMANICS.</t>
  </si>
  <si>
    <t xml:space="preserve">10.3390/ijerph19042061</t>
  </si>
  <si>
    <t xml:space="preserve">ZT4IN</t>
  </si>
  <si>
    <t xml:space="preserve">WOS:000769121800001</t>
  </si>
  <si>
    <t xml:space="preserve">Grossi, G; Lövstål, E; Mauro, SG; Sinervo, LM</t>
  </si>
  <si>
    <t xml:space="preserve">Hoque, Z</t>
  </si>
  <si>
    <t xml:space="preserve">Grossi, Giuseppe; Lovstal, Eva; Mauro, Sara Giovanna; Sinervo, Lotta-Maria</t>
  </si>
  <si>
    <t xml:space="preserve">Toward Outcome-based Approaches in Higher Education in Two Nordic Countries</t>
  </si>
  <si>
    <t xml:space="preserve">PUBLIC SECTOR REFORM AND PERFORMANCE MANAGEMENT IN DEVELOPED ECONOMIES: Outcomes-Based Approaches in Practice</t>
  </si>
  <si>
    <t xml:space="preserve">Routledge Studies in Management Organizations and Society</t>
  </si>
  <si>
    <t xml:space="preserve">PERFORMANCE-MEASUREMENT; PUBLIC MANAGEMENT; UNIVERSITIES; ACCOUNTABILITY; INDICATORS; SYSTEMS</t>
  </si>
  <si>
    <t xml:space="preserve">[Grossi, Giuseppe] Nord Univ, Accounting, Bodo, Norway; [Grossi, Giuseppe] Kristianstad Univ, Publ Management &amp; Accounting, Kristianstad, Sweden; [Grossi, Giuseppe] Kozminski Univ, Warsaw, Poland; [Lovstal, Eva] Blekinge Inst Technol, Ind Econ &amp; Management, Karlskrona, Sweden; [Mauro, Sara Giovanna] Scuola Super St Anna Pisa, Inst Management, Pisa, Italy; [Sinervo, Lotta-Maria] Tampere Univ, Fac Management &amp; Business, Field Publ Financial Management, Tampere, Finland</t>
  </si>
  <si>
    <t xml:space="preserve">Nord University; Kristianstad University; Kozminski University; Blekinge Institute Technology; Scuola Superiore Sant'Anna; Tampere University</t>
  </si>
  <si>
    <t xml:space="preserve">Grossi, G (corresponding author), Nord Univ, Accounting, Bodo, Norway.;Grossi, G (corresponding author), Kristianstad Univ, Publ Management &amp; Accounting, Kristianstad, Sweden.;Grossi, G (corresponding author), Kozminski Univ, Warsaw, Poland.</t>
  </si>
  <si>
    <t xml:space="preserve">Mauro, Sara Giovanna/AAV-4927-2020; Grossi, Giuseppe/AAU-9758-2020</t>
  </si>
  <si>
    <t xml:space="preserve">Sinervo, Lotta-Maria/0000-0001-6532-3220</t>
  </si>
  <si>
    <t xml:space="preserve">978-1-003-00408-0; 978-0-367-43516-5</t>
  </si>
  <si>
    <t xml:space="preserve">ROUTL STUD MANAG ORG</t>
  </si>
  <si>
    <t xml:space="preserve">Management; Public Administration</t>
  </si>
  <si>
    <t xml:space="preserve">BS8TC</t>
  </si>
  <si>
    <t xml:space="preserve">WOS:000776617500013</t>
  </si>
  <si>
    <t xml:space="preserve">Pocek, J; Fassio, C; Kraus, S</t>
  </si>
  <si>
    <t xml:space="preserve">Pocek, Jasna; Fassio, Claudio; Kraus, Sascha</t>
  </si>
  <si>
    <t xml:space="preserve">And Yet It Moves: National Entrepreneurial Culture and Entrepreneurship-Friendly Policies: Evidence From OECD Countries</t>
  </si>
  <si>
    <t xml:space="preserve">ENTREPRENEURSHIP RESEARCH JOURNAL</t>
  </si>
  <si>
    <t xml:space="preserve">institutions; entrepreneurial culture; entrepreneurship policies; panel data models</t>
  </si>
  <si>
    <t xml:space="preserve">ECONOMIC-DEVELOPMENT; GOVERNMENT POLICY; TAX POLICY; INNOVATION; FIRM; PERFORMANCE; ORIENTATION; CORRUPTION; CREATIVITY; INVESTMENT</t>
  </si>
  <si>
    <t xml:space="preserve">This paper investigates the impact of public policies aimed to foster entrepreneurship on the national entrepreneurial culture of a country. While most of the existing studies focus on the direct impact of policies on entrepreneurship outcomes, we propose that the impact of policies on entrepreneurial culture may be even more important for the development of economies in the long term. Using data for 36 OECD countries in the period 2002-2014, we investigate econometrically the impact of policies on culture usually associated with entrepreneurship and find that such impact is stronger for policies that address a broader target of potential beneficiaries, rather than a narrow one. Moreover, we find that, among the values that are usually associated with entrepreneurial activity, entrepreneurship-friendly policies foster those that are related to creativity, innovation and risk taking, but not those that relate to individualism and the belief that success is achieved through one's own personal efforts. Lastly, we find that the positive impact of policies on culture only applies to the countries with a higher initial level of entrepreneurial culture, and not to the countries with lower initial levels.</t>
  </si>
  <si>
    <t xml:space="preserve">[Fassio, Claudio] Lund Univ, Business Adm, Lund, Sweden; [Fassio, Claudio] Univ Pisa, Dept Polit Sci, Pisa, Italy; [Pocek, Jasna; Fassio, Claudio] Lund Univ, CIRCLE, Lund, Sweden; [Pocek, Jasna; Kraus, Sascha] Free Univ Bozen Bolzano, Fac Econ &amp; Management, Piazza Univ1, I-39100 Bolzano, Italy; [Pocek, Jasna] Blekinge Inst Technol, Karlskrona, Sweden; [Kraus, Sascha] Univ Johannesburg, Dept Business Management, Johannesburg, South Africa</t>
  </si>
  <si>
    <t xml:space="preserve">Lund University; University of Pisa; Lund University; Free University of Bozen-Bolzano; Blekinge Institute Technology; University of Johannesburg</t>
  </si>
  <si>
    <t xml:space="preserve">Fassio, C (corresponding author), Lund Univ, Business Adm, Lund, Sweden.;Fassio, C (corresponding author), Univ Pisa, Dept Polit Sci, Pisa, Italy.;Fassio, C (corresponding author), Lund Univ, CIRCLE, Lund, Sweden.</t>
  </si>
  <si>
    <t xml:space="preserve">jasna.pocek@unibz.it; claudio.fassio@fek.lu.se</t>
  </si>
  <si>
    <t xml:space="preserve">Kraus, Sascha/HCH-3626-2022</t>
  </si>
  <si>
    <t xml:space="preserve">2194-6175</t>
  </si>
  <si>
    <t xml:space="preserve">2157-5665</t>
  </si>
  <si>
    <t xml:space="preserve">ENTREP RES J</t>
  </si>
  <si>
    <t xml:space="preserve">Entrep. Res. J.</t>
  </si>
  <si>
    <t xml:space="preserve">JUL 4</t>
  </si>
  <si>
    <t xml:space="preserve">10.1515/erj-2022-0133</t>
  </si>
  <si>
    <t xml:space="preserve">XP4C0</t>
  </si>
  <si>
    <t xml:space="preserve">WOS:000903879600001</t>
  </si>
  <si>
    <t xml:space="preserve">A Method for Enterprise Architecture Model Slicing</t>
  </si>
  <si>
    <t xml:space="preserve">enterprise architecture (EA); agile; lean; repository; program slicing; model slicing</t>
  </si>
  <si>
    <t xml:space="preserve">DESIGN; SCIENCE</t>
  </si>
  <si>
    <t xml:space="preserve">Enterprise Architecture (EA) has been applied widely in industry as it brings substantial benefits to ease communication and improve business-IT alignment. However, due to its high complexity and cost, EA still plays a limited role in many organizations. Existing research recommends realizing more of the EA potential. EA can be developed for specific purposes, accumulated in a digital repository, and reused when needed later. Due to the diversity and inconsistency of the repository, it is challenging to find relevant EA data and reuse it. In the present research, we propose using slicing techniques to extract EA models for reuse. We validate the method with an official EA repository hosted by The Open Group. The result shows that the method could facilitate extracting existing EA model components for developing new EA artifacts to save cost, alleviate maintenance effort, and help keep the repository consistent for future (re)use.</t>
  </si>
  <si>
    <t xml:space="preserve">[Guo, Hong] Anhui Univ, Sch Business, Hefei 230093, Peoples R China; [Li, Jingyue] Norwegian Univ Sci &amp; Technol, Dept Comp Sci, N-7034 Trondheim, Norway; [Gao, Shang] Orebro Univ, Sch Business, S-70182 Orebro, Sweden; [Smite, Darja] Blekinge Inst Technol, Dept Software Engn, S-37141 Karlskrona, Sweden</t>
  </si>
  <si>
    <t xml:space="preserve">Guo, H (corresponding author), Anhui Univ, Sch Business, Hefei 230093, Peoples R China.</t>
  </si>
  <si>
    <t xml:space="preserve">15079@ahu.edu.cn</t>
  </si>
  <si>
    <t xml:space="preserve">Research Council of Norway [NFR 295920]; Anhui University [Y040418077]; Ministry of Human Resources and Social Security of the People's Republic of China [Z010146009]</t>
  </si>
  <si>
    <t xml:space="preserve">Research Council of Norway(Research Council of Norway); Anhui University(Anhui University); Ministry of Human Resources and Social Security of the People's Republic of China</t>
  </si>
  <si>
    <t xml:space="preserve">This research was partically funded by the Research Council of Norway grant number NFR 295920 (IDUN Project). And the APC was funded by Anhui University grant number Y040418077 and Ministry of Human Resources and Social Security of the People's Republic of China grant number Z010146009.</t>
  </si>
  <si>
    <t xml:space="preserve">10.3390/app12199604</t>
  </si>
  <si>
    <t xml:space="preserve">5F9AC</t>
  </si>
  <si>
    <t xml:space="preserve">WOS:000866602200001</t>
  </si>
  <si>
    <t xml:space="preserve">Frattini, J; Fucci, D; Mendez, D; Spinola, R; Mandic, V; Tausan, N; Ahmad, MO; Gonzalez-Huerta, J</t>
  </si>
  <si>
    <t xml:space="preserve">Frattini, Julian; Fucci, Davide; Mendez, Daniel; Spinola, Rodrigo; Mandic, Vladimir; Tausan, Nebojsa; Ahmad, Muhammad Ovais; Gonzalez-Huerta, Javier</t>
  </si>
  <si>
    <t xml:space="preserve">An initial theory to understand and manage requirements engineering debt in practice</t>
  </si>
  <si>
    <t xml:space="preserve">Requirements engineering; Requirements engineering debt; Interview study; Online survey; Theory</t>
  </si>
  <si>
    <t xml:space="preserve">TECHNICAL DEBT</t>
  </si>
  <si>
    <t xml:space="preserve">Context: Advances in technical debt research demonstrate the benefits of applying the financial debt metaphor to support decision-making in software development activities. Although decision-making during requirements engineering has significant consequences, the debt metaphor in requirements engineering is inadequately explored.Objective: We aim to conceptualize how the debt metaphor applies to requirements engineering by organizing concepts related to practitioners' understanding and managing of requirements engineering debt (RED).Method: We conducted two in-depth expert interviews to identify key requirements engineering debt concepts and construct a survey instrument. We surveyed 69 practitioners worldwide regarding their perception of the concepts and developed an initial analytical theory. Results: We propose a RED theory that aligns key concepts from technical debt research but emphasizes the specific nature of requirements engineering. In particular, the theory consists of 23 falsifiable propositions derived from the literature, the interviews, and survey results.Conclusions: The concepts of requirements engineering debt are perceived to be similar to their technical debt counterpart. Nevertheless, measuring and tracking requirements engineering debt are immature in practice. Our proposed theory serves as the first guide toward further research in this area.</t>
  </si>
  <si>
    <t xml:space="preserve">[Frattini, Julian; Fucci, Davide; Mendez, Daniel; Gonzalez-Huerta, Javier] Blekinge Inst Technol, Valhallvagen 1, S-37140 Karlskrona, Sweden; [Mendez, Daniel] Fortiss GmbH, Guerickestr 25, D-80805 Munich, Germany; [Spinola, Rodrigo] Virginia Commonwealth Univ, Richmond, VA 23284 USA; [Spinola, Rodrigo] Univ Salvador, Salvador, Brazil; [Mandic, Vladimir; Tausan, Nebojsa] Univ Novi Sad, Dr Zorana Dindica 1, Novi Sad 21102, Serbia; [Ahmad, Muhammad Ovais] Univ Karlstad, Univ Gatan 2, S-65188 Karlstad, Sweden</t>
  </si>
  <si>
    <t xml:space="preserve">Blekinge Institute Technology; fortiss; Virginia Commonwealth University; Universidad de El Salvador; Universidade Salvador (UNIFACS); University of Novi Sad; Karlstad University</t>
  </si>
  <si>
    <t xml:space="preserve">Frattini, J (corresponding author), Blekinge Inst Technol, Valhallvagen 1, S-37140 Karlskrona, Sweden.</t>
  </si>
  <si>
    <t xml:space="preserve">Gonzalez-Huerta, Javier/V-4258-2019; Mendez, Daniel/ABA-4579-2021; Mandic, Vladimir/I-6306-2019; Tausan, Nebojsa/S-1995-2016; Fucci, Davide/C-1463-2015; Ahmad, Muhammad Ovais/F-7679-2012</t>
  </si>
  <si>
    <t xml:space="preserve">Tausan, Nebojsa/0000-0001-9663-7951; Mendez Fernandez, Daniel/0000-0003-0619-6027; Fucci, Davide/0000-0002-0679-4361; Frattini, Julian/0000-0003-3995-6125; Ahmad, Muhammad Ovais/0000-0002-7885-0369</t>
  </si>
  <si>
    <t xml:space="preserve">This work was supported by the KKS foundation, Sweden through the S.E.R.T. Research Profile project at Blekinge Institute of Technology and the NODLA project at Karlstad University. We additionally thank the reviewers for their valuable feedback that helped strengthen the manuscript.</t>
  </si>
  <si>
    <t xml:space="preserve">10.1016/j.infsof.2023.107201</t>
  </si>
  <si>
    <t xml:space="preserve">F4QH2</t>
  </si>
  <si>
    <t xml:space="preserve">WOS:000982204000001</t>
  </si>
  <si>
    <t xml:space="preserve">Boost the Potential of EA: Essential Practices</t>
  </si>
  <si>
    <t xml:space="preserve">ICEIS: PROCEEDINGS OF THE 23RD INTERNATIONAL CONFERENCE ON ENTERPRISE INFORMATION SYSTEMS - VOL 2</t>
  </si>
  <si>
    <t xml:space="preserve">Enterprise Architecture; Enterprise Architecture Tools; Enterprise Architecture Management; Meta-model; EA Artifacts</t>
  </si>
  <si>
    <t xml:space="preserve">ENTERPRISE ARCHITECTURE; CHALLENGES</t>
  </si>
  <si>
    <t xml:space="preserve">Enterprise Architecture (EA) has been applied widely in industry as it brings important benefits to ease communication and improve business-IT alignment. However, various challenges were also reported due to the difficulty and complexity of applying it. Some empirical studies showed that EA stilled played a limited role in many organizations. In this research, we showed other findings where the potential of EA could be better used. They are derived from our analysis of advanced EA tool recommendations. Based on these findings, we proposed four essential EA practices and the rationales behind them in order to improve the understanding of current practices and bring insights for future studies to boost the potential of EA.</t>
  </si>
  <si>
    <t xml:space="preserve">[Guo, Hong] Anhui Univ, Sch Business, 111 Jiulong Rd, Hefei, Peoples R China; [Guo, Hong; Li, Jingyue; Smite, Darja] Norwegian Univ Sci &amp; Technol, Dept Comp Sci, Trondheim, Norway; [Gao, Shang] Orebro Univ, Sch Business, Orebro, Sweden; [Smite, Darja] Blekinge Inst Technol, Dept Software Engn, Karlskrona, Sweden</t>
  </si>
  <si>
    <t xml:space="preserve">Guo, H (corresponding author), Anhui Univ, Sch Business, 111 Jiulong Rd, Hefei, Peoples R China.;Guo, H (corresponding author), Norwegian Univ Sci &amp; Technol, Dept Comp Sci, Trondheim, Norway.</t>
  </si>
  <si>
    <t xml:space="preserve">This research is financially supported by the European Research Consortium for Informatics and Mathematics (ERCIM) (https://www.ercim.eu/).This work has been partially supported by NFR 295920 IDUN.</t>
  </si>
  <si>
    <t xml:space="preserve">10.5220/0010473007350742</t>
  </si>
  <si>
    <t xml:space="preserve">BS9SY</t>
  </si>
  <si>
    <t xml:space="preserve">WOS:000783951300076</t>
  </si>
  <si>
    <t xml:space="preserve">Kebande, VR; Ikuesan, RA; Awaysheh, FM; Alawadi, S</t>
  </si>
  <si>
    <t xml:space="preserve">Alsmirat, M; Jararweh, Y; Awaysheh, F; Aloqaily, M</t>
  </si>
  <si>
    <t xml:space="preserve">Kebande, Victor R.; Ikuesan, Richard Adeyemi; Awaysheh, Feras M.; Alawadi, Sadi</t>
  </si>
  <si>
    <t xml:space="preserve">Towards a Learning-enabled Virtual Sensor Forensic Architecture Compliant with Edge Intelligence</t>
  </si>
  <si>
    <t xml:space="preserve">2021 SECOND INTERNATIONAL CONFERENCE ON INTELLIGENT DATA SCIENCE TECHNOLOGIES AND APPLICATIONS (IDSTA)</t>
  </si>
  <si>
    <t xml:space="preserve">2nd International Conference on Intelligent Data Science Technologies and Applications (IDSTA)</t>
  </si>
  <si>
    <t xml:space="preserve">NOV 15-17, 2021</t>
  </si>
  <si>
    <t xml:space="preserve">IEEE Estonia Sect,Univ Tartu,Intelligent Technologies Org</t>
  </si>
  <si>
    <t xml:space="preserve">Virtual Sensor forensics; Potential digital evidence; Machine Learning; Edge Intelligence; sensor forensic architecture</t>
  </si>
  <si>
    <t xml:space="preserve">ACCESS-CONTROL; FRAMEWORK</t>
  </si>
  <si>
    <t xml:space="preserve">While the Internet of Things (IoT), Wireless Sensor Networks (WSNs), and the techniques for extracting digital data have seen continuous advancements, so does the cyber-threat landscape. Virtual sensors which normally use abstraction layers that operate over a physical infrastructure to achieve their objectives, have seen rapid adoption, for example, it has aided in achieving manufacturing 4.0. This abstract layer has in the recent past seen tremendous proliferation within the sensor-based platform. Coupled with data pre-processing and key compliance with the guidelines for information security, incident investigation principles, and processes. This paper discusses a step towards a Learning-enabled (LE) Virtual Sensor Forensic (VSF) architecture that is compliant with edge intelligence technology, which is based on an initially proposed generic VSF architecture. Furthermore, apart from the learning capabilities, the LE-VSF architecture considers proactive and reactive investigation techniques by assuming an Internet of Vehicle (IoV) attack scenario, enhancing the reliability of a forensically sound data source. This proposition is essential in any sensor-based abstraction where the forensic analysis would otherwise be cumbersome and susceptible to noise.</t>
  </si>
  <si>
    <t xml:space="preserve">[Kebande, Victor R.] Blekinge Inst Technol, Dept Comp Sci, Karlskrona, Sweden; [Ikuesan, Richard Adeyemi] Community Coll Qatar, Dept Cybersecur, Doha, Qatar; [Awaysheh, Feras M.] Tartu Univ, Delta Ctr, Inst Comp Sci, Tartu, Estonia; [Alawadi, Sadi] Uppsala Univ, Dept Informat Technol, Uppsala, Sweden</t>
  </si>
  <si>
    <t xml:space="preserve">Blekinge Institute Technology; University of Tartu; Uppsala University</t>
  </si>
  <si>
    <t xml:space="preserve">victor.kebande@bth.se; richard.ikuesan@ccq.edu.qa; feras.awaysheh@ut.ee; sadi.alawadi@it.uu.se</t>
  </si>
  <si>
    <t xml:space="preserve">alawadi, sadi/Q-8576-2016; Awaysheh, Feras/AAG-7301-2019; Ikuesan, Adeyemi/D-2583-2018; R. Kebande, Victor/F-3934-2019</t>
  </si>
  <si>
    <t xml:space="preserve">department of information technology, division of scientific computing at Uppsala University - Sweden</t>
  </si>
  <si>
    <t xml:space="preserve">This work is funded by the department of information technology, division of scientific computing at Uppsala University - Sweden. The authors would also like to acknowledge that the opinions, findings, and conclusions expressed in this article are purely of the authors.</t>
  </si>
  <si>
    <t xml:space="preserve">978-1-6654-2180-5</t>
  </si>
  <si>
    <t xml:space="preserve">10.1109/IDSTA53674.2021.9660795</t>
  </si>
  <si>
    <t xml:space="preserve">BT8DN</t>
  </si>
  <si>
    <t xml:space="preserve">WOS:000852877600023</t>
  </si>
  <si>
    <t xml:space="preserve">Sarp, S; Catak, FO; Kuzlu, M; Cali, U; Kusetogullari, H; Zhao, YX; Ates, G; Guler, O</t>
  </si>
  <si>
    <t xml:space="preserve">Sarp, Salih; Catak, Ferhat Ozgur; Kuzlu, Murat; Cali, Umit; Kusetogullari, Huseyin; Zhao, Yanxiao; Ates, Gungor; Guler, Ozgur</t>
  </si>
  <si>
    <t xml:space="preserve">An XAI approach for COVID-19 detection using transfer learning with X-ray images</t>
  </si>
  <si>
    <t xml:space="preserve">HELIYON</t>
  </si>
  <si>
    <t xml:space="preserve">COVID-19; Explainable artificial intelligence; Transfer learning</t>
  </si>
  <si>
    <t xml:space="preserve">CXR</t>
  </si>
  <si>
    <t xml:space="preserve">The coronavirus disease (COVID-19) has continued to cause severe challenges during this unprecedented time, affecting every part of daily life in terms of health, economics, and social development. There is an increasing demand for chest X-ray (CXR) scans, as pneumonia is the primary and vital complication of COVID-19. CXR is widely used as a screening tool for lung -related diseases due to its simple and relatively inexpensive application. However, these scans require expert radiologists to interpret the results for clinical decisions, i.e., diagnosis, treatment, and prognosis. The digitalization of various sectors, including healthcare, has accelerated during the pandemic, with the use and importance of Artificial Intelligence (AI) dramatically increasing. This paper proposes a model using an Explainable Artificial Intelligence (XAI) technique to detect and interpret COVID-19 positive CXR images. We further analyze the impact of COVID-19 positive CXR images using heatmaps. The proposed model leverages transfer learning and data augmentation techniques for faster and more adequate model training. Lung segmentation is applied to enhance the model performance further. We conducted a pre-trained network comparison with the highest classification performance (F1-Score: 98%) using the ResNet model.</t>
  </si>
  <si>
    <t xml:space="preserve">[Sarp, Salih; Zhao, Yanxiao] Virginia Commonwealth Univ, Elect &amp; Comp Engn, Richmond, VA USA; [Catak, Ferhat Ozgur] Univ Stavanger, Dept Elect Engn &amp; Comp Sci, Rogaland, Norway; [Kuzlu, Murat] Old Dominion Univ, Batten Coll Engn &amp; Technol, Norfolk, VA USA; [Cali, Umit] Norwegian Univ Sci &amp; Technol, Dept Elect Power Engn, Trondheim, Norway; [Kusetogullari, Huseyin] Blekinge Inst Technol, Dept Comp Sci, Karlskrona, Sweden; [Ates, Gungor] Private Genesis Hosp, Dept Pulm Med, Diyarbakir, Turkiye; [Guler, Ozgur] eKare Inc, Fairfax, VA USA</t>
  </si>
  <si>
    <t xml:space="preserve">Virginia Commonwealth University; Universitetet i Stavanger; Old Dominion University; Norwegian University of Science &amp; Technology (NTNU); Blekinge Institute Technology; Private Genesis Hospital</t>
  </si>
  <si>
    <t xml:space="preserve">Cali, U (corresponding author), Norwegian Univ Sci &amp; Technol, Dept Elect Power Engn, Trondheim, Norway.</t>
  </si>
  <si>
    <t xml:space="preserve">sarps@vcu.edu; f.ozgur.catak@uis.no; mkuzlu@odu.edu; umit.cali@ntnu.no; huseyin.kusetogullari@bth.se; yzhao7@vcu.edu; gungorates@gmail.com; oguler@ekare.ai</t>
  </si>
  <si>
    <t xml:space="preserve">Kusetogullari, Huseyin/IAQ-0788-2023; Kuzlu, Murat/H-7156-2016; Sarp, Salih/ADP-9995-2022; Catak, Ferhat Ozgur/M-6013-2015</t>
  </si>
  <si>
    <t xml:space="preserve">Cali, Umit/0000-0002-6402-0479; Catak, Ferhat Ozgur/0000-0002-2434-9966; Guler, Ozgur/0000-0001-5465-0103</t>
  </si>
  <si>
    <t xml:space="preserve">CELL PRESS</t>
  </si>
  <si>
    <t xml:space="preserve">50 HAMPSHIRE ST, FLOOR 5, CAMBRIDGE, MA 02139 USA</t>
  </si>
  <si>
    <t xml:space="preserve">2405-8440</t>
  </si>
  <si>
    <t xml:space="preserve">Heliyon</t>
  </si>
  <si>
    <t xml:space="preserve">e15137</t>
  </si>
  <si>
    <t xml:space="preserve">10.1016/j.heliyon.2023.e15137</t>
  </si>
  <si>
    <t xml:space="preserve">I0QR7</t>
  </si>
  <si>
    <t xml:space="preserve">WOS:000999913700001</t>
  </si>
  <si>
    <t xml:space="preserve">Javeed, A; Dallora, AL; Berglund, JS; Idrisoglu, A; Ali, L; Rauf, HT; Anderberg, P</t>
  </si>
  <si>
    <t xml:space="preserve">Javeed, Ashir; Dallora, Ana Luiza; Berglund, Johan Sanmartin; Idrisoglu, Alper; Ali, Liaqat; Rauf, Hafiz Tayyab; Anderberg, Peter</t>
  </si>
  <si>
    <t xml:space="preserve">Early Prediction of Dementia Using Feature Extraction Battery (FEB) and Optimized Support Vector Machine (SVM) for Classification</t>
  </si>
  <si>
    <t xml:space="preserve">BIOMEDICINES</t>
  </si>
  <si>
    <t xml:space="preserve">dementia; feature fusion; machine learning; imbalance classes</t>
  </si>
  <si>
    <t xml:space="preserve">INTELLIGENT LEARNING-SYSTEM; INSTRUMENTAL ACTIVITIES; DIAGNOSIS; DEPRESSION; SELECTION; PEOPLE; STATE</t>
  </si>
  <si>
    <t xml:space="preserve">Dementia is a cognitive disorder that mainly targets older adults. At present, dementia hasno cure or prevention available. Scientists found that dementia symptoms might emerge as early asten years before the onset of real disease. As a result, machine learning (ML) scientists developedvarious techniques for the early prediction of dementia using dementia symptoms. However, thesemethods have fundamental limitations, such as low accuracy and bias in machine learning (ML)models. To resolve the issue of bias in the proposed ML model, we deployed the adaptive syntheticsampling (ADASYN) technique, and to improve accuracy, we have proposed novel feature extractiontechniques, namely, feature extraction battery (FEB) and optimized support vector machine (SVM)using radical basis function (rbf) for the classification of the disease. The hyperparameters of SVM arecalibrated by employing the grid search approach. It is evident from the experimental results that thenewly pr oposed model (FEB-SVM) improves the dementia prediction accuracy of the conventionalSVM by 6%. The proposed model (FEB-SVM) obtained 98.28% accuracy on training data and a testingaccuracy of 93.92%. Along with accuracy, the proposed model obtained a precision of 91.80%, recall of86.59, F1-score of 89.12%, and Matthew's correlation coefficient (MCC) of 0.4987. Moreover, the newlyproposed model (FEB-SVM) outperforms the 12 state-of-the-art ML models that the researchers have recently presented for dementia prediction.</t>
  </si>
  <si>
    <t xml:space="preserve">[Javeed, Ashir] Karolinska Inst, Aging Res Ctr, S-17165 Stockholm, Sweden; [Javeed, Ashir; Dallora, Ana Luiza; Berglund, Johan Sanmartin; Idrisoglu, Alper; Anderberg, Peter] Blekinge Inst Technol, Dept Hlth, S-37179 Karlskrona, Sweden; [Ali, Liaqat] Univ Sci &amp; Technol Bannu, Dept Elect Engn, Bannu 28100, Pakistan; [Rauf, Hafiz Tayyab] Staffordshire Univ, Ctr Smart Syst AI &amp; Cybersecur, Stoke On Trent ST4 2DE, England; [Anderberg, Peter] Univ Skovde, Sch Hlth Sci, S-54128 Skovde, Sweden</t>
  </si>
  <si>
    <t xml:space="preserve">Karolinska Institutet; Blekinge Institute Technology; University of Science &amp; Technology Bannu; Staffordshire University; University of Skovde</t>
  </si>
  <si>
    <t xml:space="preserve">Javeed, Ashir/ABG-2567-2022; Sanmartin Berglund, Johan/HGB-0471-2022; Ali, Liaqat/AAD-4705-2020; Rauf, Hafiz Tayyab/AAA-7762-2021; Anderberg, Peter/B-5541-2012</t>
  </si>
  <si>
    <t xml:space="preserve">Dallora Moraes, Ana Luiza/0000-0002-6752-017X; javeed, ashir/0000-0003-4190-3532; Idrisoglu, Alper/0000-0003-1558-2309; Ali, Liaqat/0000-0002-3095-7271; Berglund, Johan/0000-0003-4312-2246; Anderberg, Peter/0000-0001-9870-8477</t>
  </si>
  <si>
    <t xml:space="preserve">2227-9059</t>
  </si>
  <si>
    <t xml:space="preserve">Biomedicines</t>
  </si>
  <si>
    <t xml:space="preserve">10.3390/biomedicines11020439</t>
  </si>
  <si>
    <t xml:space="preserve">Biochemistry &amp; Molecular Biology; Medicine, Research &amp; Experimental; Pharmacology &amp; Pharmacy</t>
  </si>
  <si>
    <t xml:space="preserve">Biochemistry &amp; Molecular Biology; Research &amp; Experimental Medicine; Pharmacology &amp; Pharmacy</t>
  </si>
  <si>
    <t xml:space="preserve">9G6KR</t>
  </si>
  <si>
    <t xml:space="preserve">WOS:000938259800001</t>
  </si>
  <si>
    <t xml:space="preserve">Agile Enterprise Architecture by Leveraging Use Cases</t>
  </si>
  <si>
    <t xml:space="preserve">Enterprise Architecture; Use Case; Enterprise Architecture Management; Agile</t>
  </si>
  <si>
    <t xml:space="preserve">Despite benefits Enterprise Architecture (EA) has brought, EA has also been challenged due to its complexity, heavy workload demands, and poor user acceptance. Researchers and practitioners proposed to use EA in an agile and business outcome-driven way. This means that EA should not primarily be developed and used according to a pre-defined framework. Instead, EA should be developed and used for specific business purposes and by means of concrete deliverables. By doing so, a more effective and efficient way of EA application could be enabled. However, there is no common agreement on what types of business goals can be expected to be achieved by using EA (The What) and how to achieve these goals through EA solutions (The How). To address these issues, we analysed the information provided by leading EA tool vendors available on their websites to get inspiration. The results showed that Use Cases (UCs) are used generally to motivate potential EA users by focusing on specific business issues. Then, EA solutions to address such business requirements or challenges are scoped and derived accordingly. We expect relevant findings could bring inspiration to agile EA engineering, change the EA heavy-weight reputation, and improve the application of EA even among its sceptics.</t>
  </si>
  <si>
    <t xml:space="preserve">[Guo, Hong] Anhui Univ, Sch Business, 111 Jiulong Rd, Hefei, Peoples R China; [Guo, Hong; Li, Jingyue] Norwegian Univ Sci &amp; Technol, Dept Comp Sci, Trondheim, Norway; [Gao, Shang] Orebro Univ, Sch Business, Orebro, Sweden; [Smite, Darja] Blekinge Inst Technol, Dept Software Engn, Karlskrona, Sweden</t>
  </si>
  <si>
    <t xml:space="preserve">European Research Consortium for Informatics and Mathematics (ERCIM); [NFR 295920 IDUN]</t>
  </si>
  <si>
    <t xml:space="preserve">European Research Consortium for Informatics and Mathematics (ERCIM);</t>
  </si>
  <si>
    <t xml:space="preserve">10.5220/0010534705010509</t>
  </si>
  <si>
    <t xml:space="preserve">WOS:000783843700053</t>
  </si>
  <si>
    <t xml:space="preserve">Winning, L; Polyzois, I; Berglund, JS; Renvert, S</t>
  </si>
  <si>
    <t xml:space="preserve">Winning, Lewis; Polyzois, Ioannis; Berglund, Johan Sanmartin; Renvert, Stefan</t>
  </si>
  <si>
    <t xml:space="preserve">Periodontitis and airflow limitation in older Swedish individuals</t>
  </si>
  <si>
    <t xml:space="preserve">ageing; airflow limitation; chronic obstructive pulmonary disease; periodontitis</t>
  </si>
  <si>
    <t xml:space="preserve">OBSTRUCTIVE PULMONARY-DISEASE; LUNG-FUNCTION; RISK-FACTORS; NATIONAL-HEALTH; COPD; ASSOCIATIONS; CLASSIFICATION; DEFINITIONS; RADIOGRAPHS; PREVALENCE</t>
  </si>
  <si>
    <t xml:space="preserve">Aim To investigate whether there was an association between periodontitis and airflow limitation in older Swedish individuals. Materials and Methods Study individuals were randomly selected from the Swedish civil registration database representing the ageing population in Karlskrona, Sweden. Clinical and radiographic examinations were performed, alongside which participants completed questionnaires gathering information on their medical history, social circumstances, demographic background and tobacco use. A physical examination assessed anthropometric measures. Standard spirometry was performed to identify subjects with airflow limitation. Periodontitis was defined based on radiographic periodontal bone loss. Analysis included multiple logistic regression with adjustment for various confounders. Results A total of 826 Caucasian dentate subjects were included in the analysis. The median age of participants was 73.2 (IQR 66-81) years, and 443 (54.6%) subjects were female. Eighty-six (10.4%) individuals presented with airflow limitation. The proportion of participants presenting with periodontitis in the airflow limitation group was 65.1% compared to 41.5% with normal respiratory function (p &lt; .001). Multiple logistic regression analysis showed that periodontitis was independently associated with airflow limitation with an odds ratio of 2.31 (95% CI 1.27-4.22) p &lt; .01. Conclusion In this group of older dentate individuals, periodontitis was significantly associated with airflow limitation independent of other known risk factors.</t>
  </si>
  <si>
    <t xml:space="preserve">[Winning, Lewis; Polyzois, Ioannis; Renvert, Stefan] Dublin Dent Univ Hosp, Trinty Coll Dublin, Dublin, Ireland; [Berglund, Johan Sanmartin; Renvert, Stefan] Blekinge Inst Technol, Karlskrona, Sweden; [Berglund, Johan Sanmartin] Lund Univ, Dept Clin Sci, Lund, Sweden; [Renvert, Stefan] Kristianstad Univ, Sch Hlth &amp; Soc, Kristianstad, Sweden; [Renvert, Stefan] Univ Hong Kong, Fac Dent, Hong Kong, Peoples R China</t>
  </si>
  <si>
    <t xml:space="preserve">Trinity College Dublin; Blekinge Institute Technology; Lund University; Kristianstad University; University of Hong Kong</t>
  </si>
  <si>
    <t xml:space="preserve">Winning, L (corresponding author), Dublin Dent Univ Hosp, Trinity Coll Dublin, Lincoln Pl, Dublin D02 F859 2, Ireland.</t>
  </si>
  <si>
    <t xml:space="preserve">Lewis.Winning@dental.tcd.ie</t>
  </si>
  <si>
    <t xml:space="preserve">Polyzois, Ioannis/H-8129-2019; Winning, Lewis/AAN-5151-2020; Sanmartin Berglund, Johan/HGB-0471-2022; Renvert, Stefan/AAM-2415-2020</t>
  </si>
  <si>
    <t xml:space="preserve">Renvert, Stefan/0000-0003-0992-2362; Winning, Lewis/0000-0002-8783-8089; Polyzois, Ioannis/0000-0002-0921-0843</t>
  </si>
  <si>
    <t xml:space="preserve">ministry of Health and Social Affairs, Sweden</t>
  </si>
  <si>
    <t xml:space="preserve">The Swedish National Study on Ageing and Care (SNAC) is financially supported by the ministry of Health and Social Affairs, Sweden, and the participating councils, municipals and university departments.</t>
  </si>
  <si>
    <t xml:space="preserve">10.1111/jcpe.13287</t>
  </si>
  <si>
    <t xml:space="preserve">LS6KK</t>
  </si>
  <si>
    <t xml:space="preserve">WOS:000527319100001</t>
  </si>
  <si>
    <t xml:space="preserve">Zhang, PC; Yi, W; Song, YZ; Thomson, G; Wu, P; Aghamohammadi, N</t>
  </si>
  <si>
    <t xml:space="preserve">Zhang, Pengcheng; Yi, Wen; Song, Yongze; Thomson, Giles; Wu, Peng; Aghamohammadi, Nasrin</t>
  </si>
  <si>
    <t xml:space="preserve">Geospatial learning for large-scale transport infrastructure depth prediction</t>
  </si>
  <si>
    <t xml:space="preserve">INTERNATIONAL JOURNAL OF APPLIED EARTH OBSERVATION AND GEOINFORMATION</t>
  </si>
  <si>
    <t xml:space="preserve">Geospatial intelligence; Sustainable infrastructure; Vehicle-based laser scanning; Remote sensing; GIS</t>
  </si>
  <si>
    <t xml:space="preserve">PAVEMENT PERFORMANCE; RANDOM FOREST; DESIGN</t>
  </si>
  <si>
    <t xml:space="preserve">Transportation infrastructure supports the smooth mobility of humans, commodities, and services. Pavement depth measures the quality of road infrastructure through representing the thickness of road surfaces, and influences various aspects of construction projects. However, accurately modeling and predicting pavement depth has been a critical challenge due to diverse and complex factors, such as weather dynamics, traffic patterns, maintenance interventions, and environmental fluctuations. This study develops a second-dimension spatial learning (SDSL) model that integrates geospatial models and machine learning for large-scale pavement depth prediction. SDSL models are implemented in pavement prediction for eight distinct regions in Western Australia, and they are validated using the observation of pavement depth through cross-validation. Results demonstrate that the proposed SDSL models can more accurately predict large-scale pavement depth than the existing first-dimension spatial learning (FDSL) models, with 17.3% to 37.6% increase of R 2 values, 1.46% to 16.5% reduction of RMSE, 1.7% to 31.1% reduction of MAE and 21.0% reduction of prediction uncertainty. SDSL models enhance effective infrastructure management by accurately predicting pavement depth, essential for maintaining large-scale transportation infrastructure. The study significantly contributes to the efficient management of sustainable infrastructure assets, saving time and money.</t>
  </si>
  <si>
    <t xml:space="preserve">[Zhang, Pengcheng; Yi, Wen] Hong Kong Polytech Univ, Dept Bldg &amp; Real Estate, Hung Hom, Hong Kong, Peoples R China; [Song, Yongze; Thomson, Giles; Wu, Peng; Aghamohammadi, Nasrin] Curtin Univ, Sch Design &amp; Built Environm, Perth, Australia; [Thomson, Giles] Blekinge Inst Technol, Dept Strateg Sustainable Dev, Karlskrona, Sweden; [Aghamohammadi, Nasrin] Univ Malaya, Fac Med, Ctr Epidemiol &amp; Evidence Based Practice, Dept Social &amp; Prevent Med, Lumpur, Malaysia</t>
  </si>
  <si>
    <t xml:space="preserve">Hong Kong Polytechnic University; Curtin University; Blekinge Institute Technology; Universiti Malaya</t>
  </si>
  <si>
    <t xml:space="preserve">Song, YZ (corresponding author), Curtin Univ, Sch Design &amp; Built Environm, Perth, Australia.</t>
  </si>
  <si>
    <t xml:space="preserve">wen.yi@polyu.edu.hk; yongze.song@curtin.edu.au</t>
  </si>
  <si>
    <t xml:space="preserve">zhang, peng/ABD-2249-2021; Song, Yongze/F-1940-2018; Yi, Wen/AEN-1549-2022; Aghamohammadi, Nasrin/G-9392-2013</t>
  </si>
  <si>
    <t xml:space="preserve">Aghamohammadi, Nasrin/0000-0002-7063-1671</t>
  </si>
  <si>
    <t xml:space="preserve">National Natural Foundation of China [72201229, 72361137006]</t>
  </si>
  <si>
    <t xml:space="preserve">National Natural Foundation of China(National Natural Science Foundation of China (NSFC))</t>
  </si>
  <si>
    <t xml:space="preserve">Acknowledgment This research work was supported by the National Natural Foundation of China [Grant Nos. 72201229, 72361137006] .</t>
  </si>
  <si>
    <t xml:space="preserve">1569-8432</t>
  </si>
  <si>
    <t xml:space="preserve">1872-826X</t>
  </si>
  <si>
    <t xml:space="preserve">INT J APPL EARTH OBS</t>
  </si>
  <si>
    <t xml:space="preserve">Int. J. Appl. Earth Obs. Geoinf.</t>
  </si>
  <si>
    <t xml:space="preserve">10.1016/j.jag.2024.103986</t>
  </si>
  <si>
    <t xml:space="preserve">Remote Sensing</t>
  </si>
  <si>
    <t xml:space="preserve">XN7J8</t>
  </si>
  <si>
    <t xml:space="preserve">WOS:001262427200001</t>
  </si>
  <si>
    <t xml:space="preserve">Mysteries of the trade? Skill-specific local agglomeration economies</t>
  </si>
  <si>
    <t xml:space="preserve">agglomeration economies; wages; spillovers; attenuation; clusters; economic proximity; relatedness</t>
  </si>
  <si>
    <t xml:space="preserve">INNOVATION; CITIES; PRODUCTIVITY; RELATEDNESS; PROXIMITY; DIVERSITY; INDUSTRY; GROWTH; SPECIALIZATION; EXTERNALITIES</t>
  </si>
  <si>
    <t xml:space="preserve">Do workers benefit from proximity to other workers with similar skill sets? This question dates back at least to Alfred Marshall. We use occupation groups to proxy skill sets and show that the answer likely depends on geographical levels, as well on regional hierarchy. Using longitudinal Swedish data, we document robust evidence consistent with highly localized spillovers at the level of sub-city districts between individuals in similar occupations. We further demonstrate less distance-sensitive benefits of working in districts and regions, characterized by high overall density (of employees in other occupations). We find no evidence of benefits from overall density outside Sweden's three main metropolitan areas.</t>
  </si>
  <si>
    <t xml:space="preserve">[Andersson, Martin] Blekinge Inst Technol BTH, Dept Ind Econ, Karlshamn, Sweden; [Andersson, Martin] Swedish Entrepreneurship Forum, Stockholm, Sweden; [Andersson, Martin] Res Inst Ind Econ IFN, Stockholm, Sweden; [Andersson, Martin] Lund Univ, Ctr Innovat Res &amp; Competence Learning Econ CIRCLE, Lund, Sweden; [Larsson, Johan P.] Univ Cambridge, Dept Land Econ, Cambridge, England; [Larsson, Johan P.] Jonkoping Int Business Sch JIBS, Ctr Entrepreneurship &amp; Spatial Econ CEnSE, Jonkoping, Sweden</t>
  </si>
  <si>
    <t xml:space="preserve">Blekinge Institute Technology; Research Institute of Industrial Economics (IFN); Lund University; University of Cambridge; Jonkoping University</t>
  </si>
  <si>
    <t xml:space="preserve">Andersson, M (corresponding author), Blekinge Inst Technol BTH, Dept Ind Econ, Karlshamn, Sweden.;Andersson, M (corresponding author), Swedish Entrepreneurship Forum, Stockholm, Sweden.;Andersson, M (corresponding author), Res Inst Ind Econ IFN, Stockholm, Sweden.;Andersson, M (corresponding author), Lund Univ, Ctr Innovat Res &amp; Competence Learning Econ CIRCLE, Lund, Sweden.</t>
  </si>
  <si>
    <t xml:space="preserve">Larsson, Johan P./0000-0001-7432-7442; Andersson, Martin/0000-0002-0302-6244</t>
  </si>
  <si>
    <t xml:space="preserve">SEP 2</t>
  </si>
  <si>
    <t xml:space="preserve">10.1080/00343404.2021.1954611</t>
  </si>
  <si>
    <t xml:space="preserve">3Y0QF</t>
  </si>
  <si>
    <t xml:space="preserve">WOS:000683673100001</t>
  </si>
  <si>
    <t xml:space="preserve">Freund, F; Sornette, J; Stockburger, C; Keller, CT; Gray, A; Cruikshank, DP</t>
  </si>
  <si>
    <t xml:space="preserve">Freund, FriedemannT; Sornette, Jaufray; Stockburger, Corey; Keller, Cary T.; Gray, Amber; Cruikshank, Dale P.</t>
  </si>
  <si>
    <t xml:space="preserve">Stress-activated electric currents in icy planetary bodies: H2O2-doped H2O ices</t>
  </si>
  <si>
    <t xml:space="preserve">ICARUS</t>
  </si>
  <si>
    <t xml:space="preserve">Water ice; Stress-induced electric currents; Hydrogen peroxide doping; Peroxy defects; Positive hole charge carriers; Electrical conductivity; Stress gradients</t>
  </si>
  <si>
    <t xml:space="preserve">Planetary satellites such as the Jovian moon Europa and several Kuiper Belt objects (including Pluto) have surfaces consisting largely of H2O ice, which is brittle and behaves as a rock at the low temperatures that prevail in the outer Solar System. Several of those ice-crusted bodies show evidence of tectonic activity indicating high levels of stress. This paper reports on laboratory experiments with pure H2O ice and H2O2-doped H2O ices with H2O2 concentration levels comparable to those in the ices of Europa. Elongated rectangular ice blocks at T = -81 degrees C [192 K] were stressed at one end to test whether electric currents are generated and capable of flowing down the stress gradient. Pure H2O ice was found to not produce currents above the 10(-19) A background level except for occasional transients in the 10(-9)-10(-8) A range during fracture or rapid plastic deformation due to electrons, e'. By contrast, stressing H2O2-doped H2O ices consistently produced electric currents in the 10(-7)-10(-5) A range, due to holes, h(center dot), propagating from the stressed end to the unstressed end. The h(center dot) charge carriers are generated by the break-up of peroxy bonds of H2O2 molecules, leading to O-, equivalent to defect electrons or holes h(center dot) in the O2- matrix.</t>
  </si>
  <si>
    <t xml:space="preserve">[Freund, FriedemannT] SETI Inst, Mountain View, CA 94043 USA; [Freund, FriedemannT] NASA, Ames Res Ctr, Code SCR, Moffett Field, CA 94035 USA; [Freund, FriedemannT] San Jose State Univ, Phys Dept, San Jose, CA 95192 USA; [Sornette, Jaufray] NASA Ames Res Ctr SETI Inst Akka Technol, Zurich, Switzerland; [Stockburger, Corey] Middle Tennessee State Univ, Phys Dept, Murfreesboro, TN 37132 USA; [Keller, Cary T.] Michigan Technol Univ, STAR Fellowship, Houghton, MI 49931 USA; [Keller, Cary T.] San Jose State Univ, Mech &amp; Aerosp Engn Dept, San Jose, CA 95192 USA; [Gray, Amber] Blekinge Inst Technol, S-37141 Karlskrona, Sweden; [Cruikshank, Dale P.] NASA, Ames Res Ctr, Space Sci Div, Moffett Field, CA 94035 USA</t>
  </si>
  <si>
    <t xml:space="preserve">National Aeronautics &amp; Space Administration (NASA); NASA Ames Research Center; California State University System; San Jose State University; Middle Tennessee State University; Michigan Technological University; California State University System; San Jose State University; Blekinge Institute Technology; National Aeronautics &amp; Space Administration (NASA); NASA Ames Research Center</t>
  </si>
  <si>
    <t xml:space="preserve">Freund, F (corresponding author), SETI Inst, Mountain View, CA 94043 USA.</t>
  </si>
  <si>
    <t xml:space="preserve">friedemann.t.freund@nasa.gov; amber.gray@bth.se; dale.p.cruikshank@nasa.gov</t>
  </si>
  <si>
    <t xml:space="preserve">NASA Exobiology grant [NNX10AR81G]; NASA Earth Surface and Interior grant [NNX12AL71G]; STEM Teacher and Researcher program at the Center for Excellence in Science and Mathematics Education, California Polytechnic State University in San Luis Obispo, California; NASA Cassini Mission; Academy of Finland (AKA) [123786] Funding Source: Academy of Finland (AKA); NASA [NNX12AL71G, 123786, NNX10AR81G, 69620] Funding Source: Federal RePORTER</t>
  </si>
  <si>
    <t xml:space="preserve">NASA Exobiology grant(National Aeronautics &amp; Space Administration (NASA)); NASA Earth Surface and Interior grant; STEM Teacher and Researcher program at the Center for Excellence in Science and Mathematics Education, California Polytechnic State University in San Luis Obispo, California; NASA Cassini Mission; Academy of Finland (AKA)(Research Council of Finland); NASA(National Aeronautics &amp; Space Administration (NASA))</t>
  </si>
  <si>
    <t xml:space="preserve">The work has been supported by the NASA Exobiology grant NNX10AR81G and the NASA Earth Surface and Interior grant NNX12AL71G, both to FTF. AG was supported through the NASA Earth Surface and Interior grant NNX12AL71G to FTF. CS and CK were supported by the STEM Teacher and Researcher (formerly Science Teacher and Researcher STAR) program at the Center for Excellence in Science and Mathematics Education, California Polytechnic State University in San Luis Obispo, California, respectively. DPC acknowledges partial support from the NASA Cassini Mission.</t>
  </si>
  <si>
    <t xml:space="preserve">0019-1035</t>
  </si>
  <si>
    <t xml:space="preserve">1090-2643</t>
  </si>
  <si>
    <t xml:space="preserve">Icarus</t>
  </si>
  <si>
    <t xml:space="preserve">10.1016/j.icarus.2020.114157</t>
  </si>
  <si>
    <t xml:space="preserve">QE4KY</t>
  </si>
  <si>
    <t xml:space="preserve">WOS:000616177500005</t>
  </si>
  <si>
    <t xml:space="preserve">Pham, QT; Islam, MS; Sigvant, M; Caro, LP; Lee, MG; Kim, YS</t>
  </si>
  <si>
    <t xml:space="preserve">Pham, Quoc Tuan; Islam, Md Shafiqul; Sigvant, Mats; Caro, Lluis Perez; Lee, Myoung-Gyu; Kim, Young-Suk</t>
  </si>
  <si>
    <t xml:space="preserve">Improvement of modified maximum force criterion for forming limit diagram prediction of sheet metal</t>
  </si>
  <si>
    <t xml:space="preserve">INTERNATIONAL JOURNAL OF SOLIDS AND STRUCTURES</t>
  </si>
  <si>
    <t xml:space="preserve">Forming limit diagram; Modified maximum force criterion; Sheet metal; Diffuse neck; Localized neck</t>
  </si>
  <si>
    <t xml:space="preserve">THICKNESS NORMAL STRESS; LOCALIZED NECKING; BIFURCATION-ANALYSIS; ALUMINUM-ALLOY; HARDENING LAW; STRAIN-RATE; CURVES; MODEL; STEEL; TEMPERATURE</t>
  </si>
  <si>
    <t xml:space="preserve">This study presents a new criterion (MMFC2) for predicting the forming limit curve (FLC) of sheet metal. The strain path evolution of a critical element examined in a uniaxial tensile test is elaborated by incorporating the results of experimental measurement, finite element simulation, and theoretical prediction via the Modified Maximum Force Criterion (MMFC). A scaling factor is introduced to mimic the theoretical evaluation with the simulated one. It is believed that the rotation of the principal axes of the theoretically considering material point, which is initially co-axial with the external load coordinate, implicates the macro track of the strain path change. Furthermore, an optimal event of the second derivative of the axial rotations is proposed to indicate the strain localization and formulate the FLC. The performance of the proposed criterion is compared with that of the original MMFC in predicting the FLC of three automotive sheet metals, of which all related data were published in the Benchmark of Numisheet 2014 conference. The use of three different hardening laws and three yield functions is examined in the analogy. The comparison reveals that the results of MMFC2 are more sensitive to the employed constitutive model than that of MMFC. Furthermore, the proposed MMFC2 presents concordant results with the experimental data. Nakajima tests are conducted for CR4 mild steel sheets to validate the capacity of the proposed criterion. Well agreement between the experimentally measured data and theoretical prediction based on the Yld2k yield function verifies its usefulness in practice.</t>
  </si>
  <si>
    <t xml:space="preserve">[Pham, Quoc Tuan; Islam, Md Shafiqul; Sigvant, Mats] Blekinge Inst Technol, Dept Mech Engn, Karlskrona, Sweden; [Sigvant, Mats] Volvo Cars, S-81110 Olofstrom, Sweden; [Caro, Lluis Perez] RISE Res Inst Sweden, Component Mfg Unit, Olofstrom, Sweden; [Lee, Myoung-Gyu] Seoul Natl Univ, Dept Mat Sci &amp; Engn, Seoul 08826, South Korea; [Lee, Myoung-Gyu] Seoul Natl Univ, RIAM, Seoul 08826, South Korea; [Kim, Young-Suk] Kyungpook Natl Univ, Sch Mech Engn, Daegu 41566, South Korea</t>
  </si>
  <si>
    <t xml:space="preserve">Blekinge Institute Technology; Volvo; RISE Research Institutes of Sweden; Seoul National University (SNU); Seoul National University (SNU); Kyungpook National University (KNU)</t>
  </si>
  <si>
    <t xml:space="preserve">Perez Caro, Lluis/0000-0002-1432-444X; Islam, Md Shafiqul/0000-0002-1162-7023; Pham, Tuan/0000-0002-8204-4802</t>
  </si>
  <si>
    <t xml:space="preserve">VINNOVA, Sweden in the Sustainable Pro-duction sub-program within Vehicle Strategic Research and Innovation (FFI) program [2020-02986]; Blekinge Institute of Technology, Sweden; Vinnova [2020-02986] Funding Source: Vinnova</t>
  </si>
  <si>
    <t xml:space="preserve">VINNOVA, Sweden in the Sustainable Pro-duction sub-program within Vehicle Strategic Research and Innovation (FFI) program(Vinnova); Blekinge Institute of Technology, Sweden; Vinnova(Vinnova)</t>
  </si>
  <si>
    <t xml:space="preserve">Acknowledgments This study was funded by VINNOVA, Sweden in the Sustainable Pro-duction sub-program within Vehicle Strategic Research and Innovation (FFI) program (grant number 2020-02986) . Open Access funding was provided by the Blekinge Institute of Technology, Sweden.</t>
  </si>
  <si>
    <t xml:space="preserve">0020-7683</t>
  </si>
  <si>
    <t xml:space="preserve">1879-2146</t>
  </si>
  <si>
    <t xml:space="preserve">INT J SOLIDS STRUCT</t>
  </si>
  <si>
    <t xml:space="preserve">Int. J. Solids Struct.</t>
  </si>
  <si>
    <t xml:space="preserve">JUN 15</t>
  </si>
  <si>
    <t xml:space="preserve">10.1016/j.ijsolstr.2023.112264</t>
  </si>
  <si>
    <t xml:space="preserve">G5IL0</t>
  </si>
  <si>
    <t xml:space="preserve">WOS:000989489800001</t>
  </si>
  <si>
    <t xml:space="preserve">Thomson, G; Newman, P; Hes, D; Bennett, J; Taylor, M; Johnstone, R</t>
  </si>
  <si>
    <t xml:space="preserve">Thomson, Giles; Newman, Peter; Hes, Dominique; Bennett, Jo; Taylor, Mark; Johnstone, Ron</t>
  </si>
  <si>
    <t xml:space="preserve">Nature-Positive Design and Development: A Case Study on Regenerating Black Cockatoo Habitat in Urban Developments in Perth, Australia</t>
  </si>
  <si>
    <t xml:space="preserve">URBAN SCIENCE</t>
  </si>
  <si>
    <t xml:space="preserve">urban planning; urban regeneration; biodiversity; regenerative urbanism; transdisciplinary; urban ecology; charismatic species</t>
  </si>
  <si>
    <t xml:space="preserve">GREEN INFRASTRUCTURE; BIOPHILIC URBANISM; ECOSYSTEM SERVICES; CITIES</t>
  </si>
  <si>
    <t xml:space="preserve">The benefits of ecosystem services to cities are well documented; for example, water-sensitive urban design to mitigate stormwater flows and purify run-off, the cooling benefits provided by tree shade, and psychological benefits of urban greening. Cities tend to displace nature, and in urban environments where nature exists it tends to be as highly altered ecosystems. This paper sets out how it is possible to regenerate nature in cities. We outline the principles of how to do this through a study on a new regenerative urban development in Perth, Australia, where urban planning is intended to support the regeneration of a bioregional habitat within the city. The authors, drawn from sustainability, property development and ecological backgrounds, describe how urban regeneration can potentially facilitate the regeneration of endemic habitat within the city. This builds on the original ecosystem functionality to provide an urban ecosystem that enables biodiversity to regenerate. Perth lies on the Swan Coastal Plain, a biodiversity hotspot; it is home to 2.1 million people and numerous endemic species such as the endangered Black Cockatoo. Low reproduction rates and habitat loss through agricultural clearing, fire and urban expansion have greatly reduced the Black Cockatoo's range and this continuing trend threatens extinction. However, the charismatic Black Cockatoos enjoy passionate support from Perth's citizens. This paper describes a range of strategies whereby new urban development could potentially harness the popularity of the iconic Black Cockatoo to build momentum for urban habitat regeneration (for the cockatoos and other species) on the Swan Coastal Plain. The strategies, if systematically operationalised through urban planning, could allow city-scale ecological gain. The authors suggest a framework for nature-positive design and development that offers multiple benefits for human and non-human urban dwellers across scales, from individual gardens, to city/regional scale habitat corridors. Collectively, these strategies can increase the capacity of the city to support endemic species, simultaneously enhancing a bioregional sense of place, and numerous associated ecosystem services to increase urban resilience in the face of climate change.</t>
  </si>
  <si>
    <t xml:space="preserve">[Thomson, Giles; Newman, Peter] Curtin Univ, Sustainabil Policy Inst, Bentley, WA 6102, Australia; [Thomson, Giles] Blekinge Inst Technol, Dept Strateg Sustainable Dev, S-37140 Karlskrona, Sweden; [Hes, Dominique] Griffith Univ, Cities Res Inst, Nathan, Qld 4111, Australia; [Bennett, Jo; Taylor, Mark] Hesperia, Subiaco, WA 6008, Australia; [Johnstone, Ron] Western Australian Museum, Perth, WA 6000, Australia</t>
  </si>
  <si>
    <t xml:space="preserve">Curtin University; Blekinge Institute Technology; Griffith University; Western Australian Museum</t>
  </si>
  <si>
    <t xml:space="preserve">Thomson, G; Newman, P (corresponding author), Curtin Univ, Sustainabil Policy Inst, Bentley, WA 6102, Australia.;Thomson, G (corresponding author), Blekinge Inst Technol, Dept Strateg Sustainable Dev, S-37140 Karlskrona, Sweden.</t>
  </si>
  <si>
    <t xml:space="preserve">grt@bth.se; p.newman@curtin.edu.au; dominiquehes27@gmail.com; jo@hesperia.com.au; mark@hesperia.com.au; ron.johnstone@museum.wa.gov.au</t>
  </si>
  <si>
    <t xml:space="preserve">Hes, Dominique/O-5024-2019</t>
  </si>
  <si>
    <t xml:space="preserve">Thomson, Giles/0000-0002-9873-3872; Hes, Dominique/0000-0001-6495-9059; Newman, Peter/0000-0002-8668-2764</t>
  </si>
  <si>
    <t xml:space="preserve">Knowledge Foundation (KK-stiftelsen) in Sweden; Curtin University</t>
  </si>
  <si>
    <t xml:space="preserve">This research was partially funded by Curtin University Humanities Linkage Fund: Net Zero Urban Development: A Residential Development and an Industrial Development Demonstration in Perth, developed with Hesperia. GT would like to acknowledge financial support from the Knowledge Foundation (KK-stiftelsen) in Sweden.</t>
  </si>
  <si>
    <t xml:space="preserve">2413-8851</t>
  </si>
  <si>
    <t xml:space="preserve">URBAN SCI</t>
  </si>
  <si>
    <t xml:space="preserve">Urban Sci.</t>
  </si>
  <si>
    <t xml:space="preserve">10.3390/urbansci6030047</t>
  </si>
  <si>
    <t xml:space="preserve">Environmental Sciences; Environmental Studies; Geography; Regional &amp; Urban Planning; Urban Studies</t>
  </si>
  <si>
    <t xml:space="preserve">4R6QK</t>
  </si>
  <si>
    <t xml:space="preserve">WOS:000856885800001</t>
  </si>
  <si>
    <t xml:space="preserve">Serino, G; Wada, M; Mameno, T; Renvert, S</t>
  </si>
  <si>
    <t xml:space="preserve">Serino, Giovanni; Wada, Masahiro; Mameno, Tomoaki; Renvert, Stefan</t>
  </si>
  <si>
    <t xml:space="preserve">Two- and ten-year follow-up of patients responding and non-responding to the surgical treatment of peri-implantitis: A retrospective evaluation</t>
  </si>
  <si>
    <t xml:space="preserve">CLINICAL ORAL IMPLANTS RESEARCH</t>
  </si>
  <si>
    <t xml:space="preserve">dental implants; follow-up study; Peri-implantitis/surgery; risk factors; treatment outcome</t>
  </si>
  <si>
    <t xml:space="preserve">Objectives To report a follow-up of patients following the surgical anti-infective treatment of peri-implantitis and to identify possible risk indicators for the progression of disease during supportive peri-implant therapy. Material and Methods Following peri-implant surgery, 41 patients (213 implants) were enrolled in a supportive peri-implant therapy. At the 2-year follow-up, two groups of patients were identified, with or without residual peri-implant pockets (responding and non-responding group). Eighteen patients (85 implants) of the non-responding group were followed for further 8 years. Results At the 2-year examination, 73 of the 117 treated implants (62.4%) presented healthy peri-implant condition, while 44 (37.6%) presented persisting peri-implantitis associated with substantial bone loss before treatment. The 10-year examination of the non-responding group revealed that 1) 84% of the implants that regained health following surgery remained healthy during the entire observation period; 2) 66% of the implants with residual pockets following surgery maintained stable peri-implant condition; and 3) 29% of all treated implants showed disease progression, and 11 of those were extracted. Presence of pockets at 3-4 sites of the implants was identified as risk indicator for progression of peri-implantitis. Conclusion The peri-implant health achieved following therapy was maintained for most of the implants during the follow-up. Residual pockets were a frequent finding at implants with substantial bone loss before treatment. Presence of pockets around the entire circumference of the implants resulted as a risk indicator for further disease progression. The probability of progression of peri-implant disease increased with increased observation time.</t>
  </si>
  <si>
    <t xml:space="preserve">[Serino, Giovanni; Wada, Masahiro] Publ Dent Hlth Serv, Clin Periodontol, Boras, Region Vastra G, Sweden; [Serino, Giovanni] Res &amp; Dev Unit, Boras, Sweden; [Wada, Masahiro; Mameno, Tomoaki] Osaka Univ, Grad Sch Dent, Dept Prosthodont Gerodontol &amp; Oral Rehabil, Osaka, Japan; [Renvert, Stefan] Kristianstad Univ, Dept Hlth Sci, Kristianstad, Sweden; [Renvert, Stefan] Blekinge Inst Technol, Dept Hlth, Karlskrona, Sweden; [Renvert, Stefan] Trinity Coll Dublin, Sch Dent Sci, Dublin, Ireland; [Renvert, Stefan] Univ Hong Kong, Fac Dent, Hong Kong, Peoples R China</t>
  </si>
  <si>
    <t xml:space="preserve">Osaka University; Kristianstad University; Blekinge Institute Technology; Trinity College Dublin; University of Hong Kong</t>
  </si>
  <si>
    <t xml:space="preserve">Serino, G (corresponding author), Sodra Alvsborg Hosp, Clin Periodontol, S-50182 Boras, Sweden.</t>
  </si>
  <si>
    <t xml:space="preserve">giovanni.serino@vgregion.se</t>
  </si>
  <si>
    <t xml:space="preserve">Wada, Masahiro/KMA-1024-2024; Renvert, Stefan/AAM-2415-2020</t>
  </si>
  <si>
    <t xml:space="preserve">Mameno, Tomoaki/0000-0002-1796-8371; Renvert, Stefan/0000-0003-0992-2362</t>
  </si>
  <si>
    <t xml:space="preserve">Clinic of Periodontology, Boras, Public Dental Service, Region Vastra Gotaland, Sweden</t>
  </si>
  <si>
    <t xml:space="preserve">The study has been self-supported by the Clinic of Periodontology, Boras, Public Dental Service, Region Vastra Gotaland, Sweden.</t>
  </si>
  <si>
    <t xml:space="preserve">0905-7161</t>
  </si>
  <si>
    <t xml:space="preserve">1600-0501</t>
  </si>
  <si>
    <t xml:space="preserve">CLIN ORAL IMPLAN RES</t>
  </si>
  <si>
    <t xml:space="preserve">Clin. Oral Implant. Res.</t>
  </si>
  <si>
    <t xml:space="preserve">10.1111/clr.13711</t>
  </si>
  <si>
    <t xml:space="preserve">Dentistry, Oral Surgery &amp; Medicine; Engineering, Biomedical</t>
  </si>
  <si>
    <t xml:space="preserve">Dentistry, Oral Surgery &amp; Medicine; Engineering</t>
  </si>
  <si>
    <t xml:space="preserve">RN6WF</t>
  </si>
  <si>
    <t xml:space="preserve">WOS:000614500300001</t>
  </si>
  <si>
    <t xml:space="preserve">Foss, NJ; Andersson, M; Henrekson, M; Jack, S; Stenkula, M; Thorburn, K; Zander, I</t>
  </si>
  <si>
    <t xml:space="preserve">Foss, Nicolai J.; Andersson, Martin; Henrekson, Magnus; Jack, Sarah; Stenkula, Mikael; Thorburn, Karin; Zander, Ivo</t>
  </si>
  <si>
    <t xml:space="preserve">Saras Sarasvathy: recipient of the 2022 Global Award for Entrepreneurship Research</t>
  </si>
  <si>
    <t xml:space="preserve">Global Award for Entrepreneurship Research; Entrepreneurship; Effectuation; Causation</t>
  </si>
  <si>
    <t xml:space="preserve">EFFECTUAL LOGIC; UNCERTAINTY; CAUSATION</t>
  </si>
  <si>
    <t xml:space="preserve">Professor Saras Sarasvathy is the recipient of the 2022 Global Award for Entrepreneurship Research. Her research contributions have fundamentally changed and invigorated the conversation in the domain of entrepreneurship research. Sarasvathy's work on effectuation emphasizes how entrepreneurs operate based on available resources, think in terms of affordable loss rather than profit maximization, leverage trustworthy partnerships, and treat unforeseen contingencies as opportunities rather than problems. It has led and inspired a new generation of researchers in the quest for a better understanding of how entrepreneurs make their decisions and the unfolding of the entrepreneurial process.</t>
  </si>
  <si>
    <t xml:space="preserve">[Foss, Nicolai J.] Copenhagen Business Sch, Kilevej 14, DK-2000 Frederiksberg, Denmark; [Andersson, Martin] Entreprenorskapsforum, Grevgatan 34, SE-11453 Stockholm, Sweden; [Andersson, Martin] Blekinge Inst Technol BTH, SE-37179 Karlskrona, Sweden; [Henrekson, Magnus; Stenkula, Mikael] Res Inst Ind Econ, POB 55665, SE-10215 Stockholm, Sweden; [Jack, Sarah] Stockholm Sch Econ, POB 6501, SE-11383 Stockholm, Sweden; [Jack, Sarah] Lancaster Univ Management Sch, Dept Entrepreneurship &amp; Strategy, Lancaster LA1 4YX, England; [Thorburn, Karin] Norwegian Sch Econ, Helleveien 30, NO-5045 Bergen, Norway; [Zander, Ivo] Uppsala Univ, POB 513, SE-75120 Uppsala, Sweden</t>
  </si>
  <si>
    <t xml:space="preserve">Copenhagen Business School; Blekinge Institute Technology; Research Institute of Industrial Economics (IFN); Stockholm School of Economics; Norwegian School of Economics (NHH); Uppsala University</t>
  </si>
  <si>
    <t xml:space="preserve">Foss, NJ (corresponding author), Copenhagen Business Sch, Kilevej 14, DK-2000 Frederiksberg, Denmark.</t>
  </si>
  <si>
    <t xml:space="preserve">njf.si@cbs.dk; martin.andersson@entreprenorskapsforum.se; Magnus.Henrekson@ifn.se; sarah.jack@hhs.se; mikael.stenkula@ifn.se; Karin.Thorburn@nhh.no; ivo.zander@fek.uu.se</t>
  </si>
  <si>
    <t xml:space="preserve">Thorburn, Karin/D-1258-2009; Foss, Nicolai/ACA-0247-2022; Andersson, Martin/G-5464-2011; jack, sarah/S-6710-2017</t>
  </si>
  <si>
    <t xml:space="preserve">Stenkula, Mikael/0000-0002-1590-2715</t>
  </si>
  <si>
    <t xml:space="preserve">10.1007/s11187-023-00746-6</t>
  </si>
  <si>
    <t xml:space="preserve">J1VQ4</t>
  </si>
  <si>
    <t xml:space="preserve">WOS:000956951700001</t>
  </si>
  <si>
    <t xml:space="preserve">Renvert, S; Giovannoli, JL; Roos-Jansåker, AM; Rinke, S</t>
  </si>
  <si>
    <t xml:space="preserve">Renvert, Stefan; Giovannoli, Jean-Louis; Roos-Jansaker, Ann-Marie; Rinke, Sven</t>
  </si>
  <si>
    <t xml:space="preserve">Surgical treatment of peri-implantitis with or without a deproteinized bovine bone mineral and a native bilayer collagen membrane: A randomized clinical trial</t>
  </si>
  <si>
    <t xml:space="preserve">bone augmentation; bone substitute; deproteinized bovine bone mineral; native bilayer collagen membrane; peri-implantitis; surgical treatment</t>
  </si>
  <si>
    <t xml:space="preserve">NANOCRYSTALLINE HYDROXYAPATITE; REGENERATIVE APPROACH; FOLLOW-UP; MANAGEMENT; DEFECTS; COMBINATION; THERAPY; LESIONS</t>
  </si>
  <si>
    <t xml:space="preserve">Aim To assess whether the use of deproteinized bovine bone mineral (DBBM) and native bilayer collagen membrane (NBCM) improved healing of peri-implantitis-related bone defects at 12 months. Materials and methods In a multi-centre, randomized clinical trial, 32 individuals received surgical debridement (control group [CG]), and 34 received adjunct use of DBBM and NBCM (test group [TG]). Radiographic defect fill (RDF), probing pocket depth (PPD), bleeding on probing (BOP), suppuration (SUP), recession (REC), cytokines (IL-1 beta, IL-1RA, IL-6, IL-8, IL-12, IP10, PDGF-BB, TNF-alpha, VEGF), and patient-reported outcomes (PROs) were evaluated at 3, 6, 9, and 12 months. Results RDF at the deepest site amounted 2.7 +/- 1.3 mm in TG and 1.4 +/- 1.2 mm in CG (p &lt;.0001). PPD was reduced by 1.9 mm in TG and 2.3 mm in CG (p = .5783). There were no significant differences between groups regarding reductions of BOP, SUP, REC, cytokines levels, or oral health impact profile (OHIP)-14 scores at 12 months. Successful treatment (RDF &gt;= 1.0 mm, PPD &lt;= 5 mm, &lt;= 1/4 site with BOP grade 1, no SUP) was identified in 32% in TG and 21% in CG. Conclusions DBBM and NBCM resulted in significantly more RDF than debridement alone. No difference was found in any clinical parameters or PROs between the groups. ClinicalTrials.gov Identifier: NCT02375750.</t>
  </si>
  <si>
    <t xml:space="preserve">[Renvert, Stefan] Kristianstad Univ, Oral Hlth Sci, S-29188 Kristianstad, SE, Sweden; [Renvert, Stefan] Trinity Coll Dublin, Sch Dent Sci, Dublin, Ireland; [Renvert, Stefan] Blekinge Inst Technol, Karlskrona, Sweden; [Renvert, Stefan] Univ Hong Kong, Fac Dent, Hong Kong, Peoples R China; [Giovannoli, Jean-Louis] Univ Cors, Inst Hlth, Corte, France; [Roos-Jansaker, Ann-Marie] Dept Specialized Dent Care, Publ Dent Serv, Karlskrona, Sweden; [Rinke, Sven] Univ Med Ctr, Dept Prosthodont, Gottingen, Germany</t>
  </si>
  <si>
    <t xml:space="preserve">Kristianstad University; Trinity College Dublin; Blekinge Institute Technology; University of Hong Kong; University of Gottingen; UNIVERSITY GOTTINGEN HOSPITAL</t>
  </si>
  <si>
    <t xml:space="preserve">Renvert, S (corresponding author), Kristianstad Univ, Oral Hlth Sci, S-29188 Kristianstad, SE, Sweden.</t>
  </si>
  <si>
    <t xml:space="preserve">Research Foundation at Kristianstad University; Geistlich Pharma AG</t>
  </si>
  <si>
    <t xml:space="preserve">10.1111/jcpe.13513</t>
  </si>
  <si>
    <t xml:space="preserve">UQ6LO</t>
  </si>
  <si>
    <t xml:space="preserve">WOS:000679129500001</t>
  </si>
  <si>
    <t xml:space="preserve">Nguyen, MHT; Bui, TT; Nguyen, LD; Garcia-Palacios, E; Zepernick, HJ; Shin, H; Duong, TQ</t>
  </si>
  <si>
    <t xml:space="preserve">Nguyen, Minh-Hien T.; Bui, Tinh T.; Nguyen, Long D.; Garcia-Palacios, Emiliano; Zepernick, Hans-Jurgen; Shin, Hyundong; Duong, Trung Q.</t>
  </si>
  <si>
    <t xml:space="preserve">Real-Time Optimized Clustering and Caching for 6G Satellite-UAV-Terrestrial Networks</t>
  </si>
  <si>
    <t xml:space="preserve">UAV-aided ISTN; caching; game theory; genetic algorithm; real-time optimization</t>
  </si>
  <si>
    <t xml:space="preserve">In this paper, we consider an Internet-of-Things network supported by several satellites and multiple cache-assisted unmanned aerial vehicles (UAVs). Due to the long-distance transmission and detrimental effects from the transmission environment, the latency can be extremely high, especially in the presence of backhaul congestion. Therefore, we formulate an optimisation problem with the aim of minimising the total network latency. To reduce the complexity of the original problem, it is divided into three sub-problems, namely, clustering ground users associated with UAVs, cache placement in UAVs (to support the network in avoiding backhaul congestion), and power allocation for satellites and UAVs. We propose a distributed optimisation method consisting of: a non-cooperative game is designed to obtain the solution to the clustering problem; a genetic algorithm, which is powerful in the scenario of many variables, is employed to obtain the optimal solution to the high-complexity caching problem; and a quick estimation technique is used for power allocation. Additionally, a centralised optimisation method is presented as a benchmark. Simulation results show that although the distributed method leads to network latency of approximately 30% higher than the centralised method, it takes significantly less time to execute and is suitable for systems requiring strict real-time computing constraints. Furthermore, the numerical results prove the efficiency of our methods compared with other conventional ones.</t>
  </si>
  <si>
    <t xml:space="preserve">[Nguyen, Minh-Hien T.; Garcia-Palacios, Emiliano] Queens Univ Belfast, Belfast BT7 1NN, North Ireland; [Bui, Tinh T.] Ho Chi Minh City Univ Technol, Ho Chi Minh City 700000, Vietnam; [Bui, Tinh T.] BTS Technol Solut Co Ltd, Ho Chi Minh City 700000, Vietnam; [Nguyen, Long D.] Duy Tan Univ, Inst Res &amp; Dev, Da Nang 550000, Vietnam; [Zepernick, Hans-Jurgen] Blekinge Inst Technol, S-37141 Karlskrona, Sweden; [Shin, Hyundong] Kyung Hee Univ, Dept Elect &amp; Informat Convergence Engn, Yongin 446701, Gyeonggi Do, South Korea; [Duong, Trung Q.] Queens Univ Belfast, Sch Elect Elect Engn &amp; Comp Sci, Belfast BT7 1NN, North Ireland; [Duong, Trung Q.] Kyung Hee Univ, Dept Elect Engn, Yongin 17104, Gyeonggi Do, South Korea</t>
  </si>
  <si>
    <t xml:space="preserve">Queens University Belfast; Vietnam National University Ho Chi Minh City (VNUHCM) System; VNU-HCM University of Technology (HCMUT); Duy Tan University; Blekinge Institute Technology; Kyung Hee University; Queens University Belfast; Kyung Hee University</t>
  </si>
  <si>
    <t xml:space="preserve">Shin, H (corresponding author), Kyung Hee Univ, Dept Elect &amp; Informat Convergence Engn, Yongin 446701, Gyeonggi Do, South Korea.;Duong, TQ (corresponding author), Queens Univ Belfast, Sch Elect Elect Engn &amp; Comp Sci, Belfast BT7 1NN, North Ireland.</t>
  </si>
  <si>
    <t xml:space="preserve">tnguyen08@qub.ac.uk; bttinh.sdh19@hcmut.edu.vn; nguyendinhlong1@duytan.edu.vn; e.garcia@ee.qub.ac.uk; hans-jurgen.zepernick@bth.se; hshin@khu.ac.kr; trung.q.duong@qub.ac.uk</t>
  </si>
  <si>
    <t xml:space="preserve">Duong, Trung Q./AAI-6708-2020; nguyen, long/KHV-1588-2024; Zepernick, Hans-Jürgen/AFJ-2429-2022; Shin, Hyundong/A-3223-2011; Duong, Trung Q./I-1291-2013</t>
  </si>
  <si>
    <t xml:space="preserve">Shin, Hyundong/0000-0003-3364-8084; Zepernick, Hans-Jurgen/0000-0003-3604-2766; Garcia-Palacios, Emiliano/0000-0002-0180-8840; Duong, Trung Q./0000-0002-4703-4836; Nguyen, Long/0000-0002-1044-257X; T. Bui, Tinh/0000-0001-8551-4198; Nguyen, Minh-Hien T./0009-0001-5740-1812</t>
  </si>
  <si>
    <t xml:space="preserve">10.1109/TITS.2023.3287279</t>
  </si>
  <si>
    <t xml:space="preserve">OG8J6</t>
  </si>
  <si>
    <t xml:space="preserve">WOS:001025528800001</t>
  </si>
  <si>
    <t xml:space="preserve">Yavariabdi, A; Kusetogullari, H; Celik, T; Cicek, H</t>
  </si>
  <si>
    <t xml:space="preserve">Yavariabdi, Amir; Kusetogullari, Huseyin; Celik, Turgay; Cicek, Hasan</t>
  </si>
  <si>
    <t xml:space="preserve">FastUAV-NET: A Multi-UAV Detection Algorithm for Embedded Platforms</t>
  </si>
  <si>
    <t xml:space="preserve">deep learning; CNN; detection and tracking; Unmanned Aerial Vehicle; UAVs pursuit-evasion</t>
  </si>
  <si>
    <t xml:space="preserve">In this paper, a real-time deep learning-based framework for detecting and tracking Unmanned Aerial Vehicles (UAVs) in video streams captured by a fixed-wing UAV is proposed. The proposed framework consists of two steps, namely intra-frame multi-UAV detection and the inter-frame multi-UAV tracking. In the detection step, a new multi-scale UAV detection Convolutional Neural Network (CNN) architecture based on a shallow version of You Only Look Once version 3 (YOLOv3-tiny) widened by Inception blocks is designed to extract local and global features from input video streams. Here, the widened multi-UAV detection network architecture is termed as FastUAV-NET and aims to improve UAV detection accuracy while preserving computing time of one-step deep detection algorithms in the context of UAV-UAV tracking. To detect UAVs, the FastUAV-NET architecture uses five inception units and adopts a feature pyramid network to detect UAVs. To obtain a high frame rate, the proposed method is applied to every nth frame and then the detected UAVs are tracked in intermediate frames using scalable Kernel Correlation Filter algorithm. The results on the generated UAV-UAV dataset illustrate that the proposed framework obtains 0.7916 average precision with 29 FPS performance on Jetson-TX2. The results imply that the widening of CNN network is a much more effective way than increasing the depth of CNN and leading to a good trade-off between accurate detection and real-time performance. The FastUAV-NET model will be publicly available to the research community to further advance multi-UAV-UAV detection algorithms.</t>
  </si>
  <si>
    <t xml:space="preserve">[Yavariabdi, Amir; Cicek, Hasan] KTO Karatay Univ, Fac Engn, Mechatron Engn Dept, TR-42020 Konya, Turkey; [Kusetogullari, Huseyin] Blekinge Inst Technol, Dept Comp Sci, S-37141 Karlskrona, Sweden; [Kusetogullari, Huseyin] Skovde Univ, Sch Informat, S-54128 Skovde, Sweden; [Celik, Turgay] Univ Witwatersrand, Sch Elect &amp; Informat Engn, ZA-2000 Johannesburg, South Africa; [Celik, Turgay] Univ Witwatersrand, Wits Inst Data Sci, ZA-2000 Johannesburg, South Africa; [Celik, Turgay] Southwest Jiaotong Univ, Sch Informat Sci &amp; Technol, Chengdu 610031, Peoples R China</t>
  </si>
  <si>
    <t xml:space="preserve">KTO Karatay University; Blekinge Institute Technology; University of Skovde; University of Witwatersrand; University of Witwatersrand; Southwest Jiaotong University</t>
  </si>
  <si>
    <t xml:space="preserve">Yavariabdi, A (corresponding author), KTO Karatay Univ, Fac Engn, Mechatron Engn Dept, TR-42020 Konya, Turkey.</t>
  </si>
  <si>
    <t xml:space="preserve">amir.yavariabdi@karatay.edu.tr; huseyin.kusetogullari@bth.se; celikturgay@gmail.com; hasan.cicek@karatay.edu.tr</t>
  </si>
  <si>
    <t xml:space="preserve">Celik, Turgay/0000-0001-6925-6010; Kusetogullari, Huseyin/0000-0001-5762-6678; Yavariabdi, Amir/0000-0002-6264-5010</t>
  </si>
  <si>
    <t xml:space="preserve">10.3390/electronics10060724</t>
  </si>
  <si>
    <t xml:space="preserve">RE8BR</t>
  </si>
  <si>
    <t xml:space="preserve">WOS:000634372800001</t>
  </si>
  <si>
    <t xml:space="preserve">Alves, APS; Kalinowski, M; Giray, G; Mendez, D; Lavesson, N; Azevedo, K; Villamizar, H; Escovedo, T; Lopes, H; Biffl, S; Musil, J; Felderer, M; Wagner, S; Baldassarre, T; Gorschek, T</t>
  </si>
  <si>
    <t xml:space="preserve">Alves, Antonio Pedro Santos; Kalinowski, Marcos; Giray, Gorkem; Mendez, Daniel; Lavesson, Niklas; Azevedo, Kelly; Villamizar, Hugo; Escovedo, Tatiana; Lopes, Helio; Biffl, Stefan; Musil, Juergen; Felderer, Michael; Wagner, Stefan; Baldassarre, Teresa; Gorschek, Tony</t>
  </si>
  <si>
    <t xml:space="preserve">Status Quo and Problems of Requirements Engineering for Machine Learning: Results from an International Survey</t>
  </si>
  <si>
    <t xml:space="preserve">Requirements Engineering; Machine Learning; Survey</t>
  </si>
  <si>
    <t xml:space="preserve">Systems that use Machine Learning (ML) have become commonplace for companies that want to improve their products and processes. Literature suggests that Requirements Engineering (RE) can help address many problems when engineering ML-enabled systems. However, the state of empirical evidence on how RE is applied in practice in the context of ML-enabled systems is mainly dominated by isolated case studies with limited generalizability. We conducted an international survey to gather practitioner insights into the status quo and problems of RE in ML-enabled systems. We gathered 188 complete responses from 25 countries. We conducted quantitative statistical analyses on contemporary practices using bootstrapping with confidence intervals and qualitative analyses on the reported problems involving open and axial coding procedures. We found significant differences in RE practices within ML projects. For instance, (i) RE-related activities are mostly conducted by project leaders and data scientists, (ii) the prevalent requirements documentation format concerns interactive Notebooks, (iii) the main focus of non-functional requirements includes data quality, model reliability, and model explainability, and (iv) main challenges include managing customer expectations and aligning requirements with data. The qualitative analyses revealed that practitioners face problems related to lack of business domain understanding, unclear goals and requirements, low customer engagement, and communication issues. These results help to provide a better understanding of the adopted practices and of which problems exist in practical environments. We put forward the need to adapt further and disseminate RE-related practices for engineering ML-enabled systems.</t>
  </si>
  <si>
    <t xml:space="preserve">[Alves, Antonio Pedro Santos; Kalinowski, Marcos; Azevedo, Kelly; Villamizar, Hugo; Escovedo, Tatiana; Lopes, Helio] Pontifical Catholic Univ Rio Janeiro PUC Rio, Rio De Janeiro, Brazil; [Mendez, Daniel; Lavesson, Niklas; Gorschek, Tony] BTH, Karlskrona, Sweden; [Biffl, Stefan; Musil, Juergen] Vienna Univ Technol TU Wien, Vienna, Austria; [Felderer, Michael] German Aerosp Ctr DLR, Cologne, Germany; [Felderer, Michael] Univ Cologne, Cologne, Germany; [Wagner, Stefan] Univ Stuttgart, Stuttgart, Germany; [Baldassarre, Teresa] Univ Bari, Bari, Italy</t>
  </si>
  <si>
    <t xml:space="preserve">Blekinge Institute Technology; Technische Universitat Wien; Helmholtz Association; German Aerospace Centre (DLR); University of Cologne; University of Stuttgart; Universita degli Studi di Bari Aldo Moro</t>
  </si>
  <si>
    <t xml:space="preserve">Kalinowski, M (corresponding author), Pontifical Catholic Univ Rio Janeiro PUC Rio, Rio De Janeiro, Brazil.</t>
  </si>
  <si>
    <t xml:space="preserve">kalinowski@inf.puc-rio.br</t>
  </si>
  <si>
    <t xml:space="preserve">Felderer, Michael/AAF-4909-2020; Giray, Görkem/AAW-9845-2021; Lopes, Helio/A-2369-2009; Biffl, Stefan/AAP-6073-2020; Gorschek, Tony/E-3445-2013; Lavesson, Niklas/B-3313-2013; Wagner, Stefan/A-5200-2018</t>
  </si>
  <si>
    <t xml:space="preserve">Lopes, Helio/0000-0003-4584-1455; Wagner, Stefan/0000-0002-5256-8429; Felderer, Michael/0000-0003-3818-4442; Santos Alves, Antonio Pedro/0000-0002-3415-6201</t>
  </si>
  <si>
    <t xml:space="preserve">10.1007/978-3-031-49266-2_11</t>
  </si>
  <si>
    <t xml:space="preserve">WOS:001157572800011</t>
  </si>
  <si>
    <t xml:space="preserve">Palm, BG; Bayer, FM; Machado, R; Pettersson, M; Vu, VT; Cintra, RJ</t>
  </si>
  <si>
    <t xml:space="preserve">Palm, Bruna G.; Bayer, Fabio M.; Machado, Renato; Pettersson, Mats, I; Vu, Viet T.; Cintra, Renato J.</t>
  </si>
  <si>
    <t xml:space="preserve">Robust Rayleigh Regression Method for SAR Image Processing in Presence of Outliers</t>
  </si>
  <si>
    <t xml:space="preserve">Radar polarimetry; Maximum likelihood estimation; Synthetic aperture radar; Data models; Maximum likelihood detection; Tools; Numerical models; Outliers; Rayleigh regression model; robust estimation; synthetic aperture radar (SAR) images</t>
  </si>
  <si>
    <t xml:space="preserve">MODEL; CLASSIFICATION</t>
  </si>
  <si>
    <t xml:space="preserve">The presence of outliers (anomalous values) in synthetic aperture radar (SAR) data and the misspecification in statistical image models may result in inaccurate inferences. To avoid such issues, the Rayleigh regression model based on a robust estimation process is proposed as a more realistic approach to model this type of data. This article aims at obtaining Rayleigh regression model parameter estimators robust to the presence of outliers. The proposed approach considered the weighted maximum likelihood method and was submitted to numerical experiments using simulated and measured SAR images. Monte Carlo simulations were employed for the numerical assessment of the proposed robust estimator performance in finite signal lengths, their sensitivity to outliers, and the breakdown point. For instance, the nonrobust estimators show a relative bias value 65-fold larger than the results provided by the robust approach in corrupted signals. In terms of sensitivity analysis and break down point, the robust scheme resulted in a reduction of about 96% and 10%, respectively, in the mean absolute value of both measures, in compassion to the nonrobust estimators. Moreover, two SAR datasets were used to compare the ground type and anomaly detection results of the proposed robust scheme with competing methods in the literature.</t>
  </si>
  <si>
    <t xml:space="preserve">[Palm, Bruna G.; Machado, Renato] Aeronaut Inst Technol ITA, Dept Telecommun, BR-12228900 Sao Jose Dos Campos, Brazil; [Palm, Bruna G.; Pettersson, Mats, I; Vu, Viet T.] Blekinge Inst Technol, Dept Math &amp; Nat Sci, S-37179 Karlskrona, Sweden; [Bayer, Fabio M.] Univ Fed Santa Maria, Dept Estat, BR-97105900 Santa Maria, RS, Brazil; [Bayer, Fabio M.] Univ Fed Santa Maria, Santa Maria Space Sci Lab LACESM, BR-97105900 Santa Maria, RS, Brazil; [Cintra, Renato J.] Univ Fed Pernambuco, Dept Estat, Signal Proc Grp, BR-50670901 Recife, PE, Brazil; [Cintra, Renato J.] Florida Int Univ, Dept Elect &amp; Comp Engn, Miami, FL 33199 USA</t>
  </si>
  <si>
    <t xml:space="preserve">Blekinge Institute Technology; Universidade Federal de Santa Maria (UFSM); Universidade Federal de Santa Maria (UFSM); Universidade Federal de Pernambuco; State University System of Florida; Florida International University</t>
  </si>
  <si>
    <t xml:space="preserve">Palm, BG (corresponding author), Aeronaut Inst Technol ITA, Dept Telecommun, BR-12228900 Sao Jose Dos Campos, Brazil.</t>
  </si>
  <si>
    <t xml:space="preserve">brunagpalm@gmail.com; bayer@ufsm.br; rmachado@ita.br; viet.thuy.vu@bth.se; rjdsc@de.ufpe.br</t>
  </si>
  <si>
    <t xml:space="preserve">Vu, Viet/JDW-0738-2023; G. Palm, Bruna/AAZ-4107-2021; Machado, Renato/P-8515-2018; Cintra, R/D-1288-2011; Bayer, Fábio/G-4513-2012; Pettersson, Mats/N-1063-2016</t>
  </si>
  <si>
    <t xml:space="preserve">Mariano Bayer, Fabio/0000-0002-1464-0805; Machado, Renato/0000-0003-0856-5391; Pettersson, Mats/0000-0002-6643-312X; G. Palm, Bruna/0000-0003-0423-9927</t>
  </si>
  <si>
    <t xml:space="preserve">Conselho Nacional de Desenvolvimento Cientifico e Tecnologico (CNPq); Coordenacao de Aperfeicoamento de Pessoal de Nivel Superior (CAPES); Project Pro-Defesa IV, Brazil; Swedish-Brazilian Research and Innovation Centre (CISB); Saab AB</t>
  </si>
  <si>
    <t xml:space="preserve">Conselho Nacional de Desenvolvimento Cientifico e Tecnologico (CNPq)(Conselho Nacional de Desenvolvimento Cientifico e Tecnologico (CNPQ)); Coordenacao de Aperfeicoamento de Pessoal de Nivel Superior (CAPES)(Coordenacao de Aperfeicoamento de Pessoal de Nivel Superior (CAPES)); Project Pro-Defesa IV, Brazil; Swedish-Brazilian Research and Innovation Centre (CISB); Saab AB</t>
  </si>
  <si>
    <t xml:space="preserve">This work was supported in part by the Conselho Nacional de Desenvolvimento Cientifico e Tecnologico (CNPq), in part by the Coordenacao de Aperfeicoamento de Pessoal de Nivel Superior (CAPES), in part by the Project Pro-Defesa IV, Brazil, in part by the Swedish-Brazilian Research and Innovation Centre (CISB), and in part by Saab AB.</t>
  </si>
  <si>
    <t xml:space="preserve">10.1109/TGRS.2021.3105694</t>
  </si>
  <si>
    <t xml:space="preserve">YP5SW</t>
  </si>
  <si>
    <t xml:space="preserve">WOS:000733503400001</t>
  </si>
  <si>
    <t xml:space="preserve">Fakhouri, HN; Alawadi, S; Awaysheh, FM; Alkhabbas, F; Zraqou, J</t>
  </si>
  <si>
    <t xml:space="preserve">Fakhouri, Hussam N.; Alawadi, Sadi; Awaysheh, Feras M.; Alkhabbas, Fahed; Zraqou, Jamal</t>
  </si>
  <si>
    <t xml:space="preserve">A cognitive deep learning approach for medical image processing</t>
  </si>
  <si>
    <t xml:space="preserve">BLOOD-VESSEL SEGMENTATION; RETINAL IMAGES; MATCHED-FILTER; CLASSIFICATION; DELINEATION; EXTRACTION</t>
  </si>
  <si>
    <t xml:space="preserve">In ophthalmic diagnostics, achieving precise segmentation of retinal blood vessels is a critical yet challenging task, primarily due to the complex nature of retinal images. The intricacies of these images often hinder the accuracy and efficiency of segmentation processes. To overcome these challenges, we introduce the cognitive DL retinal blood vessel segmentation (CoDLRBVS), a novel hybrid model that synergistically combines the deep learning capabilities of the U-Net architecture with a suite of advanced image processing techniques. This model uniquely integrates a preprocessing phase using a matched filter (MF) for feature enhancement and a post-processing phase employing morphological techniques (MT) for refining the segmentation output. Also, the model incorporates multi-scale line detection and scale space methods to enhance its segmentation capabilities. Hence, CoDLRBVS leverages the strengths of these combined approaches within the cognitive computing framework, endowing the system with human-like adaptability and reasoning. This strategic integration enables the model to emphasize blood vessels, accurately segment effectively, and proficiently detect vessels of varying sizes. CoDLRBVS achieves a notable mean accuracy of 96.7%, precision of 96.9%, sensitivity of 99.3%, and specificity of 80.4% across all of the studied datasets, including DRIVE, STARE, HRF, retinal blood vessel and Chase-DB1. CoDLRBVS has been compared with different models, and the resulting metrics surpass the compared models and establish a new benchmark in retinal vessel segmentation. The success of CoDLRBVS underscores its significant potential in advancing medical image processing, particularly in the realm of retinal blood vessel segmentation.</t>
  </si>
  <si>
    <t xml:space="preserve">[Fakhouri, Hussam N.] Univ Petra, Dept Data Sci &amp; Artificial Intelligence, Amman, Jordan; [Alawadi, Sadi] Blekinge Inst Technol, Dept Comp Sci, Karlskrona, Sweden; [Alawadi, Sadi] Univ Santiago De Compostela, Comp Graph &amp; Data Engn COGRADE Res Grp, Santiago De Compostela, Spain; [Awaysheh, Feras M.] Univ Tartu, Inst Comp Sci, Delta Res Ctr, Tartu, Estonia; [Alkhabbas, Fahed] Malmo Univ, Internet Things &amp; People Res Ctr, Malmo, Sweden; [Alkhabbas, Fahed] Malmo Univ, Dept Comp Sci &amp; Media Technol, Malmo, Sweden; [Zraqou, Jamal] Univ Petra, Fac Informat Technol, Virtual &amp; Augment Real Dept, Amman, Jordan</t>
  </si>
  <si>
    <t xml:space="preserve">Petra University; Blekinge Institute Technology; Universidade de Santiago de Compostela; University of Tartu; Malmo University; Malmo University; Petra University</t>
  </si>
  <si>
    <t xml:space="preserve">Alawadi, S (corresponding author), Blekinge Inst Technol, Dept Comp Sci, Karlskrona, Sweden.;Alawadi, S (corresponding author), Univ Santiago De Compostela, Comp Graph &amp; Data Engn COGRADE Res Grp, Santiago De Compostela, Spain.</t>
  </si>
  <si>
    <t xml:space="preserve">sadi.alawadi@bth.se</t>
  </si>
  <si>
    <t xml:space="preserve">Awaysheh, Feras/AAG-7301-2019; Zraqou, Jamal/JNJ-7318-2023; fakhouri, hussam/A-3089-2016</t>
  </si>
  <si>
    <t xml:space="preserve">FEB 24</t>
  </si>
  <si>
    <t xml:space="preserve">10.1038/s41598-024-55061-1</t>
  </si>
  <si>
    <t xml:space="preserve">KA7Y3</t>
  </si>
  <si>
    <t xml:space="preserve">WOS:001177317400011</t>
  </si>
  <si>
    <t xml:space="preserve">Fakhouri, HN; Alawadi, S; Awaysheh, FM; Hamad, F</t>
  </si>
  <si>
    <t xml:space="preserve">Fakhouri, Hussam N.; Alawadi, Sadi; Awaysheh, Feras M.; Hamad, Faten</t>
  </si>
  <si>
    <t xml:space="preserve">Novel hybrid success history intelligent optimizer with Gaussian transformation: application in CNN hyperparameter tuning</t>
  </si>
  <si>
    <t xml:space="preserve">Hyperparameter optimization; Gaussian transformation; Differential evolution; Success history intelligent optimizer</t>
  </si>
  <si>
    <t xml:space="preserve">This research proposes a novel Hybrid Success History Intelligent Optimizer with Gaussian Transformation (SHIOGT) for solving different complexity level optimization problems and for Convolutional Neural Network (CNNs) hyperparameter tuning. SHIOGT algorithm is designed to balance exploration and exploitation phases through the addition of Gaussian Transformation to the original Success History Intelligent Optimizer. The inclusion of Gaussian Transformation enhances solution diversity enables SHIO to avoid local optima. SHIOGT also demonstrates robustness and adaptability by dynamically adjusting its search strategy based on problem characteristics. Furthermore, the combination of Gaussian and SHIO facilitates faster convergence, accelerating the discovery of optimal or near-optimal solutions. Moreover, the hybridization of these two techniques brings a synergistic effect, enabling SHIOGT to overcome individual limitations and achieve superior performance in hyperparameter optimization tasks. SHIOGT was thoroughly assessed against an array of benchmark functions of varying complexities, demonstrating its ability to efficiently locate optimal or near-optimal solutions across different problem categories. Its robustness in tackling multimodal and deceptive landscapes and high-dimensional search spaces was particularly notable. SHIOGT has been benchmarked over 43 challenging optimization problems and have been compared with state-of-the art algorithm. Further, SHIOGT algorithm is applied to the domain of deep learning, with a case study focusing on hyperparameter tuning of CNNs. With the intelligent exploration-exploitation balance of SHIOGT, we hypothesized it could effectively optimize the CNN's hyperparameters. We evaluated the performance of SHIOGT across a variety of datasets, including MNIST, Fashion-MNIST, CIFAR-10, and CIFAR-100, with the aim of optimizing CNN model hyperparameters. The results show an impressive accuracy rate of 98% on the MNIST dataset. Similarly, the algorithm achieved a 92% accuracy rate on Fashion-MNIST, 76% on CIFAR-10, and 70% on CIFAR-100, underscoring its effectiveness across diverse datasets.</t>
  </si>
  <si>
    <t xml:space="preserve">[Fakhouri, Hussam N.] Univ Petra, Fac Informat Technol, Data Sci &amp; Artificial Intelligence Dept, Amman, Jordan; [Alawadi, Sadi] Blekinge Inst Technol, Dept Comp Sci, Karlskrona, Sweden; [Awaysheh, Feras M.] Tartu Univ, Inst Comp Sci, Delta Ctr, Tartu, Estonia; [Hamad, Faten] Sultan Qaboos Univ, Muscat, Oman; [Hamad, Faten] Univ Jordan, Sch Educ Sci, Amman, Jordan</t>
  </si>
  <si>
    <t xml:space="preserve">Petra University; Blekinge Institute Technology; University of Tartu; Sultan Qaboos University; University of Jordan</t>
  </si>
  <si>
    <t xml:space="preserve">hussam.fakhouri@uop.edu.jo; sadi.alawadi@bth.se; feras.awaysheh@ut.ee; f.hamad@ju.edu.jo</t>
  </si>
  <si>
    <t xml:space="preserve">Hamad, Faten/AAG-6661-2021; Awaysheh, Feras/AAG-7301-2019; alawadi, sadi/Q-8576-2016; fakhouri, hussam/A-3089-2016; Hamad, Faten/S-6262-2016</t>
  </si>
  <si>
    <t xml:space="preserve">10.1007/s10586-023-04161-0</t>
  </si>
  <si>
    <t xml:space="preserve">WOS:001096928400001</t>
  </si>
  <si>
    <t xml:space="preserve">Li, YJ; Huynh, DV; Nguyen, VL; Ha, DB; Zepernick, HJ; Duong, TQ</t>
  </si>
  <si>
    <t xml:space="preserve">Li, Yijiu; Huynh, Dang Van; Nguyen, Van-Linh; Ha, Dac-Binh; Zepernick, Hans-Jurgen; Duong, Trung Q.</t>
  </si>
  <si>
    <t xml:space="preserve">Multiagent UAV-Aided URLLC Mobile Edge Computing Systems: A Joint Communication and Computation Optimization Approach</t>
  </si>
  <si>
    <t xml:space="preserve">IEEE SYSTEMS JOURNAL</t>
  </si>
  <si>
    <t xml:space="preserve">Ultra reliable low latency communication; Autonomous aerial vehicles; Task analysis; Resource management; Quality of service; Optimization; Computational modeling; Intelligent autonomous transport systems; mobile edge computing (MEC); multiagent unmanned aerial vehicles (UAVs); task caching</t>
  </si>
  <si>
    <t xml:space="preserve">SHORT BLOCKLENGTH REGIME; RESOURCE-ALLOCATION; MASSIVE-MIMO; POWER; DESIGN</t>
  </si>
  <si>
    <t xml:space="preserve">In this article, we consider a multiagent unmanned aerial vehicle (UAV)-aided system employing mobile edge computing (MEC) servers to satisfy the requirement of ultrareliable low latency communications (URLLCs) in intelligent autonomous transport applications. Our MEC architecture aims to guarantee quality-of-service (QoS) by investigating task offloading and caching implemented in the nearby UAVs. To enhance system performance, we propose to minimize the network energy consumption by jointly optimizing communication and computation parameters. This includes decisions on task offloading, edge caching policies, uplink transmission power, and the processing rates of users. Given the nonconvex nature and high computational complexity of this optimization problem, an alternating optimization algorithm is proposed, where the three subproblems of caching, offloading, and power allocation are solved in an alternating manner. Our simulation results demonstrate the efficacy of the proposed method, showcasing significant reductions in user energy consumption and optimal resource allocation. This work serves as an initial exploration of the transformative potential of cutting-edge technologies, such as UAVs, URLLC, and MEC, in shaping the future landscape of intelligent autonomous transport systems.</t>
  </si>
  <si>
    <t xml:space="preserve">[Li, Yijiu] Queens Univ Belfast, Belfast BT7 1NN, North Ireland; [Huynh, Dang Van] Mem Univ Newfoundland, St John, NF A1C 5S7, Canada; [Nguyen, Van-Linh] Natl Chung Cheng Univ, Minxiong 62102, Taiwan; [Ha, Dac-Binh] Duy Tan Univ, Da Nang 550000, Vietnam; [Zepernick, Hans-Jurgen] Blekinge Inst Technol, S-37179 Karlskrona, Sweden; [Duong, Trung Q.] Mem Univ, Fac Engn &amp; Appl Sci, St John A1C 5S7, NF, Canada; [Duong, Trung Q.] Queens Univ Belfast, Sch Elect Elect Engn &amp; Comp Sci, Belfast BT7 INN, North Ireland</t>
  </si>
  <si>
    <t xml:space="preserve">Queens University Belfast; Memorial University Newfoundland; National Chung Cheng University; Duy Tan University; Blekinge Institute Technology; Memorial University Newfoundland; Queens University Belfast</t>
  </si>
  <si>
    <t xml:space="preserve">Ha, DB (corresponding author), Duy Tan Univ, Da Nang 550000, Vietnam.</t>
  </si>
  <si>
    <t xml:space="preserve">yli84@qub.ac.uk; vdhuynh@mun.ca; nvlinh@cs.ccu.edu.tw; hadacbinh@duytan.edu.vn; hans-jurgen.zepernick@bth.se; trung.q.duong@qub.ac.uk</t>
  </si>
  <si>
    <t xml:space="preserve">Duong, Trung Q./AAI-6708-2020; Ha, Dac-Binh/AFA-8763-2022; Zepernick, Hans-Jürgen/AFJ-2429-2022; Duong, Trung Q./I-1291-2013; Nguyen, Van-Linh/L-6234-2018</t>
  </si>
  <si>
    <t xml:space="preserve">Duong, Trung Q./0000-0002-4703-4836; Nguyen, Van-Linh/0000-0002-3472-0108</t>
  </si>
  <si>
    <t xml:space="preserve">Vietnam National Foundation for Science and Technology Development (NAFOSTED) [102.04-2021.11]</t>
  </si>
  <si>
    <t xml:space="preserve">Vietnam National Foundation for Science and Technology Development (NAFOSTED)(National Foundation for Science &amp; Technology Development (NAFOSTED))</t>
  </si>
  <si>
    <t xml:space="preserve">This work was supported by the Vietnam National Foundation for Science and Technology Development (NAFOSTED) under Grant 102.04-2021.11.</t>
  </si>
  <si>
    <t xml:space="preserve">1932-8184</t>
  </si>
  <si>
    <t xml:space="preserve">1937-9234</t>
  </si>
  <si>
    <t xml:space="preserve">IEEE SYST J</t>
  </si>
  <si>
    <t xml:space="preserve">IEEE Syst. J.</t>
  </si>
  <si>
    <t xml:space="preserve">10.1109/JSYST.2024.3426096</t>
  </si>
  <si>
    <t xml:space="preserve">Computer Science, Information Systems; Engineering, Electrical &amp; Electronic; Operations Research &amp; Management Science; Telecommunications</t>
  </si>
  <si>
    <t xml:space="preserve">Computer Science; Engineering; Operations Research &amp; Management Science; Telecommunications</t>
  </si>
  <si>
    <t xml:space="preserve">P5J7Q</t>
  </si>
  <si>
    <t xml:space="preserve">WOS:001279037300001</t>
  </si>
  <si>
    <t xml:space="preserve">Wickström, HL; Fagerström, C; Öien, RF; Anderberg, P; Midlöv, P</t>
  </si>
  <si>
    <t xml:space="preserve">Wickstrom, Hanna Linnea; Fagerstrom, Cecilia; Oien, Rut Frank; Anderberg, Peter; Midlov, Patrik</t>
  </si>
  <si>
    <t xml:space="preserve">Antibiotic prescription using a digital decision support system: a register-based study of patients with hard-to-heal ulcers in Sweden</t>
  </si>
  <si>
    <t xml:space="preserve">BMJ OPEN</t>
  </si>
  <si>
    <t xml:space="preserve">WOUND MANAGEMENT; Telemedicine; PRIMARY CARE; Infection control</t>
  </si>
  <si>
    <t xml:space="preserve">CHRONIC LEG ULCERS; WOUND CARE; TELEMEDICINE; MANAGEMENT; INFECTION</t>
  </si>
  <si>
    <t xml:space="preserve">Objectives To investigate differences in antibiotic prescription for patients with hard-to-heal ulcers assessed using a digital decision support system (DDSS) compared with those assessed without using a DDSS. A further aim was to examine predictors for antibiotic prescription. Design Register-based study. Setting In 2018-2019, healthcare staff in primary, community and specialist care in Sweden tested a DDSS that offers a mobile application for data and photograph transfer to a platform for multidisciplinary consultation and automatic transmission of data to the Registry of Ulcer Treatment (RUT). Register-based data from patients assessed and diagnosed using the DDSS combined with the RUT was compared with register-based data from patients whose assessments were merely registered in the RUT. Participants A total of 117 patients assessed using the DDSS combined with the RUT (the study group) were compared with 1784 patients whose assessments were registered in the RUT without using the DDSS (the control group). Primary and secondary outcome measures The differences in antibiotic prescription were analysed using the Pearson's chi(2) test. A logistic regression analysis was used to check for influencing factors on antibiotic prescription. Results Patients assessed using a DDSS in combination with the RUT had significantly lower antibiotic prescription than patients entered in the RUT without using the DDSS (8% vs 26%) (p=0.002) (only healed ulcers included). Predictors for antibiotic prescription were diabetes; long healing time; having an arterial, neuropathic or malignant ulcer. Conclusions A DDSS with data and photograph transfer that enables multidisciplinary communication appears to be a suitable tool to reduce antibiotic prescription for patients with hard-to-heal ulcers.</t>
  </si>
  <si>
    <t xml:space="preserve">[Wickstrom, Hanna Linnea; Oien, Rut Frank; Midlov, Patrik] Lund Univ, Ctr Primary Hlth Care Res, Dept Clin Sci Malmo, Malmo, Sweden; [Wickstrom, Hanna Linnea] Blekinge Wound Healing Ctr, Karlshamn, Sweden; [Fagerstrom, Cecilia] Linnaeus Univ, Dept Hlth &amp; Caring Sci, Kalmar, Sweden; [Fagerstrom, Cecilia] Dept Res, Kalmar, Sweden; [Oien, Rut Frank] Blekinge Ctr Competence, Karlskrona, Sweden; [Anderberg, Peter] Blekinge Inst Technol, Dept Hlth, Karlskrona, Sweden; [Anderberg, Peter] Univ Skovde, Sch Hlth Sci, Skovde, Sweden</t>
  </si>
  <si>
    <t xml:space="preserve">Lund University; Linnaeus University; Blekinge Institute Technology; University of Skovde</t>
  </si>
  <si>
    <t xml:space="preserve">Wickström, HL (corresponding author), Lund Univ, Ctr Primary Hlth Care Res, Dept Clin Sci Malmo, Malmo, Sweden.;Wickström, HL (corresponding author), Blekinge Wound Healing Ctr, Karlshamn, Sweden.</t>
  </si>
  <si>
    <t xml:space="preserve">Oien, Rut/0000-0001-5056-0186; Anderberg, Peter/0000-0001-9870-8477; Midlov, Patrik/0000-0002-5871-8731; Wickstrom, Hanna/0000-0002-2632-1780</t>
  </si>
  <si>
    <t xml:space="preserve">Scientific Committee of Blekinge County, Council's Research and Development Foundation [LTB-939727]</t>
  </si>
  <si>
    <t xml:space="preserve">Scientific Committee of Blekinge County, Council's Research and Development Foundation</t>
  </si>
  <si>
    <t xml:space="preserve">The study was partly funded by the Scientific Committee of Blekinge County, Council's Research and Development Foundation as part of a PhD studentship (LTB-939727).</t>
  </si>
  <si>
    <t xml:space="preserve">BMJ PUBLISHING GROUP</t>
  </si>
  <si>
    <t xml:space="preserve">BRITISH MED ASSOC HOUSE, TAVISTOCK SQUARE, LONDON WC1H 9JR, ENGLAND</t>
  </si>
  <si>
    <t xml:space="preserve">2044-6055</t>
  </si>
  <si>
    <t xml:space="preserve">BMJ Open</t>
  </si>
  <si>
    <t xml:space="preserve">e060683</t>
  </si>
  <si>
    <t xml:space="preserve">10.1136/bmjopen-2021-060683</t>
  </si>
  <si>
    <t xml:space="preserve">Medicine, General &amp; Internal</t>
  </si>
  <si>
    <t xml:space="preserve">5V3AZ</t>
  </si>
  <si>
    <t xml:space="preserve">WOS:000877107000018</t>
  </si>
  <si>
    <t xml:space="preserve">Fakhouri, HN; Awaysheh, FM; Alawadi, S; Alkhalaileh, M; Hamad, F</t>
  </si>
  <si>
    <t xml:space="preserve">Fakhouri, Hussam N.; Awaysheh, Feras M.; Alawadi, Sadi; Alkhalaileh, Mohannad; Hamad, Faten</t>
  </si>
  <si>
    <t xml:space="preserve">Four vector intelligent metaheuristic for data optimization</t>
  </si>
  <si>
    <t xml:space="preserve">COMPUTING</t>
  </si>
  <si>
    <t xml:space="preserve">Artificial intelligence; Swarm intelligence; Data optimization; Exploitation; Exploration; Global optima</t>
  </si>
  <si>
    <t xml:space="preserve">SWARM INTELLIGENCE; ALGORITHM; DESIGN</t>
  </si>
  <si>
    <t xml:space="preserve">Swarm intelligence (SI) algorithms represent a class of Artificial Intelligence (AI) optimization metaheuristics used for solving complex optimization problems. However, a key challenge in solving complex problems is maintaining the balance between exploration and exploitation to find the optimal global solution and avoid local minima. This paper proposes an innovative Swarm Intelligence (SI) algorithm called the Four Vector Intelligent Metaheuristic (FVIM) to address the aforementioned problem. FVIM's search strategy is guided by four top-performing leaders within a swarm, ensuring a balanced exploration-exploitation trade-off in the search space, avoiding local minima, and mitigating low convergence issues. The efficacy of FVIM is evaluated through extensive experiments conducted over two datasets, incorporating both qualitative and quantitative statistical measurements. One dataset contains twenty-three well-known single-objective optimization functions, such as fixed-dimensional and multi-modal functions, while the other dataset comprises the CEC2017 functions. Additionally, the Wilcoxon test was computed to validate the result's significance. The results illustrate FVIM's effectiveness in addressing diverse optimization challenges. Moreover, FVIM has been successfully applied to tackle engineering design problems, such as weld beam and truss engineering design.</t>
  </si>
  <si>
    <t xml:space="preserve">[Fakhouri, Hussam N.] Univ Petra, Fac Informat Technol, Data Sci &amp; Artificial Intelligence Dept, Amman, Jordan; [Awaysheh, Feras M.] Tartu Univ, Inst Comp Sci, Delta Res Ctr, Tartu, Estonia; [Alawadi, Sadi] Blekinge Inst Technol, Dept Comp Sci DIDA, Karlskrona, Sweden; [Alkhalaileh, Mohannad] Al Ain Univ, Coll Educ Humanities &amp; Social Sci, Al Ain, U Arab Emirates; [Hamad, Faten] Sultan Qaboos Univ, Informat Studies Dept, Muscat, Oman; [Hamad, Faten] Univ Jordan, Sch Educ Sci, Amman, Jordan</t>
  </si>
  <si>
    <t xml:space="preserve">Petra University; University of Tartu; Blekinge Institute Technology; Sultan Qaboos University; University of Jordan</t>
  </si>
  <si>
    <t xml:space="preserve">Awaysheh, FM (corresponding author), Tartu Univ, Inst Comp Sci, Delta Res Ctr, Tartu, Estonia.</t>
  </si>
  <si>
    <t xml:space="preserve">Hussam.fakhouri@uop.edu.jo; feras.awaysheh@ut.ee; sadi.alawadi@bth.se; mohannad.alkhalaileh@aau.ac.ae; f.hamad@ju.edu.jo</t>
  </si>
  <si>
    <t xml:space="preserve">fakhouri, hussam/A-3089-2016; Awaysheh, Feras/AAG-7301-2019; Hamad, Faten/AAG-6661-2021</t>
  </si>
  <si>
    <t xml:space="preserve">0010-485X</t>
  </si>
  <si>
    <t xml:space="preserve">1436-5057</t>
  </si>
  <si>
    <t xml:space="preserve">Computing</t>
  </si>
  <si>
    <t xml:space="preserve">10.1007/s00607-024-01287-w</t>
  </si>
  <si>
    <t xml:space="preserve">WE6I8</t>
  </si>
  <si>
    <t xml:space="preserve">WOS:001204703500001</t>
  </si>
  <si>
    <t xml:space="preserve">Avritzer, A; Britto, R; Trubiani, C; Camilli, M; Janes, A; Russo, B; Van Hoorn, A; Heinrich, R; Rapp, M; Henss, J; Chalawadi, RK</t>
  </si>
  <si>
    <t xml:space="preserve">Avritzer, Alberto; Britto, Ricardo; Trubiani, Catia; Camilli, Matteo; Janes, Andrea; Russo, Barbara; Van Hoorn, Andre; Heinrich, Robert; Rapp, Martina; Henss, Joerg; Chalawadi, Ram Kishan</t>
  </si>
  <si>
    <t xml:space="preserve">Scalability testing automation using multivariate characterization and detection of software performance antipatterns</t>
  </si>
  <si>
    <t xml:space="preserve">Software Performance Antipatterns; Characterization; Detection; Multivariate analysis</t>
  </si>
  <si>
    <t xml:space="preserve">SUITES</t>
  </si>
  <si>
    <t xml:space="preserve">Context: Software Performance Antipatterns (SPAs) research has focused on algorithms for their characterization, detection, and solution. Existing algorithms are based on the analysis of runtime behavior to detect trends on several monitored variables, such as system response time and CPU utilization. However, the lack of computationally efficient methods currently limits their integration into modern agile practices to detect SPAs in large scale systems. Objective: In this paper, we extended our previously proposed approach for the automated SPA characterization and detection designed to support continuous integration/delivery/deployment (CI/CDD) pipelines, with the goal of addressing the lack of computationally efficient algorithms. Method: We introduce a machine learning-based approach to improve the detection of SPA and interpretation of approach's results. The approach is complemented with a simulation-based methodology to analyze different architectural alternatives and measure the precision and recall of our approach. Our approach includes SPA statistical characterization using a multivariate analysis of load testing experimental results to identify the services that have the largest impact on system scalability. Results: To show the effectiveness of our approach, we have applied it to a large complex telecom system at Ericsson. We have built a simulation model of the Ericsson system and we have evaluated the introduced methodology by using simulation-based SPA injection. For this system, we are able to automatically identify the top five services that represent scalability choke points. We applied two machine learning algorithms for the automated detection of SPA. Conclusion: We contributed to the state-of-the-art by introducing a novel approach to support computationally efficient SPA characterization and detection that has been applied to a large complex system using performance testing data. We have compared the computational efficiency of the proposed approach with state-of-the-art heuristics. We have found that the approach introduced in this paper grows linearly, which is a significant improvement over existing techniques. (c) 2022 Elsevier Inc. All rights reserved.</t>
  </si>
  <si>
    <t xml:space="preserve">[Avritzer, Alberto] eSulab Solut, Princeton, NJ USA; [Britto, Ricardo; Chalawadi, Ram Kishan] Ericsson AB, Karskrona, Sweden; [Britto, Ricardo] Blekinge Inst Technol, Karskrona, Sweden; [Trubiani, Catia] Gran Sasso Sci Inst, Laquila, Italy; [Camilli, Matteo; Janes, Andrea; Russo, Barbara] Free Univ Bozen Bolzano, Bolzano, Italy; [Van Hoorn, Andre] Univ Hamburg, Hamburg, Germany; [Heinrich, Robert] Karlsruhe Inst Technol, Karlsruhe, Germany; [Rapp, Martina; Henss, Joerg] FZI Forschungszentrum Informat, Karlsruhe, Germany</t>
  </si>
  <si>
    <t xml:space="preserve">Ericsson; Blekinge Institute Technology; Gran Sasso Science Institute (GSSI); Free University of Bozen-Bolzano; University of Hamburg; Helmholtz Association; Karlsruhe Institute of Technology</t>
  </si>
  <si>
    <t xml:space="preserve">Heinrich, R (corresponding author), Karlsruhe Inst Technol, Karlsruhe, Germany.</t>
  </si>
  <si>
    <t xml:space="preserve">Russo, Barbara/AAA-8850-2019; Trubiani, Catia/AAU-4040-2021; Janes, Andrea/IVV-0008-2023; Janes, Andrea/B-5388-2015</t>
  </si>
  <si>
    <t xml:space="preserve">Trubiani, Catia/0000-0002-7675-6942; Janes, Andrea/0000-0002-1423-6773; Rapp, Martina/0000-0002-2703-0440; CAMILLI, MATTEO/0000-0003-2491-5267; Britto, Ricardo/0000-0002-7220-9570</t>
  </si>
  <si>
    <t xml:space="preserve">German Federal Ministry of Education and Research [01IS18067D]; Baden-Wurttemberg Stiftung (ORCAS); KASTEL institutional funding; eSulabSolutions; MUR PRIN project [2017TWRCNB]</t>
  </si>
  <si>
    <t xml:space="preserve">German Federal Ministry of Education and Research(Federal Ministry of Education &amp; Research (BMBF)); Baden-Wurttemberg Stiftung (ORCAS); KASTEL institutional funding; eSulabSolutions; MUR PRIN project(Ministry of Education, Universities and Research (MIUR))</t>
  </si>
  <si>
    <t xml:space="preserve">This work has been partially funded by eSulabSolutions, the MUR PRIN project 2017TWRCNB SEDUCE (Designing Spatially Distributed Cyber-Physical Systems under Uncertainty), the German Federal Ministry of Education and Research under grant 01IS18067D (RESPOND), the KASTEL institutional funding, and by the Baden-Wurttemberg Stiftung (ORCAS). We would like to thank the anonymous reviewers for their valuable and constructive comments, and all the experts at Ericsson who supported this research.</t>
  </si>
  <si>
    <t xml:space="preserve">10.1016/j.jss.2022.111446</t>
  </si>
  <si>
    <t xml:space="preserve">WOS:000967989300011</t>
  </si>
  <si>
    <t xml:space="preserve">Kvist, O; Dallora, AL; Nilsson, O; Anderberg, P; Berglund, JS; Flodmark, CE; Diaz, S</t>
  </si>
  <si>
    <t xml:space="preserve">Kvist, Ola; Luiza Dallora, Ana; Nilsson, Ola; Anderberg, Peter; Sanmartin Berglund, Johan; Flodmark, Carl-Erik; Diaz, Sandra</t>
  </si>
  <si>
    <t xml:space="preserve">A cross-sectional magnetic resonance imaging study of factors influencing growth plate closure in adolescents and young adults</t>
  </si>
  <si>
    <t xml:space="preserve">growth plate; magnetic resonance imaging; maturation process; obesity; puberty</t>
  </si>
  <si>
    <t xml:space="preserve">BONE-AGE ADVANCEMENT; PUBERTAL CHANGES; MRI; MATURATION; OBESITY; DETERMINANTS; PATTERN; IMPACT; KAPPA; WRIST</t>
  </si>
  <si>
    <t xml:space="preserve">Aim To assess growth plate fusion by magnetic resonance imaging (MRI) and evaluate the correlation with sex, age, pubertal development, physical activity and BMI. Methods Wrist, knee and ankle of 958 healthy subjects aged 14.0-21.5 years old were examined using MRI and graded by two radiologists. Correlations of growth plate fusion score with age, pubertal development, physical activity and BMI were assessed. Results Complete growth plate fusion occurred in 75%, 85%, 97%, 98%, 98% and 90%, 97%, 95%, 97%, 98% (radius, femur, proximal- and distal tibia and calcaneus) in 17-year-old females and 19-year-old males, respectively. Complete fusion occurs approximately 2 years earlier in girls than in boys. Pubertal development correlated with growth plate fusion score (rho = 0.514-0.598 for the different growth plate sites) but regular physical activity did not. BMI also correlated with growth plate fusion (rho = 0.186-0.384). Stratified logistic regression showed increased odds ratio (OR F: 2.65-8.71; M: 1.71-4.03) for growth plate fusion of obese or overweight subects versus normal-weight subjects. Inter-observer agreement was high (Kappa = 0.87-0.94). Conclusion Growth plate fusion can be assessed by MRI; occurs in an ascending order, from the foot to the wrist; and is significantly influenced by sex, pubertal development and BMI, but not by physical activity.</t>
  </si>
  <si>
    <t xml:space="preserve">[Kvist, Ola; Diaz, Sandra] Karolinska Univ Hosp, Dept Paediat Radiol, S-17164 Stockholm, Sweden; [Kvist, Ola; Nilsson, Ola; Diaz, Sandra] Karolinska Inst, Dept Womens &amp; Childrens Hlth, Stockholm, Sweden; [Luiza Dallora, Ana; Anderberg, Peter; Sanmartin Berglund, Johan] Blekinge Inst Technol, Dept Hlth, Karlskrona, Sweden; [Nilsson, Ola] Orebro Univ, Sch Med Sci, Orebro, Sweden; [Flodmark, Carl-Erik] Lund Univ, Dept Clin Sci Malmo, Lund, Sweden; [Diaz, Sandra] Lund Univ, Dept Radiol, Lund, Sweden</t>
  </si>
  <si>
    <t xml:space="preserve">Karolinska Institutet; Karolinska University Hospital; Karolinska Institutet; Blekinge Institute Technology; Orebro University; Lund University; Lund University</t>
  </si>
  <si>
    <t xml:space="preserve">Kvist, O (corresponding author), Karolinska Univ Hosp, Dept Paediat Radiol, S-17164 Stockholm, Sweden.</t>
  </si>
  <si>
    <t xml:space="preserve">ola.kvist@ki.se</t>
  </si>
  <si>
    <t xml:space="preserve">Kvist, Ola/AFZ-5000-2022; Sanmartin Berglund, Johan/HGB-0471-2022; Diaz Ruiz, Sandra/HMW-0601-2023; Nilsson, Ola/C-4609-2008; Anderberg, Peter/B-5541-2012</t>
  </si>
  <si>
    <t xml:space="preserve">Flodmark, Carl-Erik/0000-0001-9705-4766; Anderberg, Peter/0000-0001-9870-8477; Kvist, Ola/0000-0002-8730-5901; Diaz Ruiz, Sandra/0000-0003-2016-4195; Berglund, Johan/0000-0003-4312-2246; Nilsson, Ola/0000-0002-9986-8138</t>
  </si>
  <si>
    <t xml:space="preserve">National Board of Health and Welfare</t>
  </si>
  <si>
    <t xml:space="preserve">The National Board of Health and Welfare funded this study.</t>
  </si>
  <si>
    <t xml:space="preserve">10.1111/apa.15617</t>
  </si>
  <si>
    <t xml:space="preserve">QT6RP</t>
  </si>
  <si>
    <t xml:space="preserve">WOS:000583231300001</t>
  </si>
  <si>
    <t xml:space="preserve">Liang, F; Zhao, L; Ren, Y; Wang, S; To, S; Abbas, Z; Islam, MS</t>
  </si>
  <si>
    <t xml:space="preserve">Liang, Feng; Zhao, Lun; Ren, Yu; Wang, Sen; To, Sandy; Abbas, Zeshan; Islam, Md Shafiqul</t>
  </si>
  <si>
    <t xml:space="preserve">LAD-Net: A lightweight welding defect surface non-destructive detection algorithm based on the attention mechanism</t>
  </si>
  <si>
    <t xml:space="preserve">Ultrasonic welding; LAD-Net; Defect detection; Attention mechanism</t>
  </si>
  <si>
    <t xml:space="preserve">Ultrasound welding technology is widely applied in the field of industrial manufacturing. In complex working conditions, various factors such as welding parameters, equipment conditions and operational techniques contribute to the formation of diverse and unpredictable line defects during the welding process. These defects exhibit characteristics such as varied shapes, random positions, and diverse types. Consequently, traditional defect surface detection methods face challenges in achieving efficient and accurate non-destructive testing. To achieve real-time detection of ultrasound welding defects efficiently, we have developed a lightweight network called the Lightweight Attention Detection Network (LAD -Net) based on an attention mechanism. Firstly, this work proposes a Deformable Convolution Feature Extraction Module (DCFE-Module) aimed at addressing the challenge of extracting features from welding defects characterized by variable shapes, random positions, and complex defect types. Additionally, to prevent the loss of critical defect features and enhance the network 's capability for feature extraction and integration, this study designs a Lightweight Step Attention Mechanism Module (LSAM-Module) based on the proposed Step Attention Mechanism Convolution (SAM-Conv). Finally, by integrating the Efficient Multi -scale Attention (EMA) module and the Explicit Visual Center (EVC) module into the network, we address the issue of imbalance between global and local information processing, and promote the integration of key defect features. Qualitative and quantitative experimental results conducted on both ultrasound welding defect data and the publicly available NEU-DET dataset demonstrate that the proposed LAD -Net method achieves high performance. On our custom dataset, the F1 score and mAP@0.5 reached 0.954 and 94.2%, respectively. Furthermore, the method exhibits superior detection performance on the public dataset.</t>
  </si>
  <si>
    <t xml:space="preserve">[Liang, Feng; Wang, Sen] Kunming Univ Sci &amp; Technol, Fac Mech &amp; Elect Engn, Kunming 650500, Peoples R China; [Liang, Feng; Zhao, Lun; Abbas, Zeshan] Shenzhen Polytech Univ, Inst Intelligent Mfg Technol, Shenzhen 518055, Peoples R China; [Zhao, Lun; To, Sandy] Hong Kong Polytech Univ, State Key Lab Ultraprecis Machining Technol, Kowloon, Hong Kong, Peoples R China; [Ren, Yu] Shenzhen Univ, Sch Biomed Engn, Shenzhen 518055, Peoples R China; [Islam, Md Shafiqul] Blekinge Inst Technol, Fac Engn, Dept Mech Engn, S-37179 Karlskrona, Sweden</t>
  </si>
  <si>
    <t xml:space="preserve">Kunming University of Science &amp; Technology; Shenzhen Polytechnic University; Hong Kong Polytechnic University; Shenzhen University; Blekinge Institute Technology</t>
  </si>
  <si>
    <t xml:space="preserve">Zhao, L (corresponding author), Shenzhen Polytech Univ, Inst Intelligent Mfg Technol, Shenzhen 518055, Peoples R China.</t>
  </si>
  <si>
    <t xml:space="preserve">liangfeng@stu.kust.edu.cn; zhaolun@szpu.edu.cn; renyu2023@email.szu.edu.cn; wangsen0401@kust.edu.cn; mailsandy.to@polyu.edu.hk; abbasz@szpt.edu.cn; shafiqul.islam@bth.se</t>
  </si>
  <si>
    <t xml:space="preserve">Ren, Yu/HJP-8357-2023; Abbas, Zeshan/MEO-8370-2025; Islam, Md Shafiqul/GLS-1837-2022</t>
  </si>
  <si>
    <t xml:space="preserve">Ren, Yu/0000-0003-4137-1628; Wang, Sen/0000-0003-1259-8030; Feng, Liang/0009-0006-4470-4423</t>
  </si>
  <si>
    <t xml:space="preserve">National Natural Science Foundation of China [12104324]; Scientific Research Startup Fund for Shenzhen High-Caliber Personnel of SZPU [6022310046K]; SZPU-Newpower Ultrasonic Welding RD [602331009PQ]; Post-doctoral Later-stage Foundation Project of Shenzhen Polytechnic University [4103-6023271014K1]</t>
  </si>
  <si>
    <t xml:space="preserve">National Natural Science Foundation of China(National Natural Science Foundation of China (NSFC)); Scientific Research Startup Fund for Shenzhen High-Caliber Personnel of SZPU; SZPU-Newpower Ultrasonic Welding RD; Post-doctoral Later-stage Foundation Project of Shenzhen Polytechnic University</t>
  </si>
  <si>
    <t xml:space="preserve">We gratefully acknowledge the financial support from the National Natural Science Foundation of China (Grant No. 12104324), the Scientific Research Startup Fund for Shenzhen High-Caliber Personnel of SZPU (No. 6022310046K), the SZPU-Newpower Ultrasonic Welding R&amp;D (No. 602331009PQ), and the Post-doctoral Later-stage Foundation Project of Shenzhen Polytechnic University (No. 4103-6023271014K1) . Additionally, we express our appreciation to the anonymous reviewers whose comments have significantly improved the paper.</t>
  </si>
  <si>
    <t xml:space="preserve">10.1016/j.compind.2024.104109</t>
  </si>
  <si>
    <t xml:space="preserve">UO7E6</t>
  </si>
  <si>
    <t xml:space="preserve">WOS:001249057000001</t>
  </si>
  <si>
    <t xml:space="preserve">Kvist, OFT; Dallora, AL; Nilsson, O; Anderberg, P; Berglund, JS; Flodmark, CE; Diaz, S</t>
  </si>
  <si>
    <t xml:space="preserve">Kvist, Ola F. T.; Dallora, Ana Luiza; Nilsson, Ola; Anderberg, Peter; Berglund, Johan Sanmartin; Flodmark, Carl-Erik; Diaz, Sandra</t>
  </si>
  <si>
    <t xml:space="preserve">Comparison of reliability of magnetic resonance imaging using cartilage and T1-weighted sequences in the assessment of the closure of the growth plates at the knee</t>
  </si>
  <si>
    <t xml:space="preserve">ACTA RADIOLOGICA OPEN</t>
  </si>
  <si>
    <t xml:space="preserve">Growth plate; cartilage; MRI of the knee; growth failure; growth development</t>
  </si>
  <si>
    <t xml:space="preserve">FORENSIC AGE ESTIMATION; TIBIAL EPIPHYSIS; MRI; OSSIFICATION; WRIST; PERSISTENCE; SCAR</t>
  </si>
  <si>
    <t xml:space="preserve">Background: Growth development is traditionally evaluated with plain radiographs of the hand and wrist to visualize bone structures using ionizing radiation. Meanwhile, MRI visualizes bone and cartilaginous tissue without radiation exposure. Purpose: To determine the state of growth plate closure of the knee in healthy adolescents and young adults and compare the reliability of staging using cartilage sequences and T1-weighted (T1W) sequence between pediatric and general radiologists. Material and Methods: A prospective, cross-sectional study of MRI of the knee with both cartilage and T1W sequences was performed in 395 male and female healthy subjects aged between 14.0 and 21.5 years old. The growth plate of the femur and the tibia were graded using a modified staging scale by two pediatric and two general radiologists. Femur and tibia were graded separately with both sequences. Results: The intraclass correlation was overall excellent. The inter- and intra-observer agreement for pediatric radiologists on T1W was 82% (kappa = 0.73) and 77% (kappa = 0.65) for the femur and 90% (kappa = 0.82) and 87% (kappa = 0.75) for the tibia. The inter-observer agreement for general radiologists on T1W was 69% (kappa = 0.56) for the femur and 56% (kappa = 0.34) for the tibia. Cohen's kappa coefficient showed a higher inter- and intra-observer agreement for cartilage sequences than for T1W: 93% (kappa = 0.86) and 89% (kappa = 0.79) for the femur and 95% (kappa = 0.90) and 91% (kappa = 0.81) for the tibia. Conclusion: Cartilage sequences are more reliable than T1W sequence in the assessment of the growth plate in adolescents and young adults. Pediatric radiology experience is preferable.</t>
  </si>
  <si>
    <t xml:space="preserve">[Kvist, Ola F. T.; Diaz, Sandra] Karolinska Univ Hosp, Dept Pediat Radiol, Eugeniavagen 23, S-17164 Stockholm, Sweden; [Kvist, Ola F. T.; Nilsson, Ola; Diaz, Sandra] Karolinska Inst, Dept Womens &amp; Childrens Hlth, Stockholm, Sweden; [Dallora, Ana Luiza; Anderberg, Peter; Berglund, Johan Sanmartin] Blekinge Inst Technol, Dept Hlth, Karlskrona, Sweden; [Nilsson, Ola] Orebro Univ, Sch Med Sci, Orebro, Sweden; [Flodmark, Carl-Erik] Lund Univ, Dept Clin Sci Malmo, Lund, Sweden; [Diaz, Sandra] Lund Univ, Dept Radiol, Lund, Sweden</t>
  </si>
  <si>
    <t xml:space="preserve">Kvist, OFT (corresponding author), Karolinska Univ Hosp, Dept Pediat Radiol, Eugeniavagen 23, S-17164 Stockholm, Sweden.</t>
  </si>
  <si>
    <t xml:space="preserve">Kvist, Ola/AFZ-5000-2022; Nilsson, Ola/C-4609-2008; Diaz Ruiz, Sandra/HMW-0601-2023; Sanmartin Berglund, Johan/HGB-0471-2022; Anderberg, Peter/B-5541-2012</t>
  </si>
  <si>
    <t xml:space="preserve">Anderberg, Peter/0000-0001-9870-8477; Flodmark, Carl-Erik/0000-0001-9705-4766; Diaz Ruiz, Sandra/0000-0003-2016-4195; Berglund, Johan/0000-0003-4312-2246; Kvist, Ola/0000-0002-8730-5901; Dallora Moraes, Ana Luiza/0000-0002-6752-017X</t>
  </si>
  <si>
    <t xml:space="preserve">2058-4601</t>
  </si>
  <si>
    <t xml:space="preserve">ACTA RADIOL OPEN</t>
  </si>
  <si>
    <t xml:space="preserve">Acta Radiol. Open</t>
  </si>
  <si>
    <t xml:space="preserve">10.1177/2058460120962732</t>
  </si>
  <si>
    <t xml:space="preserve">Radiology, Nuclear Medicine &amp; Medical Imaging</t>
  </si>
  <si>
    <t xml:space="preserve">NW0LV</t>
  </si>
  <si>
    <t xml:space="preserve">WOS:000574701900001</t>
  </si>
  <si>
    <t xml:space="preserve">Al-Dhaqm, A; Ikuesan, RA; Kebande, VR; Abd Razak, S; Grispos, G; Choo, KKR; Al-Rimy, BAS; Alsewari, AA</t>
  </si>
  <si>
    <t xml:space="preserve">Al-Dhaqm, Arafat; Ikuesan, Richard Adeyemi; Kebande, Victor R.; Abd Razak, Shukor; Grispos, George; Choo, Kim-Kwang Raymond; Al-Rimy, Bander Ali Saleh; Alsewari, Abdulrahman A.</t>
  </si>
  <si>
    <t xml:space="preserve">Digital Forensics Subdomains: The State of the Art and Future Directions</t>
  </si>
  <si>
    <t xml:space="preserve">Digital forensics; Databases; Internet of Things; Tools; Protocols; Licenses; Guidelines; Digital forensics; database forensics; mobile forensic; network forensics; IoT forensics; digital forensic metamodel</t>
  </si>
  <si>
    <t xml:space="preserve">PROCESS MODEL; READINESS FRAMEWORK; ACQUISITION; INTERNET; NETWORKS; METADATA; RECOVERY; MEMORY; TOOL</t>
  </si>
  <si>
    <t xml:space="preserve">For reliable digital evidence to be admitted in a court of law, it is important to apply scientifically proven digital forensic investigation techniques to corroborate a suspected security incident. Mainly, traditional digital forensics techniques focus on computer desktops and servers. However, recent advances in digital media and platforms have seen an increased need for the application of digital forensic investigation techniques to other subdomains. This includes mobile devices, databases, networks, cloud-based platforms, and the Internet of Things (IoT) at large. To assist forensic investigators to conduct investigations within these subdomains, academic researchers have attempted to develop several investigative processes. However, many of these processes are domain-specific or describe domain-specific investigative tools. Hence, in this paper, we hypothesize that the literature is saturated with ambiguities. To further synthesize this hypothesis, a digital forensic model-orientated Systematic Literature Review (SLR) within the digital forensic subdomains has been undertaken. The purpose of this SLR is to identify the different and heterogeneous practices that have emerged within the specific digital forensics subdomains. A key finding from this review is that there are process redundancies and a high degree of ambiguity among investigative processes in the various subdomains. As a way forward, this study proposes a high-level abstract metamodel, which combines the common investigation processes, activities, techniques, and tasks for digital forensics subdomains. Using the proposed solution, an investigator can effectively organize the knowledge process for digital investigation.</t>
  </si>
  <si>
    <t xml:space="preserve">[Al-Dhaqm, Arafat; Abd Razak, Shukor; Al-Rimy, Bander Ali Saleh] Univ Teknol Malaysia UTM, Fac Engn, Sch Comp, Johor Baharu 81310, Malaysia; [Al-Dhaqm, Arafat] Aden Community Coll ACC, Dept Comp Sci, Aden, Yemen; [Ikuesan, Richard Adeyemi] Community Coll Qatar, Sch Informat Technol, Dept Cybersecur &amp; Networking, Doha, Qatar; [Kebande, Victor R.] Blekinge Inst Technol, Dept Comp Sci DIDA, S-37435 Karlskrona, Sweden; [Grispos, George] Univ Nebraska, Sch Interdisciplinary Informat, Omaha, NE 68182 USA; [Choo, Kim-Kwang Raymond] Univ Texas San Antonio, Dept Informat Syst &amp; Cyber Secur, San Antonio, TX 78249 USA; [Alsewari, Abdulrahman A.] Univ Malaysia Pahang, Fac Comp, IBM Ctr Excellence, Pahang 26600, Malaysia</t>
  </si>
  <si>
    <t xml:space="preserve">Universiti Teknologi Malaysia; Blekinge Institute Technology; University of Nebraska System; University of Texas System; University of Texas at San Antonio (UTSA); Universiti Malaysia Pahang Al-Sultan Abdullah (UMPSA)</t>
  </si>
  <si>
    <t xml:space="preserve">Al-Rimy, BAS (corresponding author), Univ Teknol Malaysia UTM, Fac Engn, Sch Comp, Johor Baharu 81310, Malaysia.;Ikuesan, RA (corresponding author), Community Coll Qatar, Sch Informat Technol, Dept Cybersecur &amp; Networking, Doha, Qatar.;Kebande, VR (corresponding author), Blekinge Inst Technol, Dept Comp Sci DIDA, S-37435 Karlskrona, Sweden.</t>
  </si>
  <si>
    <t xml:space="preserve">richard.ikuesan@ccq.edu.qa; victor.kebande@mau.se; bander@utm.my</t>
  </si>
  <si>
    <t xml:space="preserve">Alsewari, AbdulRahman/Q-3966-2019; Ikuesan, Adeyemi/D-2583-2018; Grispos, George/AAB-8294-2019; Al-rimy, Bander/C-8931-2016; Choo, Kim-Kwang Raymond/A-3634-2009; abd razak, shukor/F-5651-2011; R. Kebande, Victor/F-3934-2019</t>
  </si>
  <si>
    <t xml:space="preserve">Al-rimy, Bander/0000-0003-3048-5961; Alsewari, AbdulRahman/0000-0002-7802-6628; Ikuesan, Richard Adeyemi/0000-0001-7355-2314; abd razak, shukor/0000-0002-8824-6069; R. Kebande, Victor/0000-0003-4071-4596; Grispos, George/0000-0003-3468-0182</t>
  </si>
  <si>
    <t xml:space="preserve">10.1109/ACCESS.2021.3124262</t>
  </si>
  <si>
    <t xml:space="preserve">XA2UH</t>
  </si>
  <si>
    <t xml:space="preserve">WOS:000720508200001</t>
  </si>
  <si>
    <t xml:space="preserve">Garousi, V; Felderer, M; Kuhrmann, M; Herkiloglu, K; Eldh, S</t>
  </si>
  <si>
    <t xml:space="preserve">Garousi, Vahid; Felderer, Michael; Kuhrmann, Marco; Herkiloglu, Kadir; Eldh, Sigrid</t>
  </si>
  <si>
    <t xml:space="preserve">Exploring the industry's challenges in software testing: An empirical study</t>
  </si>
  <si>
    <t xml:space="preserve">challenges; opinion survey; software industry; software testing</t>
  </si>
  <si>
    <t xml:space="preserve">ACADEMIA COLLABORATIONS; ENGINEERING RESEARCH; RISK; EXPERIENCE</t>
  </si>
  <si>
    <t xml:space="preserve">Context Software testing is an important and costly software engineering activity in the industry. Despite the efforts of the software testing research community in the last several decades, various studies show that still many practitioners in the industry report challenges in their software testing tasks. Objective To shed light on industry's challenges in software testing, we characterize and synthesize the challenges reported by practitioners. Such concrete challenges can then be used for a variety of purposes, eg, research collaborations between industry and academia. Method Our empirical research method is opinion survey. By designing an online survey, we solicited practitioners' opinions about their challenges in different testing activities. Our dataset includes data from 72 practitioners from eight different countries. Results Our results show that test management and test automation are considered the most challenging among all testing activities by practitioners. Our results also include a set of 104 concrete challenges in software testing that may need further investigations by the research community. Conclusion We conclude that the focal points of industrial work and academic research in software testing differ. Furthermore, the paper at hand provides valuable insights concerning practitioners' pain points and, thus, provides researchers with a source of important research topics of high practical relevance.</t>
  </si>
  <si>
    <t xml:space="preserve">[Garousi, Vahid] Queens Univ Belfast, Sch Elect Elect Engn &amp; Comp Sci, Belfast, Antrim, North Ireland; [Felderer, Michael] Univ Innsbruck, Dept Comp Sci, Innsbruck, Austria; [Felderer, Michael] Blekinge Inst Technol, Dept Software Engn, Karlskrona, Sweden; [Kuhrmann, Marco] Tech Univ Clausthal, Inst Appl Software Syst Engn, Clausthal Zellerfeld, Germany; [Herkiloglu, Kadir] HAVELSAN AS, Test Engn Grp, Ankara, Turkey; [Eldh, Sigrid] Ericsson AB, Business Unit Networks Syst &amp; Technol Software Co, Stockholm, Sweden; [Eldh, Sigrid] Malardalen Univ, Div Networked &amp; Embedded Syst, Vasteras, Sweden</t>
  </si>
  <si>
    <t xml:space="preserve">Queens University Belfast; University of Innsbruck; Blekinge Institute Technology; TU Clausthal; Havelsan AS; Ericsson; Malardalen University</t>
  </si>
  <si>
    <t xml:space="preserve">Garousi, V (corresponding author), Queens Univ Belfast, Sch Elect Elect Engn &amp; Comp Sci, Belfast, Antrim, North Ireland.</t>
  </si>
  <si>
    <t xml:space="preserve">v.garousi@qub.ac.uk</t>
  </si>
  <si>
    <t xml:space="preserve">Eldh, Sigrid/JVO-0074-2024; Felderer, Michael/AAF-4909-2020</t>
  </si>
  <si>
    <t xml:space="preserve">Kuhrmann, Marco/0000-0001-6101-8931; Eldh, Sigrid/0000-0002-5070-9312; Garousi, Vahid/0000-0001-6590-7576; Felderer, Michael/0000-0003-3818-4442</t>
  </si>
  <si>
    <t xml:space="preserve">ITEA; Knowledge Foundation [20130085]</t>
  </si>
  <si>
    <t xml:space="preserve">ITEA; Knowledge Foundation</t>
  </si>
  <si>
    <t xml:space="preserve">ITEA; Knowledge Foundation, Grant/Award Number: 20130085</t>
  </si>
  <si>
    <t xml:space="preserve">e2251</t>
  </si>
  <si>
    <t xml:space="preserve">10.1002/smr.2251</t>
  </si>
  <si>
    <t xml:space="preserve">NA4KT</t>
  </si>
  <si>
    <t xml:space="preserve">WOS:000511327000001</t>
  </si>
  <si>
    <t xml:space="preserve">Wang, H; Ning, HS; Lin, YJ; Wang, WX; Dhelim, S; Farha, F; Ding, JG; Daneshmand, M</t>
  </si>
  <si>
    <t xml:space="preserve">Wang, Hang; Ning, Huansheng; Lin, Yujia; Wang, Wenxi; Dhelim, Sahraoui; Farha, Fadi; Ding, Jianguo; Daneshmand, Mahmoud</t>
  </si>
  <si>
    <t xml:space="preserve">A Survey on the Metaverse: The State-of-the-Art, Technologies, Applications, and Challenges</t>
  </si>
  <si>
    <t xml:space="preserve">IEEE INTERNET OF THINGS JOURNAL</t>
  </si>
  <si>
    <t xml:space="preserve">Hyper-spatio-temporality; metaverse; multitechnology convergence; sociality</t>
  </si>
  <si>
    <t xml:space="preserve">FUTURE-TRENDS; THINGS IOT; INTERNET; PRIVACY; SYSTEMS; INTEGRATION; 5G</t>
  </si>
  <si>
    <t xml:space="preserve">In recent years, the concept of the Metaverse has attracted considerable attention. This article provides a comprehensive overview of the Metaverse. First, the development status of the Metaverse is presented. We summarize the policies of various countries, companies, and organizations relevant to the Metaverse, as well as statistics on the number of Metaverse-related publications. Characteristics of the Metaverse are identified: 1) multitechnology convergence; 2) sociality; and 3) hyper-spatio-temporality. For the multitechnology convergence of the Metaverse, we divide the technological framework of the Metaverse into five dimensions. For the sociality of the Metaverse, we focus on the Metaverse as a virtual social world. Regarding the characteristic of hyper-spatio-temporality, we introduce the Metaverse as an open, immersive, and interactive 3-D virtual world which can break through the constraints of time and space in the real world. The challenges of the Metaverse are also discussed.</t>
  </si>
  <si>
    <t xml:space="preserve">[Wang, Hang] Linyi Univ, Sch Comp Sci &amp; Engn, Linyi, Peoples R China; [Wang, Hang; Ning, Huansheng; Lin, Yujia; Wang, Wenxi] Univ Sci &amp; Technol Beijing, Sch Comp &amp; Commun Engn, Beijing 100083, Peoples R China; [Dhelim, Sahraoui] Univ Coll Dublin, Sch Comp Sci, Dublin 4, Ireland; [Farha, Fadi] Aleppo Univ, Fac Informat Engn, Aleppo, Syria; [Ding, Jianguo] Blekinge Inst Technol, Dept Comp Sci, S-37150 Karlskrona, Sweden; [Daneshmand, Mahmoud] Stevens Inst Technol, Dept Business Intelligence &amp; Analyt, Hoboken, NJ 07030 USA; [Daneshmand, Mahmoud] Stevens Inst Technol, Dept Comp Sci, Hoboken, NJ 07030 USA</t>
  </si>
  <si>
    <t xml:space="preserve">Linyi University; University of Science &amp; Technology Beijing; University College Dublin; University of Aleppo; Blekinge Institute Technology; Stevens Institute of Technology; Stevens Institute of Technology</t>
  </si>
  <si>
    <t xml:space="preserve">wanghang146@126.com; ninghuansheng@ustb.edu.cn; linyujia@xs.ustb.edu.cn; wenxiwang@xs.ustb.edu.cn; sahraoui.dhelim@hotmail.com; fadifarha@ieee.org; jianguo.ding@bth.se; mdaneshm@stevens.edu</t>
  </si>
  <si>
    <t xml:space="preserve">Ding, Jianguo/B-5748-2008; Farha, Fadi/D-6690-2018; DHELIM, Sahraoui/L-5176-2017</t>
  </si>
  <si>
    <t xml:space="preserve">Ding, Jianguo/0000-0002-8927-0968; Farha, Fadi/0000-0003-3894-7913; DHELIM, Sahraoui/0000-0002-3620-1395; Wang, Hang/0009-0008-5291-5401</t>
  </si>
  <si>
    <t xml:space="preserve">National Natural Science Foundation of China [61872038]</t>
  </si>
  <si>
    <t xml:space="preserve">This work was supported in part by the National Natural Science Foundation of China under Grant 61872038.&amp; nbsp;</t>
  </si>
  <si>
    <t xml:space="preserve">2327-4662</t>
  </si>
  <si>
    <t xml:space="preserve">IEEE INTERNET THINGS</t>
  </si>
  <si>
    <t xml:space="preserve">IEEE Internet Things J.</t>
  </si>
  <si>
    <t xml:space="preserve">10.1109/JIOT.2023.3278329</t>
  </si>
  <si>
    <t xml:space="preserve">O7WQ3</t>
  </si>
  <si>
    <t xml:space="preserve">WOS:001045875700039</t>
  </si>
  <si>
    <t xml:space="preserve">Avritzer, A; Britto, R; Trubiani, C; Russo, B; Janes, A; Camilli, M; van Hoorn, A; Heinrich, R; Rapp, M; Henss, J</t>
  </si>
  <si>
    <t xml:space="preserve">Avritzer, Alberto; Britto, Ricardo; Trubiani, Catia; Russo, Barbara; Janes, Andrea; Camilli, Matteo; van Hoorn, Andre; Heinrich, Robert; Rapp, Martina; Henss, Joerg</t>
  </si>
  <si>
    <t xml:space="preserve">A Multivariate Characterization and Detection of Software Performance Antipatterns</t>
  </si>
  <si>
    <t xml:space="preserve">PROCEEDINGS OF THE ACM/SPEC INTERNATIONAL CONFERENCE ON PERFORMANCE ENGINEERING (ICPE '21)</t>
  </si>
  <si>
    <t xml:space="preserve">ACM/SPEC International Conference on Performance Engineering (ICPE)</t>
  </si>
  <si>
    <t xml:space="preserve">APR 19-21, 2021</t>
  </si>
  <si>
    <t xml:space="preserve">Assoc Comp Machinery,SPEC</t>
  </si>
  <si>
    <t xml:space="preserve">Context: Software Performance Antipatterns (SPAs) research has focused on algorithms for the characterization, detection, and solution of antipatterns. However, existing algorithms are based on the analysis of runtime behavior to detect trends on several monitored variables (e.g., response time, CPU utilization, and number of threads) using pre-defined thresholds. Objective: In this paper, we introduce a new approach for SPA characterization and detection designed to support continuous integration/delivery/deployment (CI/CDD) pipelines, with the goal of addressing the lack of computationally efficient algorithms. Method: Our approach includes SPA statistical characterization using a multivariate analysis approach of load testing experimental results to identify the services that have the largest impact on system scalability. More specifically, we introduce a layered decomposition approach that implements statistical analysis based on response time to characterize load testing experimental results. A distance function is used to match experimental results to SPAs. Results: We have instantiated the introduced methodology by applying it to a large complex telecom system. We were able to automatically identify the top five services that are scalability choke points. In addition, we were able to automatically identify one SPA. We have validated the engineering aspects of our methodology and the expected benefits by means of a domain experts' survey. Conclusion: We contribute to the state-of-the-art by introducing a novel approach to support computationally efficient SPA characterization and detection in large complex systems using performance testing results. We have compared the computational efficiency of the proposed approach with state-of-the-art heuristics. We have found that the approach introduced in this paper grows linearly, which is a significant improvement over existing techniques.</t>
  </si>
  <si>
    <t xml:space="preserve">[Avritzer, Alberto] eSulab Solut, Princeton, NJ 08550 USA; [Britto, Ricardo] Ericsson AB, Karskrona, Sweden; [Britto, Ricardo] Blekinge Inst Technol, Karlskrona, Sweden; [Trubiani, Catia] Gran Sasso Sci Inst, Laquila, Italy; [Russo, Barbara; Janes, Andrea; Camilli, Matteo] Free Univ Bozen Bolzano, Bolzano, Italy; [van Hoorn, Andre] Univ Stuttgart, Stuttgart, Germany; [Heinrich, Robert] Karlsruhe Inst Technol, Karlsruhe, Germany; [Rapp, Martina; Henss, Joerg] FZI Forschungszentrum Informat, Karlsruhe, Germany</t>
  </si>
  <si>
    <t xml:space="preserve">Ericsson; Blekinge Institute Technology; Gran Sasso Science Institute (GSSI); Free University of Bozen-Bolzano; University of Stuttgart; Helmholtz Association; Karlsruhe Institute of Technology</t>
  </si>
  <si>
    <t xml:space="preserve">Avritzer, A (corresponding author), eSulab Solut, Princeton, NJ 08550 USA.</t>
  </si>
  <si>
    <t xml:space="preserve">Trubiani, Catia/AAU-4040-2021; Janes, Andrea/IVV-0008-2023</t>
  </si>
  <si>
    <t xml:space="preserve">CAMILLI, MATTEO/0000-0003-2491-5267</t>
  </si>
  <si>
    <t xml:space="preserve">eSulab Solutions; MIUR; European Union [825040]</t>
  </si>
  <si>
    <t xml:space="preserve">eSulab Solutions; MIUR(Ministry of Education, Universities and Research (MIUR)); European Union(European Union (EU))</t>
  </si>
  <si>
    <t xml:space="preserve">This work has been partially funded by eSulab Solutions, the MIUR PRIN project 2017TWRCNB SEDUCE (Designing Spatially Distributed Cyber-Physical Systems under Uncertainty), and the European Union's Horizon 2020 research and innovation programme (grant no. 825040, RADON).</t>
  </si>
  <si>
    <t xml:space="preserve">978-1-4503-8194-9</t>
  </si>
  <si>
    <t xml:space="preserve">10.1145/3427921.3450246</t>
  </si>
  <si>
    <t xml:space="preserve">BS5YN</t>
  </si>
  <si>
    <t xml:space="preserve">WOS:000744413800007</t>
  </si>
  <si>
    <t xml:space="preserve">Torkar, R; Furia, CA; Feldt, R; Neto, FGD; Gren, L; Lenberg, P; Ernst, NA</t>
  </si>
  <si>
    <t xml:space="preserve">Torkar, Richard; Furia, Carlo A.; Feldt, Robert; de Oliveira Neto, Francisco Gomes; Gren, Lucas; Lenberg, Per; Ernst, Neil A.</t>
  </si>
  <si>
    <t xml:space="preserve">A Method to Assess and Argue for Practical Significance in Software Engineering</t>
  </si>
  <si>
    <t xml:space="preserve">Bayes methods; Data models; Software engineering; Statistical analysis; Analytical models; Testing; Decision making; Practical significance; statistical significance; Bayesian analysis; empirical software engineering</t>
  </si>
  <si>
    <t xml:space="preserve">PROSPECT-THEORY; DECISION</t>
  </si>
  <si>
    <t xml:space="preserve">A key goal of empirical research in software engineering is to assess practical significance, which answers the question whether the observed effects of some compared treatments show a relevant difference in practice in realistic scenarios. Even though plenty of standard techniques exist to assess statistical significance, connecting it to practical significance is not straightforward or routinely done; indeed, only a few empirical studies in software engineering assess practical significance in a principled and systematic way. In this paper, we argue that Bayesian data analysis provides suitable tools to assess practical significance rigorously. We demonstrate our claims in a case study comparing different test techniques. The case study's data was previously analyzed (Afzal et al., 2015) using standard techniques focusing on statistical significance. Here, we build a multilevel model of the same data, which we fit and validate using Bayesian techniques. Our method is to apply cumulative prospect theory on top of the statistical model to quantitatively connect our statistical analysis output to a practically meaningful context. This is then the basis both for assessing and arguing for practical significance. Our study demonstrates that Bayesian analysis provides a technically rigorous yet practical framework for empirical software engineering. A substantial side effect is that any uncertainty in the underlying data will be propagated through the statistical model, and its effects on practical significance are made clear. Thus, in combination with cumulative prospect theory, Bayesian analysis supports seamlessly assessing practical significance in an empirical software engineering context, thus potentially clarifying and extending the relevance of research for practitioners.</t>
  </si>
  <si>
    <t xml:space="preserve">[Torkar, Richard; Feldt, Robert; de Oliveira Neto, Francisco Gomes; Gren, Lucas; Lenberg, Per] Chalmers, Dept Comp Sci &amp; Engn, S-41296 Gothenburg, Sweden; [Torkar, Richard; Feldt, Robert; de Oliveira Neto, Francisco Gomes; Gren, Lucas; Lenberg, Per] Univ Gothenburg, S-40530 Gothenburg, Sweden; [Torkar, Richard] Stellenbosch Univ, Wallenberg Res Ctr, Stellenbosch Inst Adv Study Stirs, ZA-7602 Stellenbosch, South Africa; [Furia, Carlo A.] USI Univ Svizzera Italiana, Software Inst, Via Giuseppe Buffi 13, CH-6904 Lugano, Switzerland; [Gren, Lucas] Blekinge Inst Technol, S-37141 Karlskrona, Sweden; [Ernst, Neil A.] Univ Victoria, Dept Comp Sci, Victoria, BC V8P 5C2, Canada</t>
  </si>
  <si>
    <t xml:space="preserve">Chalmers University of Technology; University of Gothenburg; Stellenbosch University; Universita della Svizzera Italiana; Blekinge Institute Technology; University of Victoria</t>
  </si>
  <si>
    <t xml:space="preserve">Torkar, R (corresponding author), Chalmers, Dept Comp Sci &amp; Engn, S-41296 Gothenburg, Sweden.;Torkar, R (corresponding author), Univ Gothenburg, S-40530 Gothenburg, Sweden.</t>
  </si>
  <si>
    <t xml:space="preserve">torkarr@chalmers.se; furiac@usi.ch; robert.feldt@chalmers.se; gomesf@chalmers.se; lucas.gren@cse.gu.se; perle@chalmers.se; nernst@uvic.ca</t>
  </si>
  <si>
    <t xml:space="preserve">; Torkar, Richard/P-4740-2015</t>
  </si>
  <si>
    <t xml:space="preserve">de Oliveira Neto, Francisco Gomes/0000-0001-9226-5417; Gren, Lucas/0000-0001-5488-9894; Lenberg, Per/0000-0002-3186-3947; Furia, Carlo A./0000-0003-1040-3201; Torkar, Richard/0000-0002-0118-8143</t>
  </si>
  <si>
    <t xml:space="preserve">[2017.0071]</t>
  </si>
  <si>
    <t xml:space="preserve">The authors would like to thank Paul-Christian B_urkner, Aki Vehtari, and Jonah Gabry, for the discussion on priors, and pointing us to literature discussing the choice of priors [40]. This work was partly funded byMarianne andMarcusWallenberg Foundation (2017.0071).</t>
  </si>
  <si>
    <t xml:space="preserve">10.1109/TSE.2020.3048991</t>
  </si>
  <si>
    <t xml:space="preserve">2D5IM</t>
  </si>
  <si>
    <t xml:space="preserve">WOS:000811580600014</t>
  </si>
  <si>
    <t xml:space="preserve">Palm, BG; Bayer, FM; Cintra, RJ</t>
  </si>
  <si>
    <t xml:space="preserve">Palm, Bruna G.; Bayer, Fabio M.; Cintra, Renato J.</t>
  </si>
  <si>
    <t xml:space="preserve">2-D Rayleigh autoregressive moving average model for SAR image modeling</t>
  </si>
  <si>
    <t xml:space="preserve">COMPUTATIONAL STATISTICS &amp; DATA ANALYSIS</t>
  </si>
  <si>
    <t xml:space="preserve">Anomaly detection; ARMA modeling; Rayleigh distribution; SAR images; Two-dimensional models</t>
  </si>
  <si>
    <t xml:space="preserve">ANOMALY DETECTION; REGRESSION-MODEL; ALGORITHM; CLASSIFICATION; TARGETS; CLUTTER; CHARTS</t>
  </si>
  <si>
    <t xml:space="preserve">Two dimensional (2-D) autoregressive moving average (ARMA) models are commonly applied to describe real-world image data, usually assuming Gaussian or symmetric noise. However, real-world data often present non-Gaussian signals, with asymmetrical distributions and strictly positive values. In particular, SAR images are known to be well characterized by the Rayleigh distribution. In this context, the ARMA model tailored for 2-D Rayleigh-distributed data is introduced-the 2-D RARMA model. The 2-D RARMA model is derived and conditional likelihood inferences are discussed. The proposed model was submitted to extensive Monte Carlo simulations to evaluate the performance of the conditional maximum likelihood estimators. Moreover, in the context of SAR image processing, two comprehensive numerical experiments were performed comparing anomaly detection and image modeling results of the proposed model with traditional 2-D ARMA models and competing methods in the literature. (C) 2022 The Authors. Published by Elsevier B.V.</t>
  </si>
  <si>
    <t xml:space="preserve">[Palm, Bruna G.] Blekinge Inst Technol, Dept Math &amp; Nat Sci, Karlskrona, Sweden; [Palm, Bruna G.; Cintra, Renato J.] Univ Fed Pernambuco, Programa Posgrad Estat, Recife, PE, Brazil; [Palm, Bruna G.; Cintra, Renato J.] Univ Fed Pernambuco, Dept Estat, Signal Proc Grp, Recife, PE, Brazil; [Bayer, Fabio M.] Univ Fed Santa Maria, Dept Estat, Santa Maria, RS, Brazil; [Bayer, Fabio M.] Univ Fed Santa Maria, LACESM, Santa Maria, RS, Brazil; [Cintra, Renato J.] Florida Int Univ, Dept Elect &amp; Comp Engn, Miami, FL 33199 USA; [Cintra, Renato J.] Howard Payne Univ, Sch Sci &amp; Math, Brownwood, TX USA</t>
  </si>
  <si>
    <t xml:space="preserve">Blekinge Institute Technology; Universidade Federal de Pernambuco; Universidade Federal de Pernambuco; Universidade Federal de Santa Maria (UFSM); Universidade Federal de Santa Maria (UFSM); State University System of Florida; Florida International University; Howard Payne University</t>
  </si>
  <si>
    <t xml:space="preserve">bruna.palm@bth.se; bayer@ufsm.br; rjdsc@de.ufpe.br</t>
  </si>
  <si>
    <t xml:space="preserve">Cintra, R/D-1288-2011; Bayer, Fábio/G-4513-2012; G. Palm, Bruna/AAZ-4107-2021</t>
  </si>
  <si>
    <t xml:space="preserve">Mariano Bayer, Fabio/0000-0002-1464-0805; G. Palm, Bruna/0000-0003-0423-9927</t>
  </si>
  <si>
    <t xml:space="preserve">Conselho Nacional de Desenvolvimento Cientifico e Tecnologico (CNPq) [308423/2019-4, 310617/2020-0, 200759/2020-5]; Coordenac ao de Aperfeicoamento de Pessoal de Nivel Superior (CAPES); Fundacao de Amparo a Pesquisa do Estado do Rio Grande do Sul (FAPERGS), Brazil; Swedish-Brazilian Research and Innovation Centre (CISB); Saab AB, Sweden</t>
  </si>
  <si>
    <t xml:space="preserve">Conselho Nacional de Desenvolvimento Cientifico e Tecnologico (CNPq)(Conselho Nacional de Desenvolvimento Cientifico e Tecnologico (CNPQ)); Coordenac ao de Aperfeicoamento de Pessoal de Nivel Superior (CAPES)(Coordenacao de Aperfeicoamento de Pessoal de Nivel Superior (CAPES)); Fundacao de Amparo a Pesquisa do Estado do Rio Grande do Sul (FAPERGS), Brazil(Fundacao de Amparo a Ciencia e Tecnologia do Estado do Rio Grande do Sul (FAPERGS)); Swedish-Brazilian Research and Innovation Centre (CISB); Saab AB, Sweden</t>
  </si>
  <si>
    <t xml:space="preserve">This work was supported in part by Conselho Nacional de Desenvolvimento Cientifico e Tecnologico (CNPq) Grant numbers: 308423/2019-4, 310617/2020-0, and 200759/2020-5, Coordenac ao de Aperfeic oamento de Pessoal de Nivel Superior (CAPES), Fundacao de Amparo a Pesquisa do Estado do Rio Grande do Sul (FAPERGS), Brazil; and Swedish-Brazilian Research and Innovation Centre(CISB), and Saab AB, Sweden.</t>
  </si>
  <si>
    <t xml:space="preserve">0167-9473</t>
  </si>
  <si>
    <t xml:space="preserve">1872-7352</t>
  </si>
  <si>
    <t xml:space="preserve">COMPUT STAT DATA AN</t>
  </si>
  <si>
    <t xml:space="preserve">Comput. Stat. Data Anal.</t>
  </si>
  <si>
    <t xml:space="preserve">10.1016/j.csda.2022.107453</t>
  </si>
  <si>
    <t xml:space="preserve">Computer Science, Interdisciplinary Applications; Statistics &amp; Probability</t>
  </si>
  <si>
    <t xml:space="preserve">2Q9RQ</t>
  </si>
  <si>
    <t xml:space="preserve">WOS:000820753700005</t>
  </si>
  <si>
    <t xml:space="preserve">Ferguson, M; Murray, A; Pliamm, L; Rombo, L; Berglund, JS; David, MP; De Schrevel, N; Maschino, F; Kotb, S; Olivier, A; Hulstrom, V</t>
  </si>
  <si>
    <t xml:space="preserve">Ferguson, Murdo; Murray, Alexander; Pliamm, Lew; Rombo, Lars; Berglund, Johan Sanmartin; David, Marie-Pierre; De Schrevel, Nathalie; Maschino, Franck; Kotb, Shady; Olivier, Aurelie; Hulstrom, Veronica</t>
  </si>
  <si>
    <t xml:space="preserve">Lot-to-lot immunogenicity consistency of the respiratory syncytial virus prefusion F protein vaccine in older adults</t>
  </si>
  <si>
    <t xml:space="preserve">VACCINE: X</t>
  </si>
  <si>
    <t xml:space="preserve">Immunogenicity; Lot-to-lot consistency; Older adults; Prefusion F protein vaccine; Respiratory syncytial virus; Safety</t>
  </si>
  <si>
    <t xml:space="preserve">INFECTION</t>
  </si>
  <si>
    <t xml:space="preserve">Background: Previous phase 3 studies showed that the AS01E-adjuvanted respiratory syncytial virus (RSV) prefusion F protein-based vaccine for older adults (RSVPreF3 OA) is well tolerated and efficacious in preventing RSV-associated lower respiratory tract disease in adults &gt;= 60 years of age. This study evaluated lot-to-lot immunogenicity consistency, reactogenicity, and safety of three RSVPreF3 OA lots. Methods: This phase 3, multicenter, double-blind study randomized (1:1:1) participants &gt;= 60 years of age to receive one of three RSVPreF3 OA lots. Serum RSVPreF3-binding immunoglobulin G (IgG) concentration was assessed at baseline and 30 days post-vaccination. Lot-to-lot consistency was demonstrated if the two-sided 95 % confidence intervals (CIs) of the RSVPreF3-binding IgG geometric mean concentration (GMC) ratios between each lot pair at 30 days post-vaccination were within 0.67 and 1.50. Solicited adverse events (AEs) within four days, unsolicited AEs within 30 days, and serious AEs (SAEs) and potential immune-mediated diseases within six months post-vaccination were recorded. Results: A total of 757 participants received RSVPreF3 OA, of whom 708 were included in the per-protocol set (234, 237, and 237 participants for each lot). Lot-to-lot consistency was demonstrated: GMC ratios were 1.06 (95 % CI: 0.94-1.21), 0.92 (0.81-1.04), and 0.87 (0.77-0.99) between the lot pairs (lot 1/2; 1/3; 2/3). For the three lots, the RSVPreF3-binding IgG concentration increased 11.84-, 11.29-, and 12.46-fold post-vaccination compared to baseline. The reporting rates of solicited and unsolicited AEs, SAEs, and potential immunemediated diseases were balanced between lots. Twenty-one participants reported SAEs; one of these-a case of atrial fibrillation-was considered by the investigator as vaccine-related. SAEs with a fatal outcome were reported for four participants, none of which were considered by the investigator as vaccine-related. Conclusion: This study demonstrated lot-to-lot immunogenicity consistency of three RSVPreF3 OA vaccine lots and indicated that the vaccine had an acceptable safety profile. ClinicalTrials.gov: NCT05059301.</t>
  </si>
  <si>
    <t xml:space="preserve">[Ferguson, Murdo] Colchester Res Grp, Truro, NS B2N 1L2, Canada; [Murray, Alexander] PharmQuest, 806 Green Valley Rd Ste 305, Greensboro, NC 27408 USA; [Pliamm, Lew] Canadian Phase Onward Inc, Polyclin Family &amp; Specialty Med Facil, Polyclin Family Hlth Grp, 2 Champagne Dr, Toronto, ON M3J 0K2, Canada; [Rombo, Lars] Ctr Clin Res Sormland, SE-63188 Eskilstuna, Sweden; [Rombo, Lars] Uppsala Univ, Zoonosis Sci Ctr, Dept Med Biochem &amp; Microbiol, SE-75105 Uppsala, Sweden; [Berglund, Johan Sanmartin] Blekinge Inst Technol, Dept Hlth, Valhallavagen 1, SE-37179 Karlskrona, Sweden; [Berglund, Johan Sanmartin] Lund Univ, Dept Clin Sci, BMC I12, SE-22184 Lund, Sweden; [David, Marie-Pierre; Maschino, Franck; Kotb, Shady; Olivier, Aurelie; Hulstrom, Veronica] GSK, Ave Fleming 20, B-1300 Wavre, Belgium; [De Schrevel, Nathalie] GSK, Rue Inst 89, B-1330 Rixensart, Belgium</t>
  </si>
  <si>
    <t xml:space="preserve">Uppsala University; Blekinge Institute Technology; Lund University; GlaxoSmithKline; GlaxoSmithKline</t>
  </si>
  <si>
    <t xml:space="preserve">Kotb, S (corresponding author), GSK, Ave Fleming 20, B-1300 Wavre, Belgium.</t>
  </si>
  <si>
    <t xml:space="preserve">shady.x.kotb@gsk.com</t>
  </si>
  <si>
    <t xml:space="preserve">2590-1362</t>
  </si>
  <si>
    <t xml:space="preserve">VACCINE-X</t>
  </si>
  <si>
    <t xml:space="preserve">Vaccine: X</t>
  </si>
  <si>
    <t xml:space="preserve">10.1016/j.jvacx.2024.100494</t>
  </si>
  <si>
    <t xml:space="preserve">Immunology; Medicine, Research &amp; Experimental</t>
  </si>
  <si>
    <t xml:space="preserve">Immunology; Research &amp; Experimental Medicine</t>
  </si>
  <si>
    <t xml:space="preserve">TD2D2</t>
  </si>
  <si>
    <t xml:space="preserve">WOS:001239248100001</t>
  </si>
  <si>
    <t xml:space="preserve">Javeed, A; Saleem, MA; Dallora, AL; Ali, L; Berglund, JS; Anderberg, P</t>
  </si>
  <si>
    <t xml:space="preserve">Javeed, Ashir; Saleem, Muhammad Asim; Dallora, Ana Luiza; Ali, Liaqat; Berglund, Johan Sanmartin; Anderberg, Peter</t>
  </si>
  <si>
    <t xml:space="preserve">Decision Support System for Predicting Mortality in Cardiac Patients Based on Machine Learning</t>
  </si>
  <si>
    <t xml:space="preserve">heart morality; feature ranking; random forest; imbalance classes</t>
  </si>
  <si>
    <t xml:space="preserve">HEART-DISEASE; ROC CURVE</t>
  </si>
  <si>
    <t xml:space="preserve">Researchers have proposed several automated diagnostic systems based on machine learning and data mining techniques to predict heart failure. However, researchers have not paid close attention to predicting cardiac patient mortality. We developed a clinical decision support system for predicting mortality in cardiac patients to address this problem. The dataset collected for the experimental purposes of the proposed model consisted of 55 features with a total of 368 samples. We found that the classes in the dataset were highly imbalanced. To avoid the problem of bias in the machine learning model, we used the synthetic minority oversampling technique (SMOTE). After balancing the classes in the dataset, the newly proposed system employed a ?(2) statistical model to rank the features from the dataset. The highest-ranked features were fed into an optimized random forest (RF) model for classification. The hyperparameters of the RF classifier were optimized using a grid search algorithm. The performance of the newly proposed model (?(2)_RF) was validated using several evaluation measures, including accuracy, sensitivity, specificity, F1 score, and a receiver operating characteristic (ROC) curve. With only 10 features from the dataset, the proposed model ?(2)_RF achieved the highest accuracy of 94.59%. The proposed model ?(2)_RF improved the performance of the standard RF model by 5.5%. Moreover, the proposed model ?(2)_RF was compared with other state-of-the-art machine learning models. The experimental results show that the newly proposed decision support system outperforms the other machine learning systems using the same feature selection module (?(2)).</t>
  </si>
  <si>
    <t xml:space="preserve">[Javeed, Ashir] Karolinska Inst, Aging Res Ctr, S-17165 Stockholm, Sweden; [Javeed, Ashir; Dallora, Ana Luiza; Berglund, Johan Sanmartin; Anderberg, Peter] Blekinge Inst Technol, Dept Hlth, S-37179 Karlskrona, Sweden; [Saleem, Muhammad Asim] Chulalongkorn Univ, Ctr Excellence Artificial Intelligence Machine Lea, Dept Elect Engn, Bangkok 10330, Thailand; [Ali, Liaqat] Univ Sci &amp; Technol Bannu, Dept Elect Engn, Bannu 28100, Pakistan; [Anderberg, Peter] Univ Skovde, Sch Hlth Sci, S-54128 Skovde, Sweden</t>
  </si>
  <si>
    <t xml:space="preserve">Karolinska Institutet; Blekinge Institute Technology; Chulalongkorn University; University of Science &amp; Technology Bannu; University of Skovde</t>
  </si>
  <si>
    <t xml:space="preserve">Javeed, Ashir/ABG-2567-2022; Sanmartin Berglund, Johan/HGB-0471-2022; Ali, Liaqat/AAD-4705-2020; Anderberg, Peter/B-5541-2012; Saleem, Dr. Muhammad Asim/W-5210-2019</t>
  </si>
  <si>
    <t xml:space="preserve">Berglund, Johan/0000-0003-4312-2246; Ali, Liaqat/0000-0002-3095-7271; Dallora Moraes, Ana Luiza/0000-0002-6752-017X; Anderberg, Peter/0000-0001-9870-8477; Saleem, Dr. Muhammad Asim/0000-0003-2709-5508; javeed, ashir/0000-0003-4190-3532</t>
  </si>
  <si>
    <t xml:space="preserve">10.3390/app13085188</t>
  </si>
  <si>
    <t xml:space="preserve">F2US4</t>
  </si>
  <si>
    <t xml:space="preserve">WOS:000980955700001</t>
  </si>
  <si>
    <t xml:space="preserve">Bayford, RH; Damaso, R; Neshatvar, N; Ivanenko, Y; Rademacher, TW; Wu, Y; Seifnaraghi, N; Ghali, L; Patel, N; Roitt, I; Nordebo, S; Demosthenous, A</t>
  </si>
  <si>
    <t xml:space="preserve">Bayford, Richard H.; Damaso, Rui; Neshatvar, Nazanin; Ivanenko, Yevhen; Rademacher, Thomas W.; Wu, Yu; Seifnaraghi, Nima; Ghali, Lucy; Patel, Nakul; Roitt, Ivan; Nordebo, Sven; Demosthenous, Andreas</t>
  </si>
  <si>
    <t xml:space="preserve">Locating Functionalized Gold Nanoparticles Using Electrical Impedance Tomography</t>
  </si>
  <si>
    <t xml:space="preserve">IEEE TRANSACTIONS ON BIOMEDICAL ENGINEERING</t>
  </si>
  <si>
    <t xml:space="preserve">Electrical impedance tomography; Drugs; Optical waveguides; Impedance; Nanoparticles; Magnetic resonance imaging; Imaging; Colorectal cells; electrical impedance tomography (EIT); gold nanoparticles; impedance change; radio frequencies; targeted drug delivery</t>
  </si>
  <si>
    <t xml:space="preserve">MASS-SPECTROMETRY; CANCER; SIZE</t>
  </si>
  <si>
    <t xml:space="preserve">Objective: An imaging device to locate functionalised nanoparticles, whereby therapeutic agents are transported from the site of administration specifically to diseased tissues, remains a challenge for pharmaceutical research. Here, we show a new method based on electrical impedance tomography (EIT) to provide images of the location of gold nanoparticles (GNPs) and the excitation of GNPs with radio frequencies (RF) to change impedance permitting an estimation of their location in cell models Methods: We have created an imaging system using quantum cluster GNPs as contrast agent, activated with RF fields to heat the functionalized GNPs, which causes a change in impedance in the surrounding region. This change is then identified with EIT. Results: Images of impedance changes of around 80 +/- 4% are obtained for a sample of citrate stabilized GNPs in a solution of phosphate-buffered saline. A second quantification was carried out using colorectal cancer cells incubated with culture media, and the internalization of GNPs into the colorectal cancer cells was undertaken to compare them with the EIT images. When the cells were incubated with functionalised GNPs, the change was more apparent, approximately 40 +/- 2%. This change was reflected in the EIT image as the cell area was more clearly identifiable from the rest of the area. Significance: EIT can be used as a new method to locate functionalized GNPs in human cells and help in the development of GNP-based drugs in humans to improve their efficacy in the future.</t>
  </si>
  <si>
    <t xml:space="preserve">[Bayford, Richard H.] Middlesex Univ Burroughs Hendon, Dept Nat Sci, London NW4 4BT, England; [Damaso, Rui; Seifnaraghi, Nima; Ghali, Lucy; Patel, Nakul; Roitt, Ivan] Middlesex Univ, Dept Nat Sci, London NW4 4BT, England; [Ivanenko, Yevhen; Nordebo, Sven] Linnaeus Univ, Dept Phys &amp; Elect Engn, Vaxjo, Sweden; [Ivanenko, Yevhen] Blekinge Inst Technol, Dept Math &amp; Nat Sci, Karlskrona, Sweden; [Rademacher, Thomas W.] Emergex Vaccines Holding Ltd, Abingdon, Oxon, England; [Neshatvar, Nazanin; Wu, Yu; Demosthenous, Andreas] UCL, Dept Elect &amp; Elect Engn, London, England</t>
  </si>
  <si>
    <t xml:space="preserve">Middlesex University; Linnaeus University; Blekinge Institute Technology; University of London; University College London</t>
  </si>
  <si>
    <t xml:space="preserve">Bayford, RH (corresponding author), Middlesex Univ Burroughs Hendon, Dept Nat Sci, London NW4 4BT, England.</t>
  </si>
  <si>
    <t xml:space="preserve">r.bayford@mdx.ac.uk</t>
  </si>
  <si>
    <t xml:space="preserve">Seifnaraghi, Nima/0000-0002-6431-2404; Ivanenko, Yevhen/0000-0002-3928-6064; Neshatvar, Nazanin/0000-0002-0658-8883; Wu, Yu/0000-0002-2818-7327; Demosthenous, Andreas/0000-0003-0623-963X; Bayford, Richard/0000-0001-8863-6385</t>
  </si>
  <si>
    <t xml:space="preserve">Engineering and Physical Sciences Research Council (EPSRC) [EP/R04192X/1]; Swedish Foundation for Strategic Research (SSF) [AM13-0011]; Erasmus under the Erasmus+ Training Programme; EPSRC [EP/G061572/1, EP/R04192X/1] Funding Source: UKRI</t>
  </si>
  <si>
    <t xml:space="preserve">Engineering and Physical Sciences Research Council (EPSRC)(UK Research &amp; Innovation (UKRI)Engineering &amp; Physical Sciences Research Council (EPSRC)); Swedish Foundation for Strategic Research (SSF)(Swedish Foundation for Strategic Research); Erasmus under the Erasmus+ Training Programme; EPSRC(UK Research &amp; Innovation (UKRI)Engineering &amp; Physical Sciences Research Council (EPSRC))</t>
  </si>
  <si>
    <t xml:space="preserve">This work was supported by the Engineering and Physical Sciences Research Council (EPSRC) under Grant EP/R04192X/1. The work of Yevhen Ivanenko and Sven Nordebo was supported by the Swedish Foundation for Strategic Research (SSF), under Grant AM13-0011. The work of Yevhen Ivanenko was also supported by Erasmus under the Erasmus+ Training Programme.</t>
  </si>
  <si>
    <t xml:space="preserve">0018-9294</t>
  </si>
  <si>
    <t xml:space="preserve">1558-2531</t>
  </si>
  <si>
    <t xml:space="preserve">IEEE T BIO-MED ENG</t>
  </si>
  <si>
    <t xml:space="preserve">IEEE Trans. Biomed. Eng.</t>
  </si>
  <si>
    <t xml:space="preserve">10.1109/TBME.2021.3100256</t>
  </si>
  <si>
    <t xml:space="preserve">Engineering, Biomedical</t>
  </si>
  <si>
    <t xml:space="preserve">XU0BZ</t>
  </si>
  <si>
    <t xml:space="preserve">WOS:000733943200053</t>
  </si>
  <si>
    <t xml:space="preserve">Adigun, JG; Camilli, M; Felderer, M; Giusti, A; Matt, DT; Perini, A; Russo, B; Susi, A</t>
  </si>
  <si>
    <t xml:space="preserve">Adigun, Jubril Gbolahan; Camilli, Matteo; Felderer, Michael; Giusti, Andrea; Matt, Dominik T.; Perini, Anna; Russo, Barbara; Susi, Angelo</t>
  </si>
  <si>
    <t xml:space="preserve">Collaborative Artificial Intelligence Needs Stronger Assurances Driven by Risks</t>
  </si>
  <si>
    <t xml:space="preserve">COMPUTER</t>
  </si>
  <si>
    <t xml:space="preserve">Collaborative artificial intelligence systems (CAISs) aim to work with humans in a shared space to achieve a common goal, but this can pose hazards that could harm human beings. We identify emerging problems in this context and report our vision of and progress toward a risk-driven assurance process for CAISs.</t>
  </si>
  <si>
    <t xml:space="preserve">[Adigun, Jubril Gbolahan; Felderer, Michael] Univ Innsbruck, A-6020 Innsbruck, Austria; [Camilli, Matteo] Free Univ Bozen Boizano, I-39100 Bolzano, Italy; [Felderer, Michael] Blekinge Inst Technol, S-37141 Karlskrona, Sweden; [Giusti, Andrea] Fraunhofer Italia Res, Robot &amp; Intelligent Syst Engn Unit, I-39100 Bolzano, Italy; [Matt, Dominik T.] Free Univ Bozen Bolzano, Fac Sci &amp; Technol, Chair Prod Syst &amp; Technol, I-39100 Bolzano, Italy; [Matt, Dominik T.] Fraunhofer Italia Res, Bolzano, Italy; [Perini, Anna] Univ Trento, Requirements Engn, I-38123 Trento, Italy; [Russo, Barbara] Free Univ Bozen Bolzano, Comp Sci, I-39100 Bolzano, Italy; [Susi, Angelo] Fdn Bruno Kessler, Software Engn Unit, I-38123 Trento, Italy</t>
  </si>
  <si>
    <t xml:space="preserve">University of Innsbruck; Blekinge Institute Technology; Fraunhofer Gesellschaft; Fraunhofer Italy; Free University of Bozen-Bolzano; Fraunhofer Gesellschaft; Fraunhofer Italy; University of Trento; Free University of Bozen-Bolzano; Fondazione Bruno Kessler</t>
  </si>
  <si>
    <t xml:space="preserve">Adigun, JG (corresponding author), Univ Innsbruck, A-6020 Innsbruck, Austria.</t>
  </si>
  <si>
    <t xml:space="preserve">jubril.adigun@uibk.ac.at; matteo.camilli@unibz.it; michael.felderer@uibk.ac.at; andrea.giusti@fraunhofer.it; dominik.matt@unibz.it; perini@fbk.eu; barbara.russo@unibz.it; susi@fbk.eu</t>
  </si>
  <si>
    <t xml:space="preserve">Adigun, Jubril/AFG-4270-2022; Giusti, Andrea/AAB-1363-2020; Matt, Dominik/B-5961-2017; Felderer, Michael/AAF-4909-2020; Russo, Barbara/AAA-8850-2019</t>
  </si>
  <si>
    <t xml:space="preserve">Adigun, Jubril Gbolahan/0000-0002-5494-3958; CAMILLI, MATTEO/0000-0003-2491-5267</t>
  </si>
  <si>
    <t xml:space="preserve">0018-9162</t>
  </si>
  <si>
    <t xml:space="preserve">1558-0814</t>
  </si>
  <si>
    <t xml:space="preserve">Computer</t>
  </si>
  <si>
    <t xml:space="preserve">10.1109/MC.2021.3131990</t>
  </si>
  <si>
    <t xml:space="preserve">ZU6YI</t>
  </si>
  <si>
    <t xml:space="preserve">WOS:000769986500008</t>
  </si>
  <si>
    <t xml:space="preserve">Alkharabsheh, K; Alawadi, S; Kebande, VR; Crespo, Y; Fernández-Delgado, M; Taboada, JA</t>
  </si>
  <si>
    <t xml:space="preserve">Alkharabsheh, Khalid; Alawadi, Sadi; Kebande, Victor R.; Crespo, Yania; Fernandez-Delgado, Manuel; Taboada, Jose A.</t>
  </si>
  <si>
    <t xml:space="preserve">A comparison of machine learning algorithms on design smell detection using balanced and imbalanced dataset: A study of God class</t>
  </si>
  <si>
    <t xml:space="preserve">Software quality; Design smell detection; Machine learning; God class; Balanced data</t>
  </si>
  <si>
    <t xml:space="preserve">Context: Design smell detection has proven to be a significant activity that has an aim of not only enhancing the software quality but also increasing its life cycle. Objective: This work investigates whether machine learning approaches can effectively be leveraged for software design smell detection. Additionally, this paper provides a comparatively study, focused on using balanced datasets, where it checks if avoiding dataset balancing can be of any influence on the accuracy and behavior during design smell detection. Method: A set of experiments have been conducted-using 28 Machine Learning classifiers aimed at detecting God classes. This experiment was conducted using a dataset formed from 12,587 classes of 24 software systems, in which 1,958 classes were manually validated. Results: Ultimately, most classifiers obtained high performances,-with Cat Boost showing a higher performance. Also, it is evident from the experiments conducted that data balancing does not have any significant influence on the accuracy of detection. This reinforces the application of machine learning in real scenarios where the data is usually imbalanced by the inherent nature of design smells. Conclusions: Machine learning approaches can effectively be used as a leverage for God class detection. While in this paper we have employed SMOTE technique for data balancing, it is worth noting that there exist other methods of data balancing and with other design smells. Furthermore, it is also important to note that application of those other methods may improve the results, in our experiments SMOTE did not improve God class detection. The results are not fully generalizable because only one design smell is studied with projects developed in a single programming language, and only one balancing technique is used to compare with the imbalanced case. But these results are promising for the application in real design smells detection scenarios as mentioned above and the focus on other measures, such as Kappa, ROC, and MCC, have been used in the assessment of the classifier behavior.</t>
  </si>
  <si>
    <t xml:space="preserve">[Alkharabsheh, Khalid] Al Balqa Appl Univ BAU, Prince Abdullah Bin Ghazi Fac Informat &amp; Commun T, Dept Software Engn, Salt, Jordan; [Fernandez-Delgado, Manuel; Taboada, Jose A.] Univ Santiago de Compostela, Ctr Singular Invest Tecnoloxias Intelixentes, CiTIUS, Santiago De Compostela 15782, Spain; [Crespo, Yania] Univ Valladolid, Dept Informat, Escuela Ingn Informat, Campus Miguel Delibes,Paseo Belen 15, Valladolid 47011, Spain; [Kebande, Victor R.] Blekinge Inst Technol, Dept Comp Sci DIDA, S-37179 Karlskrona, Sweden; [Alawadi, Sadi] Uppsala Univ, Dept Informat Technol, Box 337, S-75105 Uppsala, Sweden</t>
  </si>
  <si>
    <t xml:space="preserve">Al-Balqa Applied University; Universidade de Santiago de Compostela; Universidad de Valladolid; Blekinge Institute Technology; Uppsala University</t>
  </si>
  <si>
    <t xml:space="preserve">Alawadi, S (corresponding author), Uppsala Univ, Dept Informat Technol, Box 337, S-75105 Uppsala, Sweden.</t>
  </si>
  <si>
    <t xml:space="preserve">khalidkh@bau.edu.jo; sadi.alawadi@it.uu.se; victor.kebande@bth.se; yania@infor.uva.es; manuel.fernandez.delgado@usc.es; joseangel.taboada@usc.es</t>
  </si>
  <si>
    <t xml:space="preserve">Crespo, Yania/AAC-7691-2020; Fernández-Delgado, M./J-7699-2019; alawadi, sadi/Q-8576-2016; Taboada Gonzalez, Jose Angel/L-5844-2014; R. Kebande, Victor/F-3934-2019; Crespo, Yania/I-5609-2015; Alkharabsheh, Khalid/HGB-7962-2022</t>
  </si>
  <si>
    <t xml:space="preserve">Taboada Gonzalez, Jose Angel/0000-0003-1897-1537; R. Kebande, Victor/0000-0003-4071-4596; Crespo, Yania/0000-0003-0639-0540; Alkharabsheh, Khalid/0000-0002-3182-418X; Fernandez Delgado, Manuel/0000-0001-5483-9424</t>
  </si>
  <si>
    <t xml:space="preserve">10.1016/j.infsof.2021.106736</t>
  </si>
  <si>
    <t xml:space="preserve">XA3SJ</t>
  </si>
  <si>
    <t xml:space="preserve">WOS:000720570800002</t>
  </si>
  <si>
    <t xml:space="preserve">Wakili, MA; Shehu, HA; Sharif, MH; Sharif, MHU; Umar, A; Kusetogullari, H; Ince, IF; Uyaver, S</t>
  </si>
  <si>
    <t xml:space="preserve">Wakili, Musa Adamu; Shehu, Harisu Abdullahi; Sharif, Md. Haidar; Sharif, Md. Haris Uddin; Umar, Abubakar; Kusetogullari, Huseyin; Ince, Ibrahim Furkan; Uyaver, Sahin</t>
  </si>
  <si>
    <t xml:space="preserve">Classification of Breast Cancer Histopathological Images Using DenseNet and Transfer Learning</t>
  </si>
  <si>
    <t xml:space="preserve">COMPUTATIONAL INTELLIGENCE AND NEUROSCIENCE</t>
  </si>
  <si>
    <t xml:space="preserve">REJECTIVE MULTIPLE TEST; NEURAL-NETWORK; GRADIENT DESCENT; FEATURES; DIAGNOSIS; MASSES; APPROXIMATIONS; MAMMOGRAMS; ALGORITHMS; ENTROPY</t>
  </si>
  <si>
    <t xml:space="preserve">Breast cancer is one of the most common invading cancers in women. Analyzing breast cancer is nontrivial and may lead to disagreements among experts. Although deep learning methods achieved an excellent performance in classification tasks including breast cancer histopathological images, the existing state-of-the-art methods are computationally expensive and may overfit due to extracting features from in-distribution images. In this paper, our contribution is mainly twofold. First, we perform a short survey on deep-learning-based models for classifying histopathological images to investigate the most popular and optimized training-testing ratios. Our findings reveal that the most popular training-testing ratio for histopathological image classification is 70%: 30%, whereas the best performance (e.g., accuracy) is achieved by using the training-testing ratio of 80%: 20% on an identical dataset. Second, we propose a method named DenTnet to classify breast cancer histopathological images chiefly. DenTnet utilizes the principle of transfer learning to solve the problem of extracting features from the same distribution using DenseNet as a backbone model. The proposed DenTnet method is shown to be superior in comparison to a number of leading deep learning methods in terms of detection accuracy (up to 99.28% on BreaKHis dataset deeming training-testing ratio of 80%: 20%) with good generalization ability and computational speed. The limitation of existing methods including the requirement of high computation and utilization of the same feature distribution is mitigated by dint of the DenTnet.</t>
  </si>
  <si>
    <t xml:space="preserve">[Wakili, Musa Adamu; Umar, Abubakar] Abubakar Tafawa Balewa Univ, Bauchi 740272, Nigeria; [Shehu, Harisu Abdullahi] Victoria Univ Wellington, Sch Engn &amp; Comp Sci, Wellington 6012, New Zealand; [Sharif, Md. Haidar] Univ Hail, Coll Comp Sci &amp; Engn, Hail, Saudi Arabia; [Sharif, Md. Haris Uddin] Univ Cumberlands, Sch Comp &amp; Informat Sci, Williamsburg, KY 40769 USA; [Kusetogullari, Huseyin] Blekinge Inst Technol, Dept Comp Sci, S-37141 Karlskrona, Sweden; [Ince, Ibrahim Furkan] Nisantasi Univ, Dept Digital Game Design, TR-34485 Istanbul, Turkey; [Uyaver, Sahin] Turkish German Univ, Dept Energy Sci &amp; Technol, TR-34820 Istanbul, Turkey</t>
  </si>
  <si>
    <t xml:space="preserve">Victoria University Wellington; University Ha'il; University of the Cumberlands; Blekinge Institute Technology; Istanbul Nisantasi University; Turkish German University</t>
  </si>
  <si>
    <t xml:space="preserve">Sharif, MH (corresponding author), Univ Hail, Coll Comp Sci &amp; Engn, Hail, Saudi Arabia.</t>
  </si>
  <si>
    <t xml:space="preserve">musaadamuw@gmail.com; harisushehu@ecs.vuw.ac.nz; md.sharif@uoh.edu.sa; haris.uddin.sharif@gmail.com; abkamir@gmail.com; huseyinkusetogullari@gmail.com; furkanince@gmail.com; uyaver@tau.edu.tr</t>
  </si>
  <si>
    <t xml:space="preserve">Sharif, Haidar/AAR-6783-2021; Shehu, Harisu/AAM-7425-2020; Uyaver, Sahin/HSA-7505-2023; Ince, Ibrahim Furkan/L-8862-2017; Kusetogullari, Huseyin/IAQ-0788-2023; Sharif, Md. Haidar/F-6480-2015</t>
  </si>
  <si>
    <t xml:space="preserve">Sharif, MD Haris Uddin/0000-0002-1169-8438; Shehu, Harisu Abdullahi/0000-0002-9689-3290; Sharif, Md. Haidar/0000-0001-7235-6004; Umar, Abubakar/0000-0002-3327-6877; Kusetogullari, Huseyin/0000-0001-5762-6678; UYAVER, SAHIN/0000-0001-8776-3032</t>
  </si>
  <si>
    <t xml:space="preserve">1687-5265</t>
  </si>
  <si>
    <t xml:space="preserve">1687-5273</t>
  </si>
  <si>
    <t xml:space="preserve">COMPUT INTEL NEUROSC</t>
  </si>
  <si>
    <t xml:space="preserve">Comput. Intell. Neurosci.</t>
  </si>
  <si>
    <t xml:space="preserve">10.1155/2022/8904768</t>
  </si>
  <si>
    <t xml:space="preserve">Mathematical &amp; Computational Biology; Neurosciences</t>
  </si>
  <si>
    <t xml:space="preserve">Mathematical &amp; Computational Biology; Neurosciences &amp; Neurology</t>
  </si>
  <si>
    <t xml:space="preserve">5U2YX</t>
  </si>
  <si>
    <t xml:space="preserve">WOS:000876420000025</t>
  </si>
  <si>
    <t xml:space="preserve">Aghazadeh, A; Persson, RG; Renvert, S</t>
  </si>
  <si>
    <t xml:space="preserve">Aghazadeh, Ahmad; Persson, Rutger G.; Renvert, Stefan</t>
  </si>
  <si>
    <t xml:space="preserve">Impact of bone defect morphology on the outcome of reconstructive treatment of peri-implantitis</t>
  </si>
  <si>
    <t xml:space="preserve">Peri-implantitis; Bone grafting; Reconstruction; Regeneration; Bone defect; Radiograph</t>
  </si>
  <si>
    <t xml:space="preserve">INTRABONY DEFECTS; THERAPY; ACCURACY</t>
  </si>
  <si>
    <t xml:space="preserve">Objectives To assess if (I) the alveolar bone defect configuration at dental implants diagnosed with peri-implantitis is related to clinical parameters at the time of surgical intervention and if (II) the outcome of surgical intervention of peri-implantitis is dependent on defect configuration at the time of treatment. Materials and methods In a prospective study, 45 individuals and 74 dental implants with &gt;= 2 bone wall defects were treated with either an autogenous bone transplant or an exogenous bone augmentation material. Defect fill was assessed at 1 year. Results At baseline, no significant study group differences were identified. Most study implants (70.7%,n= 53) had been placed in the maxilla. Few implants were placed in molar regions. The mesial and distal crestal width at surgery was greater at 4-wall defects than at 2-wall defects (p= 0.001). Probing depths were also greater at 4-wall defects than at 2-wall defects (p= 0.01). Defect fill was correlated to initial defect depth (p&lt; 0.001). Defect fill at 4-wall defects was significant (p&lt; 0.05). Conclusions (I) The buccal-lingual width of the alveolar bone crest was explanatory to defect configuration, (II) 4-wall defects demonstrated more defect fill, and (III) deeper defects resulted in more defect fill.</t>
  </si>
  <si>
    <t xml:space="preserve">[Aghazadeh, Ahmad] Tand &amp; Implantat Specialistkliniken, Solna, Sweden; [Persson, Rutger G.; Renvert, Stefan] Kristianstad Univ, Fac Hlth Sci, SE-29188 Kristianstad, Sweden; [Persson, Rutger G.] Univ Washington, Dept Periodont, Seattle, WA 98195 USA; [Persson, Rutger G.] Univ Washington, Dept Oral Med, Seattle, WA 98195 USA; [Renvert, Stefan] Blekinge Inst Technol, SE-37179 Karlskrona, Sweden; [Renvert, Stefan] Trinity Coll Dublin, Sch Dent Sci, Dublin, Ireland; [Renvert, Stefan] Univ Hong Kong, Fac Dent, Hong Kong, Peoples R China</t>
  </si>
  <si>
    <t xml:space="preserve">Kristianstad University; University of Washington; University of Washington Seattle; University of Washington; University of Washington Seattle; Blekinge Institute Technology; Trinity College Dublin; University of Hong Kong</t>
  </si>
  <si>
    <t xml:space="preserve">Renvert, S (corresponding author), Kristianstad Univ, Fac Hlth Sci, SE-29188 Kristianstad, Sweden.;Renvert, S (corresponding author), Blekinge Inst Technol, SE-37179 Karlskrona, Sweden.;Renvert, S (corresponding author), Trinity Coll Dublin, Sch Dent Sci, Dublin, Ireland.;Renvert, S (corresponding author), Univ Hong Kong, Fac Dent, Hong Kong, Peoples R China.</t>
  </si>
  <si>
    <t xml:space="preserve">Stefan.renvert@hkr.se</t>
  </si>
  <si>
    <t xml:space="preserve">Biomet3i, Palm Beach, USA; University of Kristianstad, Sweden</t>
  </si>
  <si>
    <t xml:space="preserve">This manuscript was partially supported by funds from Biomet3i, Palm Beach, USA, and University of Kristianstad, Sweden.</t>
  </si>
  <si>
    <t xml:space="preserve">JUN 17</t>
  </si>
  <si>
    <t xml:space="preserve">10.1186/s40729-020-00219-5</t>
  </si>
  <si>
    <t xml:space="preserve">LY4WX</t>
  </si>
  <si>
    <t xml:space="preserve">WOS:000540531400001</t>
  </si>
  <si>
    <t xml:space="preserve">Shehu, HA; Majikumna, KU; Suleiman, AB; Luka, S; Sharif, MH; Ramadan, RA; Kusetogullari, H</t>
  </si>
  <si>
    <t xml:space="preserve">Shehu, Harisu Abdullahi; Majikumna, Kaloma Usman; Suleiman, Aminu Bashir; Luka, Stephen; Sharif, Md. Haidar; Ramadan, Rabie A.; Kusetogullari, Huseyin</t>
  </si>
  <si>
    <t xml:space="preserve">Unveiling Sentiments: A Deep Dive Into Sentiment Analysis for Low-Resource Languages-A Case Study on Hausa Texts</t>
  </si>
  <si>
    <t xml:space="preserve">Sentiment analysis; Linguistics; Education; Cultural differences; Socioeconomics; Africa; Urban areas; Bag of words model; Deep learning; Bag-of-words; deep learning; Hausa texts; lexicon dictionary; low-resource languages; sentiment analysis</t>
  </si>
  <si>
    <t xml:space="preserve">TWEETS</t>
  </si>
  <si>
    <t xml:space="preserve">Opinion mining has witnessed significant advancements in well-resourced languages. However, for low-resource languages, this landscape remains relatively unexplored. This paper addresses this gap by conducting a comprehensive investigation into sentiment analysis in the context of Hausa, one of the most widely spoken languages within the Afro-Asiatic family. To resolve the problem, three different models based on Convolutional Neural Network (CNN), Recurrent Neural Network (RNN), and Hierarchical Attention Network (HAN), all tailored to the unique linguistic characteristics of Hausa have been proposed. Additionally, we have developed the first dedicated lexicon dictionary for Hausa sentiment analysis and a customized stemming method to enhance the accuracy of the bag of words approach. Our results indicate that CNN and HAN achieved significantly higher performance compared to other models such as RNN. While the experimental results demonstrate the effectiveness of the developed deep learning models in contrast to the bag of words approach, the proposed stemming method was found to significantly improve the performance of the bag of words approach. The findings from this study not only enrich the sentiment analysis domain for Hausa but also provide a foundation for future research endeavors in similarly underrepresented languages.</t>
  </si>
  <si>
    <t xml:space="preserve">[Shehu, Harisu Abdullahi] Victoria Univ Wellington, Dept Engn &amp; Comp Sci, Wellington 6011, New Zealand; [Majikumna, Kaloma Usman] Univ Maiduguri, Dept Comp Engn, Maiduguri 600282, Nigeria; [Suleiman, Aminu Bashir; Luka, Stephen] Fed Univ Dutsin Ma, Dept Comp Sci, Katsina 821101, Nigeria; [Sharif, Md. Haidar] St Marys Coll Maryland, Dept Math &amp; Comp Sci, St Marys City, MD 20686 USA; [Ramadan, Rabie A.] Nizwa Univ, Coll Econ Management &amp; Informat Syst, Dept Informat Syst, Nizwa 616, Oman; [Ramadan, Rabie A.] Cairo Univ, Fac Engn, Comp Engn Dept, Giza 12613, Egypt; [Kusetogullari, Huseyin] Blekinge Inst Technol, Dept Comp Sci, S-37141 Karlskrona, Sweden</t>
  </si>
  <si>
    <t xml:space="preserve">Victoria University Wellington; St. Marys College of Maryland; University of Nizwa; Egyptian Knowledge Bank (EKB); Cairo University; Blekinge Institute Technology</t>
  </si>
  <si>
    <t xml:space="preserve">Shehu, HA (corresponding author), Victoria Univ Wellington, Dept Engn &amp; Comp Sci, Wellington 6011, New Zealand.</t>
  </si>
  <si>
    <t xml:space="preserve">harisushehu@ecs.vuw.ac.nz</t>
  </si>
  <si>
    <t xml:space="preserve">Shehu, Harisu/AAM-7425-2020; Kusetogullari, Huseyin/IAQ-0788-2023; Majikumna, Kaloma/GRJ-5502-2022; Ramadan, Rabie/H-9543-2016</t>
  </si>
  <si>
    <t xml:space="preserve">Ramadan, Rabie/0000-0002-0281-9381; Kusetogullari, Huseyin/0000-0001-5762-6678; Shehu, Harisu Abdullahi/0000-0002-9689-3290; Majikumna, Kaloma Usman/0009-0002-4605-5878</t>
  </si>
  <si>
    <t xml:space="preserve">10.1109/ACCESS.2024.3427416</t>
  </si>
  <si>
    <t xml:space="preserve">ZO8U7</t>
  </si>
  <si>
    <t xml:space="preserve">WOS:001276338800001</t>
  </si>
  <si>
    <t xml:space="preserve">Renvert, S; Noack, MJ; Lequart, C; Roldán, S; Laine, ML</t>
  </si>
  <si>
    <t xml:space="preserve">Renvert, Stefan; Noack, Michael J.; Lequart, Christophe; Roldan, Silvia; Laine, Marja L.</t>
  </si>
  <si>
    <t xml:space="preserve">The Underestimated Problem of Intra-Oral Halitosis in Dental Practice: An Expert Consensus Review</t>
  </si>
  <si>
    <t xml:space="preserve">CLINICAL COSMETIC AND INVESTIGATIONAL DENTISTRY</t>
  </si>
  <si>
    <t xml:space="preserve">bad breath; halitosis; intra-oral halitosis; oral health</t>
  </si>
  <si>
    <t xml:space="preserve">VOLATILE SULFUR-COMPOUNDS; ORAL MALODOR; PREVALENCE; ETIOLOGY; TONGUE; DENTISTS; CHLORHEXIDINE; AWARENESS</t>
  </si>
  <si>
    <t xml:space="preserve">Approximately 90% of halitosis cases originate within the oral cavity (intra-oral halitosis). With a focus on intra-oral halitosis, this narrative review article provides a current summary of the epidemiology, diagnosis and management of halitosis and discusses practical considerations for healthcare professionals (HCPs), including dentists, dental hygienists, general practitioners, community pharmacists, nurses and medical specialists. MEDLINE and PubMed were searched up to 31 December 2019. Additional information was sourced from reference lists of relevant published literature. Full-text articles which reported on the epidemiology, diagnosis and management of halitosis were considered for inclusion. Halitosis affects substantial numbers of individuals globally and is an underestimated problem in dental practice. Current estimates of the prevalence of halitosis, in addition to diagnostic methods and management considerations for halitosis, are discussed. Although not a life-threatening condition, halitosis has a significant impact on patients' quality of life and can result in psychological consequences including social, professional and affective limitations. Using a simple step-wise approach for diagnosis and treatment, dentists and dental hygienists are ideally placed to respond to an initial consultation for halitosis.</t>
  </si>
  <si>
    <t xml:space="preserve">[Renvert, Stefan] Kristianstad Univ, Dept Oral Hlth, Kristianstad, Sweden; [Renvert, Stefan] Trinity Coll Dublin, Sch Dent Sci, Dublin, Ireland; [Renvert, Stefan] Blekinge Inst Technol, Karlskrona, Sweden; [Noack, Michael J.] Univ Cologne, Dept Operat Dent &amp; Periodontol, Cologne, Germany; [Lequart, Christophe] Union Francaise Sante Buccodent UFSBD, Paris, France; [Roldan, Silvia] Univ Complutense, ETEP Etiol &amp; Therapy Periodontal Dis Res Grp, Madrid, Spain; [Laine, Marja L.] Univ Amsterdam, Acad Ctr Dent Amsterdam ACTA, Dept Periodontol, Amsterdam, Netherlands; [Laine, Marja L.] Vrije Univ Amsterdam, Amsterdam, Netherlands</t>
  </si>
  <si>
    <t xml:space="preserve">Kristianstad University; Trinity College Dublin; Blekinge Institute Technology; University of Cologne; Complutense University of Madrid; University of Amsterdam; Vrije Universiteit Amsterdam; Academic Center for Dentistry Amsterdam; Vrije Universiteit Amsterdam</t>
  </si>
  <si>
    <t xml:space="preserve">Renvert, S (corresponding author), Kristianstad Univ, Fac Hlth Sci, Dept Oral Hlth, SE-29188 Kristianstad, Sweden.</t>
  </si>
  <si>
    <t xml:space="preserve">Laine, Marja/ABF-2341-2021; Noack, Michael/A-5070-2019; Renvert, Stefan/AAM-2415-2020</t>
  </si>
  <si>
    <t xml:space="preserve">Renvert, Stefan/0000-0003-0992-2362; Laine, Marja/0000-0001-6052-041X</t>
  </si>
  <si>
    <t xml:space="preserve">Mylan, Spain</t>
  </si>
  <si>
    <t xml:space="preserve">The Advisory Board meeting, the outcomes from which form the basis for this review article, was funded by Mylan, Spain.</t>
  </si>
  <si>
    <t xml:space="preserve">1179-1357</t>
  </si>
  <si>
    <t xml:space="preserve">CLIN COSMET INV DENT</t>
  </si>
  <si>
    <t xml:space="preserve">CLIN. COSMET. INVESTIG. DENT.</t>
  </si>
  <si>
    <t xml:space="preserve">10.2147/CCIDE.S253765</t>
  </si>
  <si>
    <t xml:space="preserve">MQ2OL</t>
  </si>
  <si>
    <t xml:space="preserve">WOS:000552736400001</t>
  </si>
  <si>
    <t xml:space="preserve">Kvist, O; Damberg, P; Dou, ZL; Berglund, JS; Flodmark, CE; Nilsson, O; Diaz, S</t>
  </si>
  <si>
    <t xml:space="preserve">Kvist, Ola; Damberg, Peter; Dou, Zelong; Berglund, Johan Sanmartin; Flodmark, Carl-Erik; Nilsson, Ola; Diaz, Sandra</t>
  </si>
  <si>
    <t xml:space="preserve">Magnetic resonance and diffusion tensor imaging of the adolescent rabbit growth plate of the knee</t>
  </si>
  <si>
    <t xml:space="preserve">MAGNETIC RESONANCE IN MEDICINE</t>
  </si>
  <si>
    <t xml:space="preserve">cartilage; diffusion-tensor imaging (DTI); growth plate; magnetic resonance imaging (MRI); skeletal maturation</t>
  </si>
  <si>
    <t xml:space="preserve">LONGITUDINAL BONE-GROWTH; ARTICULAR-CARTILAGE; AGE; CLOSURE; FEMUR</t>
  </si>
  <si>
    <t xml:space="preserve">Purpose To assess the ability of MRI-DTI to evaluate growth plate morphology and activity compared with that of histomorphometry and micro-CT in rabbits. Methods The hind limbs of female rabbits aged 16, 20, and 24 wk (n = 4 per age group) were studied using a 9.4T MRI scanner with a multi-gradient echo 3D sequence and DTI in 14 directions (b-value = 984 s/mm(2)). After MRI, the right and left hind limb were processed for histological analysis and micro-CT, respectively. The Wilcoxon signed-rank test was used to evaluate the height and volume of the growth plate. Intraclass correlation and Pearson correlation coefficient were used to evaluate the association between DTI metrics and age. Results The growth plate height and volume were similar for all modalities at each time point and age. Age was correlated with all tractography and DTI metrics in both the femur and tibia. A correlation was also observed between all the metrics at both sites. Tract number and volume declined with age; however, tract length did not show any changes. The fractional anisotropy color map showed lateral diffusion centrally in the growth plate and perpendicular diffusion in the hypertrophic zone, as verified by histology and micro-CT. Conclusion MRI-DTI may be useful for evaluating the growth plates.</t>
  </si>
  <si>
    <t xml:space="preserve">[Kvist, Ola; Diaz, Sandra] Karolinska Univ Hosp, Dept Paediat Radiol, S-17164 Stockholm, Sweden; [Kvist, Ola; Dou, Zelong; Nilsson, Ola; Diaz, Sandra] Karolinska Inst, Dept Womens &amp; Childrens Hlth, Stockholm, Sweden; [Damberg, Peter] Karolinska Inst, Dept Clin Neurosci, Stockholm, Sweden; [Berglund, Johan Sanmartin] Blekinge Inst Technol, Dept Hlth, Karlskrona, Sweden; [Flodmark, Carl-Erik] Lund Univ, Dept Clin Sci Malmo, Lund, Sweden; [Nilsson, Ola] Orebro Univ, Sch Med Sci, Orebro, Sweden; [Diaz, Sandra] Lund Univ, Dept Radiol, Lund, Sweden</t>
  </si>
  <si>
    <t xml:space="preserve">Karolinska Institutet; Karolinska University Hospital; Karolinska Institutet; Karolinska Institutet; Blekinge Institute Technology; Lund University; Orebro University; Lund University</t>
  </si>
  <si>
    <t xml:space="preserve">Sanmartin Berglund, Johan/HGB-0471-2022; Diaz Ruiz, Sandra/HMW-0601-2023; Kvist, Ola/AFZ-5000-2022; Nilsson, Ola/C-4609-2008</t>
  </si>
  <si>
    <t xml:space="preserve">Nilsson, Ola/0000-0002-9986-8138; Kvist, Ola/0000-0002-8730-5901; Diaz Ruiz, Sandra/0000-0003-2016-4195; Flodmark, Carl-Erik/0000-0001-9705-4766; Berglund, Johan/0000-0003-4312-2246</t>
  </si>
  <si>
    <t xml:space="preserve">Stockholm University Brain Imaging Centre</t>
  </si>
  <si>
    <t xml:space="preserve">0740-3194</t>
  </si>
  <si>
    <t xml:space="preserve">1522-2594</t>
  </si>
  <si>
    <t xml:space="preserve">MAGN RESON MED</t>
  </si>
  <si>
    <t xml:space="preserve">Magn. Reson. Med.</t>
  </si>
  <si>
    <t xml:space="preserve">10.1002/mrm.29432</t>
  </si>
  <si>
    <t xml:space="preserve">5S8FZ</t>
  </si>
  <si>
    <t xml:space="preserve">WOS:000854034400001</t>
  </si>
  <si>
    <t xml:space="preserve">Frattini, J; Ginde, G; Groen, EC; Karras, O; Seyff, N</t>
  </si>
  <si>
    <t xml:space="preserve">Frattini, Julian; Ginde, Gouri; Groen, Eduard C.; Karras, Oliver; Seyff, Norbert</t>
  </si>
  <si>
    <t xml:space="preserve">Welcome to the Eighth International Workshop on Crowd-Based Requirements Engineering (CrowdRE'24)</t>
  </si>
  <si>
    <t xml:space="preserve">Crowd-based requirements engineering; requirements engineering; crowdsourcing; cross-disciplinary research</t>
  </si>
  <si>
    <t xml:space="preserve">Welcome to the 8th International Workshop on Crowd-Based Requirements Engineering (CrowdRE'24), where scientists and representatives engage in interactive discussions to analyze the state-of-the-art Crowd-Based Requirements Engineering (CrowdRE) and to inspire each other in ways to move forward together. The discipline of CrowdRE seeks to address the challenges of traditional requirements engineering (RE) in scaling up to settings with thousands to millions of users of (software) products or (software-driven) services, who form a large and heterogeneous group that can be denoted as a 'crowd' [1], [2]. The online user feedback generated by the crowd, such as texts or usage data, can be a valuable source of requirements, problems, wishes, and needs. Responding quickly, effectively, and iteratively to this feedback can greatly increase a product's success. CrowdRE comprises any approach that provides RE with suitable means for this crowd paradigm, especially by involving the crowd and by collecting, harmonizing, analyzing, and interpreting their feedback.</t>
  </si>
  <si>
    <t xml:space="preserve">[Frattini, Julian] Blekinge Inst Technol, Dept Software Engn, Karlskrona, Sweden; [Ginde, Gouri] Univ Calgary, Dept Elect &amp; Software Engn, Calgary, AB, Canada; [Groen, Eduard C.] Fraunhofer IESE, Kaiserslautern, Germany; [Groen, Eduard C.] Univ Utrecht, Dept Informat &amp; Comp Sci, Utrecht, Netherlands; [Groen, Eduard C.; Karras, Oliver] TIB Leibniz Informat Ctr Sci &amp; Technol, Hannover, Germany; [Seyff, Norbert] Univ Appl Sci &amp; Arts Northwestern Switzerland, Windisch, Switzerland; [Seyff, Norbert] Univ Zurich, Dept Informat, Zurich, Switzerland</t>
  </si>
  <si>
    <t xml:space="preserve">Blekinge Institute Technology; University of Calgary; Utrecht University; FHNW University of Applied Sciences &amp; Arts Northwestern Switzerland; University of Zurich</t>
  </si>
  <si>
    <t xml:space="preserve">Frattini, J (corresponding author), Blekinge Inst Technol, Dept Software Engn, Karlskrona, Sweden.</t>
  </si>
  <si>
    <t xml:space="preserve">julian.frattini@bth.se; gouri.deshpande@ucalgary.ca; eduard.groen@iese.fraunhofer.de; oliver.karras@tib.eu; norbert.seyff@fhnw.ch</t>
  </si>
  <si>
    <t xml:space="preserve">10.1109/REW61692.2024.00015</t>
  </si>
  <si>
    <t xml:space="preserve">WOS:001304537500011</t>
  </si>
  <si>
    <t xml:space="preserve">Alawadi, S; Alkharabsheh, K; Alkhabbas, F; Kebande, VR; Awaysheh, FM; Palomba, F; Awad, M</t>
  </si>
  <si>
    <t xml:space="preserve">Alawadi, Sadi; Alkharabsheh, Khalid; Alkhabbas, Fahed; Kebande, Victor R.; Awaysheh, Feras M.; Palomba, Fabio; Awad, Mohammed</t>
  </si>
  <si>
    <t xml:space="preserve">FedCSD: A Federated Learning Based Approach for Code-Smell Detection</t>
  </si>
  <si>
    <t xml:space="preserve">Software quality; technical debit; federated learning; privacy-preserving; code smell detection</t>
  </si>
  <si>
    <t xml:space="preserve">Software quality is critical, as low quality, or Code smell, increases technical debt and maintenance costs. There is a timely need for a collaborative model that detects and manages code smells by learning from diverse and distributed data sources while respecting privacy and providing a scalable solution for continuously integrating new patterns and practices in code quality management. However, the current literature is still missing such capabilities. This paper addresses the previous challenges by proposing a Federated Learning Code Smell Detection (FedCSD) approach, specifically targeting God Class, to enable organizations to train distributed ML models while safeguarding data privacy collaboratively. We conduct experiments using manually validated datasets to detect and analyze code smell scenarios to validate our approach. Experiment 1, a centralized training experiment, revealed varying accuracies across datasets, with dataset two achieving the lowest accuracy (92.30%) and datasets one and three achieving the highest (98.90% and 99.5%, respectively). Experiment 2, focusing on cross-evaluation, showed a significant drop in accuracy (lowest: 63.80%) when fewer smells were present in the training dataset, reflecting technical debt. Experiment 3 involved splitting the dataset across 10 companies, resulting in a global model accuracy of 98.34%, comparable to the centralized model's highest accuracy. The application of federated ML techniques demonstrates promising performance improvements in code-smell detection, benefiting both software developers and researchers.</t>
  </si>
  <si>
    <t xml:space="preserve">[Alawadi, Sadi; Kebande, Victor R.] Blekinge Inst Technol, Dept Comp Sci, S-37179 Karlskrona, Sweden; [Alawadi, Sadi] Univ Santiago de Compostela, Comp Graph &amp; Data Engn COGRADE Res Grp, Santiago De Compostela 15705, Spain; [Alkharabsheh, Khalid] Al Balqa Appl Univ, Prince Abdullah bin Ghazi Fac Informat &amp; Commun Te, Software Engn Dept, As Salt 19117, Jordan; [Alkhabbas, Fahed] Malmo Univ, Internet Things &amp; People Res Ctr, S-21119 Malmo, Sweden; [Alkhabbas, Fahed] Malmo Univ, Dept Comp Sci &amp; Media Technol, S-21119 Malmo, Sweden; [Awaysheh, Feras M.] Univ Tartu, Inst Comp Sci, Delta Res Ctr, EE-51009 Tartu, Estonia; [Palomba, Fabio] Univ Salerno, Dept Comp Sci, I-84084 Fisciano, Italy; [Awad, Mohammed] Arab Amer Univ, Dept Comp Syst Engn, Jenin 00970, Palestine</t>
  </si>
  <si>
    <t xml:space="preserve">Blekinge Institute Technology; Universidade de Santiago de Compostela; Al-Balqa Applied University; Malmo University; Malmo University; University of Tartu; University of Salerno</t>
  </si>
  <si>
    <t xml:space="preserve">Alkharabsheh, K (corresponding author), Al Balqa Appl Univ, Prince Abdullah bin Ghazi Fac Informat &amp; Commun Te, Software Engn Dept, As Salt 19117, Jordan.</t>
  </si>
  <si>
    <t xml:space="preserve">khalidkh@bau.edu.jo</t>
  </si>
  <si>
    <t xml:space="preserve">Awaysheh, Feras/AAG-7301-2019; Kebande, Victor/AAE-4855-2019; R. Kebande, Victor/F-3934-2019; Alkharabsheh, Khalid/HGB-7962-2022</t>
  </si>
  <si>
    <t xml:space="preserve">Awad, Mohammed/0000-0002-5053-0785; R. Kebande, Victor/0000-0003-4071-4596; Palomba, Fabio/0000-0001-9337-5116; Alkharabsheh, Khalid/0000-0002-3182-418X</t>
  </si>
  <si>
    <t xml:space="preserve">10.1109/ACCESS.2024.3380167</t>
  </si>
  <si>
    <t xml:space="preserve">ML0S4</t>
  </si>
  <si>
    <t xml:space="preserve">WOS:001193664800001</t>
  </si>
  <si>
    <t xml:space="preserve">Chaddad, A; Kucharczyk, MJ; Cheddad, A; Clarke, SE; Hassan, L; Ding, SX; Rathore, S; Zhang, ML; Katib, Y; Bahoric, B; Abikhzer, G; Probst, S; Niazi, T</t>
  </si>
  <si>
    <t xml:space="preserve">Chaddad, Ahmad; Kucharczyk, Michael J.; Cheddad, Abbas; Clarke, Sharon E.; Hassan, Lama; Ding, Shuxue; Rathore, Saima; Zhang, Mingli; Katib, Yousef; Bahoric, Boris; Abikhzer, Gad; Probst, Stephan; Niazi, Tamim</t>
  </si>
  <si>
    <t xml:space="preserve">Magnetic Resonance Imaging Based Radiomic Models of Prostate Cancer: A Narrative Review</t>
  </si>
  <si>
    <t xml:space="preserve">CANCERS</t>
  </si>
  <si>
    <t xml:space="preserve">artificial intelligence; radiomics; radiogenomics; prostate cancer; Gleason score; magnetic resonance imaging</t>
  </si>
  <si>
    <t xml:space="preserve">MULTI-PARAMETRIC MRI; PI-RADS V2; CLINICALLY SIGNIFICANT; MULTIPARAMETRIC MRI; BREAST-CANCER; INTEROBSERVER VARIABILITY; RADICAL PROSTATECTOMY; DIAGNOSTIC-ACCURACY; GLEASON SCORE; VERSION 2</t>
  </si>
  <si>
    <t xml:space="preserve">Simple Summary The increasing interest in implementing artificial intelligence in radiomic models has occurred alongside advancement in the tools used for computer-aided diagnosis. Such tools typically apply both statistical and machine learning methodologies to assess the various modalities used in medical image analysis. Specific to prostate cancer, the radiomics pipeline has multiple facets that are amenable to improvement. This review discusses the steps of a magnetic resonance imaging based radiomics pipeline. Present successes, existing opportunities for refinement, and the most pertinent pending steps leading to clinical validation are highlighted. The management of prostate cancer (PCa) is dependent on biomarkers of biological aggression. This includes an invasive biopsy to facilitate a histopathological assessment of the tumor's grade. This review explores the technical processes of applying magnetic resonance imaging based radiomic models to the evaluation of PCa. By exploring how a deep radiomics approach further optimizes the prediction of a PCa's grade group, it will be clear how this integration of artificial intelligence mitigates existing major technological challenges faced by a traditional radiomic model: image acquisition, small data sets, image processing, labeling/segmentation, informative features, predicting molecular features and incorporating predictive models. Other potential impacts of artificial intelligence on the personalized treatment of PCa will also be discussed. The role of deep radiomics analysis-a deep texture analysis, which extracts features from convolutional neural networks layers, will be highlighted. Existing clinical work and upcoming clinical trials will be reviewed, directing investigators to pertinent future directions in the field. For future progress to result in clinical translation, the field will likely require multi-institutional collaboration in producing prospectively populated and expertly labeled imaging libraries.</t>
  </si>
  <si>
    <t xml:space="preserve">[Chaddad, Ahmad; Hassan, Lama; Ding, Shuxue] Guilin Univ Elect Technol, Sch Artificial Intelligence, Guilin 541004, Peoples R China; [Chaddad, Ahmad; Bahoric, Boris; Abikhzer, Gad; Probst, Stephan; Niazi, Tamim] McGill Univ, Lady Davis Inst Med Res, Montreal, PQ H3S 1Y9, Canada; [Kucharczyk, Michael J.] Dalhousie Univ, Nova Scotia Canc Ctr, Halifax, NS B3H 1V7, Canada; [Cheddad, Abbas] Blekinge Inst Technol, Dept Comp Sci, SE-37179 Karlskrona, Sweden; [Clarke, Sharon E.] Dalhousie Univ, Dept Radiol, Halifax, NS B3H 1V7, Canada; [Rathore, Saima] Univ Penn, Ctr Biomed Image Comp &amp; Analyt, Philadelphia, PA 19104 USA; [Zhang, Mingli] McGill Univ, Montreal Neurol Inst, Montreal, PQ H3A 2B4, Canada; [Katib, Yousef] Taibah Univ, Dept Radiol, Al Madinah 42353, Saudi Arabia</t>
  </si>
  <si>
    <t xml:space="preserve">Guilin University of Electronic Technology; McGill University; Lady Davis Institute; Dalhousie University; Blekinge Institute Technology; Dalhousie University; University of Pennsylvania; McGill University; Taibah University</t>
  </si>
  <si>
    <t xml:space="preserve">Chaddad, A (corresponding author), Guilin Univ Elect Technol, Sch Artificial Intelligence, Guilin 541004, Peoples R China.;Chaddad, A; Niazi, T (corresponding author), McGill Univ, Lady Davis Inst Med Res, Montreal, PQ H3S 1Y9, Canada.</t>
  </si>
  <si>
    <t xml:space="preserve">ahmadchaddad@guet.edu.cn; Mike.Kucharczyk@nshealth.ca; abbas.cheddad@bth.se; SharonE.Clarke@nshealth.ca; lama.hassan@etu.unilim.fr; sding@guet.edu.cn; saima.rathore@pennmedicine.upenn.edu; mingli.zhang@mcgill.ca; ykatib@taibahu.edu.sa; bbahoric@jgh.mcgill.ca; gad.abikhzer@mcgill.ca; sprobst@jgh.mcgill.ca; tniazi@jgh.mcgill.ca</t>
  </si>
  <si>
    <t xml:space="preserve">Clarke, Sharon/AAO-8915-2020; Kucharczyk, Michael/ABB-4376-2021; zhang, ying/HJB-1230-2022; Chaddad, Ahmad/I-6894-2018; Cheddad, Abbas/R-7061-2018</t>
  </si>
  <si>
    <t xml:space="preserve">Chaddad, Ahmad/0000-0003-3402-9576; Kucharczyk, Michael/0000-0002-2857-6840; Hassan, Lama/0000-0002-2368-0366; Cheddad, Abbas/0000-0002-4390-411X; Clarke, Sharon Elizabeth/0000-0001-5759-5808</t>
  </si>
  <si>
    <t xml:space="preserve">Foreign Young Talents Program [QN20200233001]</t>
  </si>
  <si>
    <t xml:space="preserve">Foreign Young Talents Program</t>
  </si>
  <si>
    <t xml:space="preserve">Research supported by Foreign Young Talents Program (No. QN20200233001). The funding agency has no role in the conceptualization of the study, data collection and analysis, or the decision to publish these results.</t>
  </si>
  <si>
    <t xml:space="preserve">2072-6694</t>
  </si>
  <si>
    <t xml:space="preserve">Cancers</t>
  </si>
  <si>
    <t xml:space="preserve">10.3390/cancers13030552</t>
  </si>
  <si>
    <t xml:space="preserve">QC6SZ</t>
  </si>
  <si>
    <t xml:space="preserve">WOS:000614966800001</t>
  </si>
  <si>
    <t xml:space="preserve">van Haastrecht, M; Golpur, G; Tzismadia, G; Kab, R; Priboi, C; David, D; Racataian, A; Baumgartner, L; Fricker, S; Ruiz, JF; Armas, E; Brinkhuis, M; Spruit, M</t>
  </si>
  <si>
    <t xml:space="preserve">van Haastrecht, Max; Golpur, Guy; Tzismadia, Gilad; Kab, Rolan; Priboi, Cristian; David, Dumitru; Racataian, Adrian; Baumgartner, Louis; Fricker, Samuel; Ruiz, Jose Francisco; Armas, Esteban; Brinkhuis, Matthieu; Spruit, Marco</t>
  </si>
  <si>
    <t xml:space="preserve">A Shared Cyber Threat Intelligence Solution for SMEs (vol 10, 2913, 2021)</t>
  </si>
  <si>
    <t xml:space="preserve">[van Haastrecht, Max; Spruit, Marco] Leiden Univ, Leiden Inst Adv Comp Sci LIACS, Niels Bohrweg 1, NL-2333 CA Leiden, Netherlands; [Golpur, Guy; Tzismadia, Gilad; Kab, Rolan] KPMG Somekh Chaikin, KPMG Millenium Tower 17 Haarbaa St, IL-6473921 Tel Aviv, Israel; [Priboi, Cristian; David, Dumitru; Racataian, Adrian] CERT RO, Italiana St 22, Bucharest 030167, Romania; [Baumgartner, Louis; Fricker, Samuel] Univ Appl Sci &amp; Arts Northwestern Switzerland FHN, Inst Interact Technol IIT, Bahnhofstr 6, CH-5210 Windisch, Switzerland; [Fricker, Samuel] Blekinge Inst Technol, SERL Sweden, Campus Grasvik, S-37179 Karlskrona, Sweden; [Ruiz, Jose Francisco; Armas, Esteban] Atos SA, Calle Albarracin 25, Madrid 28037, Spain; [Brinkhuis, Matthieu; Spruit, Marco] Univ Utrecht, Dept Informat &amp; Comp Sci, Princetonpl 5, NL-3584 CC Utrecht, Netherlands; [Spruit, Marco] Leiden Univ Med Ctr LUMC, Dept Publ Hlth &amp; Primary Care, Albinusdreef 2, NL-2333 ZA Leiden, Netherlands</t>
  </si>
  <si>
    <t xml:space="preserve">Leiden University; Leiden University - Excl LUMC; FHNW University of Applied Sciences &amp; Arts Northwestern Switzerland; Blekinge Institute Technology; Utrecht University; Leiden University; Leiden University Medical Center (LUMC)</t>
  </si>
  <si>
    <t xml:space="preserve">van Haastrecht, M (corresponding author), Leiden Univ, Leiden Inst Adv Comp Sci LIACS, Niels Bohrweg 1, NL-2333 CA Leiden, Netherlands.</t>
  </si>
  <si>
    <t xml:space="preserve">m.a.n.van.haastrecht@liacs.leidenuniv.nl; ggolpur@kpmg.com; gtzismadia@kpmg.com; rkab@kpmg.com; cristian.priboi@cert.ro; dumitru.david@cert.ro; adrian.racataian@cert.ro; louis.baumgartner@fhnw.ch; samuel.fricker@fhnw.ch; josemistra@gmail.com; esteban.armas.external@atos.net; m.j.s.brinkhuis@uu.nl; m.r.spruit@lumc.nl</t>
  </si>
  <si>
    <t xml:space="preserve">van Haastrecht, Max/GOH-2863-2022; Brinkhuis, Matthieu/X-6308-2018; Spruit, Marco/HZL-8810-2023</t>
  </si>
  <si>
    <t xml:space="preserve">10.3390/electronics11030349</t>
  </si>
  <si>
    <t xml:space="preserve">ZH2QS</t>
  </si>
  <si>
    <t xml:space="preserve">WOS:000760789300001</t>
  </si>
  <si>
    <t xml:space="preserve">Lin, YJ; Chen, LM; Ali, A; Nugent, C; Cleland, I; Li, RY; Ding, JG; Ning, HS</t>
  </si>
  <si>
    <t xml:space="preserve">Lin, Yujia; Chen, Liming; Ali, Aftab; Nugent, Christopher; Cleland, Ian; Li, Rongyang; Ding, Jianguo; Ning, Huansheng</t>
  </si>
  <si>
    <t xml:space="preserve">Human digital twin: a survey</t>
  </si>
  <si>
    <t xml:space="preserve">Human digital twin; Human modeling technology; Generic architecture; Digital twin</t>
  </si>
  <si>
    <t xml:space="preserve">HYPERTENSION; DESIGN</t>
  </si>
  <si>
    <t xml:space="preserve">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</si>
  <si>
    <t xml:space="preserve">[Lin, Yujia] LinYi Univ, Sch Comp Sci &amp; Engn, Gongye St, Linyi 276000, Peoples R China; [Lin, Yujia; Li, Rongyang; Ning, Huansheng] Univ Sci &amp; Technol Beijing, Sch Comp &amp; Commun Engn, Xueyuan St, Beijing 100083, Peoples R China; [Chen, Liming] Dalian Univ Technol, Sch Comp Sci &amp; Technol, Linggong St, Dalian 116024, Peoples R China; [Ali, Aftab; Nugent, Christopher; Cleland, Ian] Ulster Univ, Sch Comp, 2-24 York St, Belfast BT15 1AP, North Ireland; [Ding, Jianguo] Blekinge Inst Technol, Dept Comp Sci, S-37179 Karlskrona, Sweden; [Lin, Yujia] Party Sch Chunan Cty Comm CPC, Pailingnan St, Hangzhou 311700, Peoples R China</t>
  </si>
  <si>
    <t xml:space="preserve">Linyi University; University of Science &amp; Technology Beijing; Dalian University of Technology; Ulster University; Blekinge Institute Technology</t>
  </si>
  <si>
    <t xml:space="preserve">Ning, HS (corresponding author), Univ Sci &amp; Technol Beijing, Sch Comp &amp; Commun Engn, Xueyuan St, Beijing 100083, Peoples R China.;Chen, LM (corresponding author), Dalian Univ Technol, Sch Comp Sci &amp; Technol, Linggong St, Dalian 116024, Peoples R China.</t>
  </si>
  <si>
    <t xml:space="preserve">limingchen0922@dlut.edu.cn; ninghuansheng@ustb.edu.cn</t>
  </si>
  <si>
    <t xml:space="preserve">Lin, Yujia/IAR-2200-2023; Li, Rongyang/GXF-2537-2022</t>
  </si>
  <si>
    <t xml:space="preserve">Nugent, Chris/0000-0003-0882-7902</t>
  </si>
  <si>
    <t xml:space="preserve">10.1186/s13677-024-00691-z</t>
  </si>
  <si>
    <t xml:space="preserve">C7O7G</t>
  </si>
  <si>
    <t xml:space="preserve">WOS:001291233300002</t>
  </si>
  <si>
    <t xml:space="preserve">Zimelewicz, E; Kalinowski, M; Mendez, D; Giray, G; Alves, APS; Lavesson, N; Azevedo, K; Villamizar, H; Escovedo, T; Lopes, H; Biffl, S; Musil, J; Felderer, M; Wagner, S; Baldassarre, T; Gorschek, T</t>
  </si>
  <si>
    <t xml:space="preserve">Bludau, P; Ramler, R; Winkler, D; Bergsmann, J</t>
  </si>
  <si>
    <t xml:space="preserve">Zimelewicz, Eduardo; Kalinowski, Marcos; Mendez, Daniel; Giray, Gorkem; Alves, Antonio Pedro Santos; Lavesson, Niklas; Azevedo, Kelly; Villamizar, Hugo; Escovedo, Tatiana; Lopes, Helio; Biffl, Stefan; Musil, Juergen; Felderer, Michael; Wagner, Stefan; Baldassarre, Teresa; Gorschek, Tony</t>
  </si>
  <si>
    <t xml:space="preserve">ML-Enabled Systems Model Deployment and Monitoring: Status Quo and Problems</t>
  </si>
  <si>
    <t xml:space="preserve">SOFTWARE QUALITY AS A FOUNDATION FOR SECURITY, SWQD 2024</t>
  </si>
  <si>
    <t xml:space="preserve">16th Software Quality Days Conference (SWQD)</t>
  </si>
  <si>
    <t xml:space="preserve">APR 23-25, 2024</t>
  </si>
  <si>
    <t xml:space="preserve">Machine Learning; Deployment; Monitoring</t>
  </si>
  <si>
    <t xml:space="preserve">CLOUD</t>
  </si>
  <si>
    <t xml:space="preserve">[Context] Systems that incorporate Machine Learning (ML) models, often referred to as ML-enabled systems, have become commonplace. However, empirical evidence on how ML-enabled systems are engineered in practice is still limited; this is especially true for activities surrounding ML model dissemination. [Goal] We investigate contemporary industrial practices and problems related to ML model dissemination, focusing on the model deployment and the monitoring ML life cycle phases. [Method] We conducted an international survey to gather practitioner insights on how ML-enabled systems are engineered. We gathered a total of 188 complete responses from 25 countries. We analyze the status quo and problems reported for the model deployment and monitoring phases. We analyzed contemporary practices using bootstrapping with confidence intervals and conducted qualitative analyses on the reported problems applying open and axial coding procedures. [Results] Practitioners perceive the model deployment and monitoring phases as relevant and difficult. With respect to model deployment, models are typically deployed as separate services, with limited adoption of MLOps principles. Reported problems include difficulties in designing the architecture of the infrastructure for production deployment and legacy application integration. Concerning model monitoring, many models in production are not monitored. The main monitored aspects are inputs, outputs, and decisions. Reported problems involve the absence of monitoring practices, the need to create custom monitoring tools, and the selection of suitable metrics. [Conclusion] Our results help provide a better understanding of the adopted practices and problems in practice and support guiding ML deployment and monitoring research in a problem-driven manner.</t>
  </si>
  <si>
    <t xml:space="preserve">[Zimelewicz, Eduardo; Kalinowski, Marcos; Alves, Antonio Pedro Santos; Azevedo, Kelly; Villamizar, Hugo; Escovedo, Tatiana; Lopes, Helio] Pontif Catholic Univ Rio De Janeiro PUC Rio, Rio De Janeiro, Brazil; [Mendez, Daniel; Lavesson, Niklas; Gorschek, Tony] Blekinge Inst Technol BTH, Karlskrona, Sweden; [Biffl, Stefan; Musil, Juergen] Vienna Univ Technol TU Wien, Vienna, Austria; [Felderer, Michael] German Aerosp Ctr DLR, Cologne, Germany; [Felderer, Michael] Univ Cologne, Cologne, Germany; [Wagner, Stefan] Tech Univ Munich, Munich, Germany; [Baldassarre, Teresa] Univ Bari, Bari, Italy; [Gorschek, Tony] Fortiss GmbH, Munich, Germany</t>
  </si>
  <si>
    <t xml:space="preserve">Blekinge Institute Technology; Technische Universitat Wien; Helmholtz Association; German Aerospace Centre (DLR); University of Cologne; Technical University of Munich; Universita degli Studi di Bari Aldo Moro; fortiss</t>
  </si>
  <si>
    <t xml:space="preserve">Kalinowski, M (corresponding author), Pontif Catholic Univ Rio De Janeiro PUC Rio, Rio De Janeiro, Brazil.</t>
  </si>
  <si>
    <t xml:space="preserve">Gorschek, Tony/E-3445-2013; Felderer, Michael/AAF-4909-2020; Lopes, Helio/A-2369-2009; Lavesson, Niklas/B-3313-2013; Giray, Gorkem/AAW-9845-2021</t>
  </si>
  <si>
    <t xml:space="preserve">Azevedo Borges Leal Neves, Kelly/0009-0001-3464-6489; Lopes, Helio/0000-0003-4584-1455; Felderer, Michael/0000-0003-3818-4442; Santos Alves, Antonio Pedro/0000-0002-3415-6201; Giray, Gorkem/0000-0002-7023-9469; Villamizar, Hugo/0000-0003-4142-6967; Kalinowski, Marcos/0000-0003-1445-3425; Mendez Fernandez, Daniel/0000-0003-0619-6027; Lavesson, Niklas/0000-0002-0535-1761</t>
  </si>
  <si>
    <t xml:space="preserve">978-3-031-56280-8; 978-3-031-56281-5</t>
  </si>
  <si>
    <t xml:space="preserve">10.1007/978-3-031-56281-5_7</t>
  </si>
  <si>
    <t xml:space="preserve">BX2TN</t>
  </si>
  <si>
    <t xml:space="preserve">WOS:001267936400007</t>
  </si>
  <si>
    <t xml:space="preserve">Editorial: Machine learning, software process, and global software engineering</t>
  </si>
  <si>
    <t xml:space="preserve">global software engineering; machine learning; software process</t>
  </si>
  <si>
    <t xml:space="preserve">On June 26-28, 2020, the International Conference on Software and Systems Processes (ICSSP 2020) and the International Conference on Global Software Engineering (ICGSE 2020) were held in virtual settings during the first year of the COVID pandemic. Several submissions to the joint event have been selected for inclusion in this special issue, focusing on impactful and timely contributions to machine learning (ML). At present, many in our field are enthusiastic about the potential of ML, yet some risks should not be casually overlooked or summarily dismissed. Each ML implementation is subtly different from any other implementation, and the risk profile varies greatly based on the approach adopted and the implementation context. The ICSSP/ICGSE 2020 Program Committees have encouraged submissions that explore the risks and benefits associated with ML so that the important discussion regarding ML efficacy and advocacy can be further elaborated. Four contributions have been included in this special issue.</t>
  </si>
  <si>
    <t xml:space="preserve">[Steinmacher, Igor] No Arizona Univ, Sch Informat Comp &amp; Cyber Syst, Flagstaff, AZ 86011 USA; [Clarke, Paul] Dublin City Univ, Sch Comp, Dublin, Ireland; [Clarke, Paul] LERO, Limerick, Ireland; [Tuzun, Eray] Bilkent Univ, Dept Comp Engn, Ankara, Turkiye; [Britto, Ricardo] Ericsson AB, Karskrona, Sweden; [Britto, Ricardo] Blekinge Inst Technol, Karskrona, Sweden</t>
  </si>
  <si>
    <t xml:space="preserve">Steinmacher, I (corresponding author), No Arizona Univ, Sch Informat Comp &amp; Cyber Syst, Flagstaff, AZ 86011 USA.</t>
  </si>
  <si>
    <t xml:space="preserve">Tuzun, Eray/AAD-7282-2021; Igor, Steinmacher/B-6414-2012; Clarke, Paul/JAX-9606-2023; Tuzun, Eray/B-5949-2018; Steinmacher, Igor/H-2709-2012</t>
  </si>
  <si>
    <t xml:space="preserve">Tuzun, Eray/0000-0002-5550-7816; Steinmacher, Igor/0000-0002-0612-5790; Clarke, Paul/0000-0002-4487-627X</t>
  </si>
  <si>
    <t xml:space="preserve">e2545</t>
  </si>
  <si>
    <t xml:space="preserve">10.1002/smr.2545</t>
  </si>
  <si>
    <t xml:space="preserve">H9OB6</t>
  </si>
  <si>
    <t xml:space="preserve">WOS:000940938700001</t>
  </si>
  <si>
    <t xml:space="preserve">Kvist, O; Dorniok, T; Berglund, JS; Nilsson, O; Flodmark, CE; Diaz, S</t>
  </si>
  <si>
    <t xml:space="preserve">Kvist, Ola; Dorniok, Torsten; Berglund, Johan Sanmartin; Nilsson, Ola; Flodmark, Carl-Erik; Diaz, Sandra</t>
  </si>
  <si>
    <t xml:space="preserve">DTI assessment of the maturing growth plate of the knee in adolescents and young adults</t>
  </si>
  <si>
    <t xml:space="preserve">EUROPEAN JOURNAL OF RADIOLOGY</t>
  </si>
  <si>
    <t xml:space="preserve">Magnetic resonance imaging; Diffusion tensor imaging; Growth plate; Maturation process; Puberty</t>
  </si>
  <si>
    <t xml:space="preserve">ARTICULAR-CARTILAGE; DIFFUSION; TRACTOGRAPHY</t>
  </si>
  <si>
    <t xml:space="preserve">Purpose: To assess the growth plates of the knee in a healthy population of young adults and adolescents using DTI, and to correlate the findings with chronological age and skeletal maturation.Methods: A prospective, cross-sectional study to assess the tibial and femoral growth plates with DTI in 155 healthy volunteers aged between 14.0 and 21 years old. Echo-planar DTI with 15 directions and b value of 0 and 600 s/mm2 was performed on a 3 T whole-body scanner.Results: A relationship was observed between chronological age and most DTI metrics (fractional anisotropy, mean diffusivity, and radial diffusivity), tract length and volume. (No significant relationship could be seen for axonal diffusivity and tract length.) Subdivision according to skeletal maturation showed the greatest tract lengths and volumes seen in stage 4b and not 4a. The intra-observer agreement was significant (P = 0.01) for all the measured variables, but agreement varied (femur 0.53 - 0.98; tibia 0.58 - 0.98). Spearman's correlation showed a significant correlation for age (P = 0.05; P = 0.01) as well as for the fractional anisotropy value within all variables in both femur and tibia. Tract number and volume had a similar correlation with most variables, especially the DTI metrics, and would seem to be interchangeable.Conclusion: The current study indicates that DTI metrics could be a tool to assess the skeletal maturation process of the growth plate and its activity. Tractography seems promising to assess the activity of the growth plate in a younger population but must be used with caution in the more mature growth plate.</t>
  </si>
  <si>
    <t xml:space="preserve">[Kvist, Ola; Diaz, Sandra] Karolinska Univ Hosp, Dept Paediat Radiol, Stockholm, Sweden; [Kvist, Ola; Nilsson, Ola; Diaz, Sandra] Karolinska Inst, Dept Womens &amp; Childrens Hlth, Stockholm, Sweden; [Dorniok, Torsten] Karolinska Univ Hosp, Dept Med Radiat Phys &amp; Nucl Med, Stockholm, Sweden; [Berglund, Johan Sanmartin] Blekinge Inst Technol, Dept Hlth, Karlskrona, Sweden; [Nilsson, Ola] Orebro Univ, Sch Med Sci, Orebro, Sweden; [Nilsson, Ola] Orebro Univ, Dept Paediat, Orebro, Sweden; [Nilsson, Ola] Univ Hosp, Orebro, Sweden; [Flodmark, Carl-Erik] Lund Univ, Dept Clin Sci Malmo, Lund, Sweden; [Diaz, Sandra] Lund Univ, Dept Radiol, Lund, Sweden; [Kvist, Ola] Karolinska Univ Hosp, Dept Pediat Radiol, Eugeniavagen 23, S-17164 Stockholm, Sweden</t>
  </si>
  <si>
    <t xml:space="preserve">Karolinska Institutet; Karolinska University Hospital; Karolinska Institutet; Karolinska Institutet; Karolinska University Hospital; Blekinge Institute Technology; Orebro University; Orebro University; Orebro University; Lund University; Lund University; Karolinska Institutet; Karolinska University Hospital</t>
  </si>
  <si>
    <t xml:space="preserve">Kvist, O (corresponding author), Karolinska Univ Hosp, Dept Pediat Radiol, Eugeniavagen 23, S-17164 Stockholm, Sweden.</t>
  </si>
  <si>
    <t xml:space="preserve">ola.kvist@ki.se; torsten.dorniok@ragionstockholm.se; johan.sanmartin.berglund@bth.se; ola.nilsson@ki.se; carl-erik.flodmark@med.lu.se; sandra.diaz-ruiz@sll.se</t>
  </si>
  <si>
    <t xml:space="preserve">Sanmartin Berglund, Johan/HGB-0471-2022; Kvist, Ola/AFZ-5000-2022; Nilsson, Ola/C-4609-2008; Diaz Ruiz, Sandra/HMW-0601-2023</t>
  </si>
  <si>
    <t xml:space="preserve">Kvist, Ola/0000-0002-8730-5901</t>
  </si>
  <si>
    <t xml:space="preserve">0720-048X</t>
  </si>
  <si>
    <t xml:space="preserve">1872-7727</t>
  </si>
  <si>
    <t xml:space="preserve">EUR J RADIOL</t>
  </si>
  <si>
    <t xml:space="preserve">Eur. J. Radiol.</t>
  </si>
  <si>
    <t xml:space="preserve">10.1016/j.ejrad.2023.110759</t>
  </si>
  <si>
    <t xml:space="preserve">A3MZ2</t>
  </si>
  <si>
    <t xml:space="preserve">WOS:000954219700001</t>
  </si>
  <si>
    <t xml:space="preserve">Zhang, P; Zhao, L; Ren, Y; Wei, D; To, S; Abbas, Z; Islam, MS</t>
  </si>
  <si>
    <t xml:space="preserve">Zhang, Peng; Zhao, Lun; Ren, Yu; Wei, Dong; To, Sandy; Abbas, Zeshan; Islam, Md Shafiqul</t>
  </si>
  <si>
    <t xml:space="preserve">MA-SPRNet: A multiple attention mechanisms-based network for self-piercing riveting joint defect detection</t>
  </si>
  <si>
    <t xml:space="preserve">Self-piercing riveting; Defect detection; Deep learning; Attention mechanism</t>
  </si>
  <si>
    <t xml:space="preserve">Efficient detection of defects in riveted joints during the self-piercing riveting (SPR) process will help improve riveting quality. Due to the complexity of SPR defects under actual working conditions, it is difficult for traditional visual technology to detect the forming quality of SPR joints effectively. To detect SPR defects and improve the efficiency of SPR joint forming quality, we proposed a defect detection model based on a multi-attention mechanism, named Multiple Attention Self-Piercing Riveting Network (MA-SPRNet), for the detection of SPR defects. Specifically, to alleviate problems such as unclear object features in complex environments, a multi-level fusion enhancement network (MFEN) is constructed. It fuses features into each level and improves the fusion effect by adding more levels of features. In addition, to alleviate the information redundancy generated during the feature fusion process, the triple attention module (TRAM) and the efficient multi-scale attention module (EMAM) were introduced to enhance the attention of the network to SPR defective. These modules are designed to refine the attention of the network, ensuring a more targeted analysis of riveting features. In addition, the Wise Intersection over Union (WIoU) loss function is introduced, aiming to guide the network to characterize features within the region of interest and to enhance the accurate positioning of riveting defects by the network. Finally, to verify the performance of the MA-SPRNet, an SPR defect dataset was constructed, and a series of experiments based on this dataset were conducted. The detection mAP0.5 of MA-SPRNet was 82.83%. The results of experiments show that MA-SPRNet effectively realizes the detection of riveted joint defects.</t>
  </si>
  <si>
    <t xml:space="preserve">[Zhang, Peng; Zhao, Lun; Ren, Yu; Abbas, Zeshan] Shenzhen Polytech Univ, Inst Ultrason Technol, Shenzhen 518055, Peoples R China; [Zhang, Peng; Wei, Dong] Univ Sci &amp; Technol Liaoning, Sch Elect &amp; Informat Engn, Anshan 114051, Peoples R China; [Zhao, Lun; To, Sandy] Hong Kong Polytech Univ, State Key Lab Ultraprecis Machining Technol, Hong Kong, Peoples R China; [Ren, Yu] Shenzhen Univ, Sch Biomed Engn, Shenzhen 518060, Peoples R China; [Abbas, Zeshan] Guizhou Ind Polytech Coll, Fac Intelligent Mfg Engn, Guiyang 551400, Peoples R China; [Islam, Md Shafiqul] Blekinge Inst Technol, Dept Mech Engn, S-37179 Karlskrona, Sweden</t>
  </si>
  <si>
    <t xml:space="preserve">Shenzhen Polytechnic University; University of Science &amp; Technology Liaoning; Hong Kong Polytechnic University; Shenzhen University; Blekinge Institute Technology</t>
  </si>
  <si>
    <t xml:space="preserve">zion_0207@foxmail.com; zhaolun@szpu.edu.cn; renyu2023@email.szu.edu.cn; weidong@ustl.edu.cn; mailsandy.to@polyu.edu.hk; abbasz@szpu.edu.cn; shafiqul.islam@bth.se</t>
  </si>
  <si>
    <t xml:space="preserve">Islam, Md Shafiqul/GLS-1837-2022; Ren, Yu/HJP-8357-2023; Abbas, Zeshan/MEO-8370-2025</t>
  </si>
  <si>
    <t xml:space="preserve">National Natural Science Foundation of China [12104324]; Scientific Research Startup Fund for Shenzhen High-Caliber Personnel of SZPU [6022310046K]; SZPU-Newpower Ultrasonic welding RD [602331009PQ]; Post-doctoral Later-stage Foundation Project of Shenzhen Polytechnic University [6023271014K]</t>
  </si>
  <si>
    <t xml:space="preserve">National Natural Science Foundation of China(National Natural Science Foundation of China (NSFC)); Scientific Research Startup Fund for Shenzhen High-Caliber Personnel of SZPU; SZPU-Newpower Ultrasonic welding RD; Post-doctoral Later-stage Foundation Project of Shenzhen Polytechnic University</t>
  </si>
  <si>
    <t xml:space="preserve">This research is supported by National Natural Science Foundation of China (Grant No. 12104324) ; Scientific Research Startup Fund for Shenzhen High-Caliber Personnel of SZPU (No. 6022310046K) ; SZPU-Newpower Ultrasonic welding R&amp;D (602331009PQ) ; Post-doctoral Later-stage Foundation Project of Shenzhen Polytechnic University (6023271014K) .</t>
  </si>
  <si>
    <t xml:space="preserve">10.1016/j.compeleceng.2024.109798</t>
  </si>
  <si>
    <t xml:space="preserve">L2H8P</t>
  </si>
  <si>
    <t xml:space="preserve">WOS:001348992000001</t>
  </si>
  <si>
    <t xml:space="preserve">Fakhouri, HN; Alawadi, S; Awaysheh, FM; Hani, IB; Alkhalaileh, M; Hamad, F</t>
  </si>
  <si>
    <t xml:space="preserve">Fakhouri, Hussam N.; Alawadi, Sadi; Awaysheh, Feras M.; Hani, Imad Bani; Alkhalaileh, Mohannad; Hamad, Faten</t>
  </si>
  <si>
    <t xml:space="preserve">A Comprehensive Study on the Role of Machine Learning in 5G Security: Challenges, Technologies, and Solutions</t>
  </si>
  <si>
    <t xml:space="preserve">5G networks; machine learning security; security in deep learning</t>
  </si>
  <si>
    <t xml:space="preserve">OF-THE-ART; LINEAR-REGRESSION; ATTACK DETECTION; MOBILE NETWORKS; COGNITIVE 5G; INTELLIGENT; PRIVACY; ARCHITECTURE; MANAGEMENT; FRAMEWORK</t>
  </si>
  <si>
    <t xml:space="preserve">Fifth-generation (5G) mobile networks have already marked their presence globally, revolutionizing entertainment, business, healthcare, and other domains. While this leap forward brings numerous advantages in speed and connectivity, it also poses new challenges for security protocols. Machine learning (ML) and deep learning (DL) have been employed to augment traditional security measures, promising to mitigate risks and vulnerabilities. This paper conducts an exhaustive study to assess ML and DL algorithms' role and effectiveness within the 5G security landscape. Also, it offers a profound dissection of the 5G network's security paradigm, particularly emphasizing the transformative role of ML and DL as enabling security tools. This study starts by examining the unique architecture of 5G and its inherent vulnerabilities, contrasting them with emerging threat vectors. Next, we conduct a detailed analysis of the network's underlying segments, such as network slicing, Massive Machine-Type Communications (mMTC), and edge computing, revealing their associated security challenges. By scrutinizing current security protocols and international regulatory impositions, this paper delineates the existing 5G security landscape. Finally, we outline the capabilities of ML and DL in redefining 5G security. We detail their application in enhancing anomaly detection, fortifying predictive security measures, and strengthening intrusion prevention strategies. This research sheds light on the present-day 5G security challenges and offers a visionary perspective, highlighting the intersection of advanced computational methods and future 5G security.</t>
  </si>
  <si>
    <t xml:space="preserve">[Fakhouri, Hussam N.] Univ Petra, Fac Informat Technol, Data Sci &amp; Artificial Intelligence Dept, Amman 11196, Jordan; [Alawadi, Sadi] Blekinge Inst Technol, Dept Comp Sci DIDA, S-37179 Karlskrona, Sweden; [Awaysheh, Feras M.] Tartu Univ, Inst Comp Sci, Delta Ctr, EE-51009 Tartu, Estonia; [Hani, Imad Bani] Halmstad Univ, Dept Comp Sci, S-30118 Halmstad, Sweden; [Alkhalaileh, Mohannad] Al Ain Univ, Coll Educ Humanities &amp; Social Sci, POB 112612, Al Ain, U Arab Emirates; [Hamad, Faten] Sultan Qaboos Univ, Informat Studies Dept, Muscat 123, Oman; [Hamad, Faten] Univ Jordan, Lib &amp; Informat Sci, Amman 22110, Jordan</t>
  </si>
  <si>
    <t xml:space="preserve">Petra University; Blekinge Institute Technology; University of Tartu; Halmstad University; Sultan Qaboos University; University of Jordan</t>
  </si>
  <si>
    <t xml:space="preserve">Alawadi, S (corresponding author), Blekinge Inst Technol, Dept Comp Sci DIDA, S-37179 Karlskrona, Sweden.</t>
  </si>
  <si>
    <t xml:space="preserve">hussam.fakhouri@uop.edu.jo; sadi.alawadi@bth.se; feras.awaysheh@ut.ee; imad.banihani@hh.se; mohannad.alkhalaileh@aau.ac.ae; f.hamad@ju.edu.jo</t>
  </si>
  <si>
    <t xml:space="preserve">alawadi, sadi/Q-8576-2016; Hamad, Faten/AAG-6661-2021; Awaysheh, Feras/AAG-7301-2019; Hamad, Faten/S-6262-2016; fakhouri, hussam/A-3089-2016</t>
  </si>
  <si>
    <t xml:space="preserve">Hamad, Faten/0000-0001-7548-0529; fakhouri, hussam/0000-0002-9170-3291; Alawadi, Sadi/0000-0002-6309-2892; Awaysheh, Feras/0000-0002-9561-6099; Alkhalialh, Mohannad/0000-0002-8457-4831; Bani Hani, Imad/0000-0002-3640-4926</t>
  </si>
  <si>
    <t xml:space="preserve">10.3390/electronics12224604</t>
  </si>
  <si>
    <t xml:space="preserve">AQ1K0</t>
  </si>
  <si>
    <t xml:space="preserve">WOS:001119833400001</t>
  </si>
  <si>
    <t xml:space="preserve">Andersson, M; Kinn, BHS; Kohlhase, JE</t>
  </si>
  <si>
    <t xml:space="preserve">Andersson, Martin; Kinn, Brian H. S.; Kohlhase, Janet E.</t>
  </si>
  <si>
    <t xml:space="preserve">Editorial: developments at the Annals of regional science 2020-2021</t>
  </si>
  <si>
    <t xml:space="preserve">ECONOMIC RESILIENCE</t>
  </si>
  <si>
    <t xml:space="preserve">The editors-in-chief of the Annals of Regional Science offer an overview and analysis of recent developments at the journal from January 2020 through December 2021, a time period hampered by the COVID-19 pandemic. Annal's Impact Factor increased substantially to 2.646 in 2020. Moreover, submissions increased from pre-COVID times. A new development is the shifting of source regions for articles accepted for publication. For the first time, China tied with the USA to lead the distribution of acceptances by country. Special Issues continue to be important components of the journal.</t>
  </si>
  <si>
    <t xml:space="preserve">[Andersson, Martin] Blekinge Inst Technol BTH, Dept Ind Econ, Karlskrona, Sweden; [Andersson, Martin] Swedish Entrepreneurship Forum, Stockholm, Sweden; [Andersson, Martin] Res Inst Ind Econ, Stockholm, Sweden; [Andersson, Martin] Lund Univ, CIRCLE, Lund, Sweden; [Kinn, Brian H. S.] Seoul Natl Univ, Dept Agr Econ &amp; Rural Dev, Seoul, South Korea; [Kohlhase, Janet E.] Univ Houston, Dept Econ, Houston, TX 77004 USA</t>
  </si>
  <si>
    <t xml:space="preserve">Blekinge Institute Technology; Research Institute of Industrial Economics (IFN); Lund University; Seoul National University (SNU); University of Houston System; University of Houston</t>
  </si>
  <si>
    <t xml:space="preserve">Kohlhase, JE (corresponding author), Univ Houston, Dept Econ, Houston, TX 77004 USA.</t>
  </si>
  <si>
    <t xml:space="preserve">jkohlhase@uh.edu</t>
  </si>
  <si>
    <t xml:space="preserve">10.1007/s00168-022-01115-z</t>
  </si>
  <si>
    <t xml:space="preserve">ZJ4UV</t>
  </si>
  <si>
    <t xml:space="preserve">WOS:000754918400001</t>
  </si>
  <si>
    <t xml:space="preserve">Aghazadeh, A; Persson, GR; Stavropoulos, A; Renvert, S</t>
  </si>
  <si>
    <t xml:space="preserve">Aghazadeh, Ahmad; Persson, G. Rutger; Stavropoulos, Andreas; Renvert, Stefan</t>
  </si>
  <si>
    <t xml:space="preserve">Reconstructive treatment of peri-implant defects-Results after three and five years</t>
  </si>
  <si>
    <t xml:space="preserve">bone augmentation; peri-implantitis; reconstructive surgery</t>
  </si>
  <si>
    <t xml:space="preserve">SURGICAL REGENERATIVE TREATMENT; MAINTENANCE THERAPY; PREVENTIVE MAINTENANCE; RESORBABLE MEMBRANE; BONE SUBSTITUTE; DISEASES; LESIONS</t>
  </si>
  <si>
    <t xml:space="preserve">Objectives The aim of this study was to assess the long-term efficacy of reconstructive treatment of peri-implantitis intraosseous defects. Material and Methods Peri-implant intraosseous defects were augmented using either an autogenous bone graft (AB) or a bovine-derived xenograft (BDX) in combination with a collagen membrane. Maintenance was provided every third month. Results In the AB group, 16 patients with 25 implants remained at year five. In the BDX group, 23 patients with 38 implants remained. Between baseline and year 5, bleeding on probing (BOP) and probing pocket depth (PPD) scores were reduced in both groups (p &lt; .001). In the AB and BDX groups, mean PPD between baseline and year five was reduced by 1.7 and 2.8 mm, respectively. The difference between groups was significant (p &lt; .001). In the AB group, the mean bone level change at implant level between baseline and years three and five was-0,2 and -0.7 mm, respectively. In the BDX group, the mean bone level change at implant level between baseline and years three and five was 1.6 and 1.6 mm, respectively. The difference between the groups was significant (p &lt; .001). Successful treatment (no bone loss, no probing pocket depth (PPD) &gt; 5 mm, no suppuration, maximum one implant surface with bleeding on probing (BOP) at year five) was obtained in 9/25 implants (36%) in the AB group and in 29/37 implants (78.3%) in the BDX group. Conclusions Reconstructive surgical treatment of peri-implant defects using BDX resulted in more predictable outcomes than using autogenous bone over 5 years.</t>
  </si>
  <si>
    <t xml:space="preserve">[Aghazadeh, Ahmad] Tand &amp; Implantat Specialistkliniken, Solna, Sweden; [Persson, G. Rutger; Renvert, Stefan] Kristianstad Univ, Dept Oral Sci, Kristianstad, Sweden; [Persson, G. Rutger] Univ Washington, Dept Periodont &amp; Oral Med, Seattle, WA USA; [Stavropoulos, Andreas] Malmo Univ, Dept Periodontol, Malmo, Sweden; [Stavropoulos, Andreas] Univ Geneva, Div Regenerat Dent Med &amp; Periodontol, CUMD, Geneva, Switzerland; [Renvert, Stefan] Blekinge Inst Technol, Karlskrona, Sweden; [Renvert, Stefan] Univ Hong Kong, Fac Dent, Hong Kong, Peoples R China</t>
  </si>
  <si>
    <t xml:space="preserve">Kristianstad University; University of Washington; University of Washington Seattle; Malmo University; University of Geneva; Blekinge Institute Technology; University of Hong Kong</t>
  </si>
  <si>
    <t xml:space="preserve">Renvert, S (corresponding author), Kristianstad Univ, Oral Hlth Sci, S-29188 Kristianstad, Sweden.</t>
  </si>
  <si>
    <t xml:space="preserve">Stavropoulos, Andreas/ABB-8691-2021; Renvert, Stefan/AAM-2415-2020</t>
  </si>
  <si>
    <t xml:space="preserve">Persson, Rutger/0000-0002-7976-3849; Renvert, Stefan/0000-0003-0992-2362</t>
  </si>
  <si>
    <t xml:space="preserve">Hogskolan Kristianstad</t>
  </si>
  <si>
    <t xml:space="preserve">10.1111/clr.13994</t>
  </si>
  <si>
    <t xml:space="preserve">6D7DR</t>
  </si>
  <si>
    <t xml:space="preserve">WOS:000854608700001</t>
  </si>
  <si>
    <t xml:space="preserve">Renvert, S; Berglund, JS; Persson, GR; Söderlin, MK</t>
  </si>
  <si>
    <t xml:space="preserve">Renvert, Stefan; Berglund, Johan Sanmartin; Persson, G. Rutger; Soderlin, Maria K.</t>
  </si>
  <si>
    <t xml:space="preserve">The association between rheumatoid arthritis and periodontal disease in a population-based cross-sectional case-control study</t>
  </si>
  <si>
    <t xml:space="preserve">BMC RHEUMATOLOGY</t>
  </si>
  <si>
    <t xml:space="preserve">Rheumatoid arthritis; Periodontitis; Epidemiology; Smoking</t>
  </si>
  <si>
    <t xml:space="preserve">UNITED-STATES; TOOTH LOSS; CLASSIFICATION; RISK; PREVALENCE; PARAMETERS; INTERPLAY; CRITERIA</t>
  </si>
  <si>
    <t xml:space="preserve">BackgroundThe association between rheumatoid arthritis (RA) and periodontitis remains unclear.MethodsWe studied oral health and periodontitis in a population-based case-control study of individuals with &gt;= 10 remaining teeth &gt;= 61years of age and either with, or without a diagnosis of RA. 126 dentate individuals with RA were recruited together with age-matched control individuals without RA. The control individuals were recruited from the general population from the same city (n=249). A dental examination including a panoramic radiograph was performed on all participants. All individuals with RA were examined and medical records were reviewed by a rheumatologist. In the control group, none of the participants presented with symptoms of RA and their medical records were also negative.ResultsThe RA group included more women (66.7% vs. 55.8%) (p&lt;0.01). Individuals in the RA group had a higher body mass index (BMI) (p&lt;0.001). A diagnosis of periodontitis was more common in the RA group (61.1%) than in the control group (33.7%) (p=0.001). Binary logistic regression analysis identified that a BMI&gt;25 (OR 6.2, 95% CI 3.6, 10.5, p=0.000), periodontitis (OR 2.5 95% CI 1.5, 4.2 p=0.000), and female gender (OR 2.3, 95% CI 1.3-4.0, p=0.003) were associated with RA.ConclusionRA was associated a diagnosis of periodontitis.</t>
  </si>
  <si>
    <t xml:space="preserve">[Renvert, Stefan; Persson, G. Rutger] Kristianstad Univ, Fac Hlth Sci, SE-29188 Kristianstad, Sweden; [Renvert, Stefan; Berglund, Johan Sanmartin] Blekinge Inst Technol, Dept Hlth, SE-37179 Karlskrona, Sweden; [Renvert, Stefan] Trinity Coll Dublin, Sch Dent Sci, Dublin, Ireland; [Renvert, Stefan] Univ Hong Kong, Fac Dent, Hong Kong, Peoples R China; [Persson, G. Rutger] Univ Washington, Dept Periodont, Seattle, WA 98195 USA; [Persson, G. Rutger] Univ Washington, Dept Oral Med, Seattle, WA 98195 USA; [Soderlin, Maria K.] Lund Univ, Dept Clin Sci, Sect Rheumatol, Lund, Sweden</t>
  </si>
  <si>
    <t xml:space="preserve">Kristianstad University; Blekinge Institute Technology; Trinity College Dublin; University of Hong Kong; University of Washington; University of Washington Seattle; University of Washington; University of Washington Seattle; Lund University</t>
  </si>
  <si>
    <t xml:space="preserve">Renvert, S (corresponding author), Kristianstad Univ, Fac Hlth Sci, SE-29188 Kristianstad, Sweden.;Renvert, S (corresponding author), Blekinge Inst Technol, Dept Hlth, SE-37179 Karlskrona, Sweden.;Renvert, S (corresponding author), Trinity Coll Dublin, Sch Dent Sci, Dublin, Ireland.;Renvert, S (corresponding author), Univ Hong Kong, Fac Dent, Hong Kong, Peoples R China.</t>
  </si>
  <si>
    <t xml:space="preserve">Eklund Foundation; Region Blekinge; Crafoord Foundation; Swedish Rheumatism Association; Kristianstad University</t>
  </si>
  <si>
    <t xml:space="preserve">This work was supported by the Eklund Foundation [to SR]; Region Blekinge [to MS]; the Crafoord Foundation [to MS] and the Swedish Rheumatism Association [to MS]. The founding body was not involved in design, analysis or interpretation of data. The funds were used for salaries and analysis of data. Open access funding provided by Kristianstad University.</t>
  </si>
  <si>
    <t xml:space="preserve">2520-1026</t>
  </si>
  <si>
    <t xml:space="preserve">BMC RHEUMATOL</t>
  </si>
  <si>
    <t xml:space="preserve">BMC Rheumatol.</t>
  </si>
  <si>
    <t xml:space="preserve">10.1186/s41927-020-00129-4</t>
  </si>
  <si>
    <t xml:space="preserve">RZ3SE</t>
  </si>
  <si>
    <t xml:space="preserve">WOS:000648516200029</t>
  </si>
  <si>
    <t xml:space="preserve">Pezzotta, G; Arioli, V; Adrodegari, F; Rapaccini, M; Saccani, N; Rakic, S; Marjanovic, U; West, S; Stoll, O; Wiesner, SA; Bertoni, M; Romero, D; Pirola, F; Sala, R; Gaiardelli, P</t>
  </si>
  <si>
    <t xml:space="preserve">Alfnes, E; Romsdal, A; Strandhagen, JO; VonCieminski, G; Romero, D</t>
  </si>
  <si>
    <t xml:space="preserve">Pezzotta, Giuditta; Arioli, Veronica; Adrodegari, Federico; Rapaccini, Mario; Saccani, Nicola; Rakic, Slavko; Marjanovic, Ugljesa; West, Shaun; Stoll, Oliver; Wiesner, Stefan A.; Bertoni, Marco; Romero, David; Pirola, Fabiana; Sala, Roberto; Gaiardelli, Paolo</t>
  </si>
  <si>
    <t xml:space="preserve">The Digital Servitization of Manufacturing Sector: Evidence from a Worldwide Digital Servitization Survey</t>
  </si>
  <si>
    <t xml:space="preserve">ADVANCES IN PRODUCTION MANAGEMENT SYSTEMS. PRODUCTION MANAGEMENT SYSTEMS FOR RESPONSIBLE MANUFACTURING, SERVICE, AND LOGISTICS FUTURES, APMS 2023, PT II</t>
  </si>
  <si>
    <t xml:space="preserve">IFIP WG 5.7 International Conference of the Advances in Production Management Systems (APMS)</t>
  </si>
  <si>
    <t xml:space="preserve">SEP 17-21, 2023</t>
  </si>
  <si>
    <t xml:space="preserve">Norwegian Univ Sci &amp; Tech, Trondheim, NORWAY</t>
  </si>
  <si>
    <t xml:space="preserve">Norwegian Univ Sci &amp; Tech</t>
  </si>
  <si>
    <t xml:space="preserve">Digital Servitization; Survey; Industry 4.0; Product-Service System</t>
  </si>
  <si>
    <t xml:space="preserve">To boost revenues and create a lasting competitive advantage in the present global market, an increasing number of manufacturing companies are experimenting with shifting from product-centric offerings to service solutions leveraging digital technologies according to the Industry 4.0 paradigm. This (digital) transformation, known as Digital Servitization, aims to provide new(digital) services and/or enhance existing ones. Yet, this transformation is challenging and manufacturing companies frequently have trouble meeting their expectations. To shed light on the current state of the Digital Servitization trend in the global manufacturing sector, researchers involved in the ASAP Service Management Forum and the IFIP WG5.7 Special Interest Group on Service Systems Design, Engineering and Management have conducted an international survey targeting manufacturing SME managers. The main survey objectives are twofold: (i) to analyse how manufacturing companies are implementing digital technologies to support their Digital Servitization transformation from traditional business models based on product sales to models focused on service delivery, and (ii) to identify which critical issues and best practices are characterizing the Digital Servitization transformation of manufacturing companies. Survey results have demonstrated a rising trend in the global manufacturing sector towards the use of digital technologies for service delivery, but more mature servitization strategies, data management activities, coordination efforts at the ecosystem level, and supporting tools for conscious decisions in the delivery of (digital) services are still required to succeed in the new Digital Servitization arena.</t>
  </si>
  <si>
    <t xml:space="preserve">[Pezzotta, Giuditta; Arioli, Veronica; Pirola, Fabiana; Sala, Roberto; Gaiardelli, Paolo] Univ Bergamo, Bergamo, Italy; [Adrodegari, Federico; Saccani, Nicola] Univ Brescia, Brescia, Italy; [Rapaccini, Mario] Univ Florence, Florence, Italy; [Rakic, Slavko; Marjanovic, Ugljesa] Univ Novi Sad, Fac Tech Sci, Novi Sad, Serbia; [West, Shaun; Stoll, Oliver] Lucerne Univ Appl Sci &amp; Arts, Luzern, Switzerland; [Wiesner, Stefan A.] BIBA Bremer Inst Prod &amp; Logist GmbH, Bremen, Germany; [Bertoni, Marco] Blekinge Inst Technol, Karlskrona, Sweden; [Romero, David] Tecnol Monterrey, Mexico City, DF, Mexico; [Pezzotta, Giuditta; Arioli, Veronica; Adrodegari, Federico; Rapaccini, Mario; Saccani, Nicola; Pirola, Fabiana; Gaiardelli, Paolo] Res Ctr Innovat &amp; Serv Management Ind Firms ASAP, Florence, Italy</t>
  </si>
  <si>
    <t xml:space="preserve">University of Bergamo; University of Brescia; University of Florence; University of Novi Sad; BIBA - Bremer Institut fur Produktion &amp; Logistik; Blekinge Institute Technology; Tecnologico de Monterrey</t>
  </si>
  <si>
    <t xml:space="preserve">Arioli, V (corresponding author), Univ Bergamo, Bergamo, Italy.;Arioli, V (corresponding author), Res Ctr Innovat &amp; Serv Management Ind Firms ASAP, Florence, Italy.</t>
  </si>
  <si>
    <t xml:space="preserve">giuditta.pezzotta@unibg.it; veronica.arioli@unibg.it; federico.adrodegari@unibs.it; mario.rapaccini@unifi.it; nicola.saccani@unibs.it; slavkorakic@uns.ac.rs; umarjano@uns.ac.rs; shaun.west@hslu.ch; oliver.stoll@hslu.ch; wie@biba.uni-bremen.de; marco.bertoni@bth.se; fabiana.pirola@unibg.it; roberto.sala@unibg.it; paolo.gaiardelli@unibg.it</t>
  </si>
  <si>
    <t xml:space="preserve">Romero, David/GQA-9701-2022; Rapaccini, M/G-3085-2019; Saccani, Nicola/KEH-5062-2024; Rakic, Slavko/AAZ-3524-2020; Stoll, Oliver/AAP-1972-2021; Pezzotta, Giuditta/AAF-2297-2021; Marjanovic, Ugljesa/N-4620-2018; Sala, Roberto/D-8617-2017; West, Shaun/I-3807-2017</t>
  </si>
  <si>
    <t xml:space="preserve">Pezzotta, Giuditta/0000-0001-7983-8356; Marjanovic, Ugljesa/0000-0002-8389-6927; Sala, Roberto/0000-0001-7671-6927; Arioli, Veronica/0000-0001-8013-6597; ADRODEGARI, Federico/0000-0001-7939-4150; West, Shaun/0000-0002-8042-1459; SACCANI, NICOLA/0000-0002-4603-5060; Rapaccini, Mario/0000-0003-4499-0627; Pirola, Fabiana/0000-0003-4633-7568</t>
  </si>
  <si>
    <t xml:space="preserve">978-3-031-43668-0; 978-3-031-43666-6; 978-3-031-43665-9</t>
  </si>
  <si>
    <t xml:space="preserve">10.1007/978-3-031-43666-6_12</t>
  </si>
  <si>
    <t xml:space="preserve">Computer Science, Interdisciplinary Applications; Engineering, Industrial; Engineering, Manufacturing; Operations Research &amp; Management Science</t>
  </si>
  <si>
    <t xml:space="preserve">BY0RV</t>
  </si>
  <si>
    <t xml:space="preserve">WOS:001360251000012</t>
  </si>
  <si>
    <t xml:space="preserve">Sordi, MB; Perrotti, V; Iaculli, F; Pereira, KCR; Magini, RS; Renvert, S; Gattone, SA; Piattelli, A; Bianchini, MA</t>
  </si>
  <si>
    <t xml:space="preserve">Sordi, Mariane B.; Perrotti, Vittoria; Iaculli, Flavia; Pereira, Keila C. R.; Magini, Ricardo S.; Renvert, Stefan; Gattone, Stefano Antonio; Piattelli, Adriano; Bianchini, Marco A.</t>
  </si>
  <si>
    <t xml:space="preserve">Multivariate analysis of the influence of peri-implant clinical parameters and local factors on radiographic bone loss in the posterior maxilla: a retrospective study on 277 dental implants</t>
  </si>
  <si>
    <t xml:space="preserve">Bone loss; Dental implant; Local factors; Peri-implantitis; Posterior maxilla</t>
  </si>
  <si>
    <t xml:space="preserve">LONGITUDINAL DATA-ANALYSIS; RISK INDICATORS; CONSENSUS REPORT; LONG-TERM; MUCOSITIS; HEALTH; ASSESSMENTS; PREVALENCE; ABUTMENTS; WORKSHOP</t>
  </si>
  <si>
    <t xml:space="preserve">Objectives The aim of the present study was to investigate whether peri-implant clinical parameters (modified plaque index (mPI), bleeding and/or suppuration on probing (B/SOP)) and local factors (type of prostheses, screw emergence, platform diameter, and abutment angulation) might contribute to the development of additional bone loss and peri-implantitis around dental implants. Materials and methods Two hundred seventy-seven external hex connection implants placed in the posterior maxilla of 124 patients were retrospectively evaluated. They were divided into two groups: physiologic bone loss &lt; 2 mm (PBL) or additional bone loss &gt;= 2 mm (ABL). GEE logistic regression was applied to evaluate the influence of type of prostheses (implant-supported single crown (ISSC), fixed partial denture (ISFPD), and full denture (ISFD)) and clinical parameters (mPI and S/BOP) on bone loss. Results Among the 277 implants, 159 (57.4%) presented PBL and 118 (42.6%) presented ABL. Within the ABL group, 20.6% implants were diagnosed with peri-implantitis. mPI significantly correlated with the type of prosthesis and the highest value of mPI (index = 3) was observed in ISFD (23.8%). Moreover, peri-implantitis was more frequently associated with ISFD (32.79%) than ISSC and ISFDP (13.79% and 13.48, respectively) Conclusions ISFD in the posterior maxilla presented high rates of ABL and showed a higher prevalence of peri-implantitis. None of the local factors seemed to contribute to the development of these conditions. Further investigations are needed to prospectively support the results of the present study.</t>
  </si>
  <si>
    <t xml:space="preserve">[Sordi, Mariane B.] Univ Fed Santa Catarina, Ctr Res Dent Implants, Florianopolis, SC, Brazil; [Perrotti, Vittoria; Piattelli, Adriano] Univ G dAnnunzio, Dept Med Oral &amp; Biotechnol Sci DSMOB, Via Vestini 31, I-66100 Chieti, Italy; [Iaculli, Flavia] Univ Naples Federico II, Dept Neurosci &amp; Reprod &amp; Odontostomatol Sci, Naples, Italy; [Pereira, Keila C. R.] Univ South Santa Catarina, Publ Hlth Sci, Tubarao, Brazil; [Magini, Ricardo S.; Bianchini, Marco A.] Univ Fed Santa Catarina, Ctr Res Dent Implants, Dept Dent, Perio Implantol, Florianopolis, SC, Brazil; [Renvert, Stefan] Kristianstad Univ, Sch Dent, Oral Hlth Sci, Kristianstad, Sweden; [Renvert, Stefan] Trinity Coll Dublin, Dublin Dent Hosp, Dublin, Ireland; [Renvert, Stefan] Blekinge Inst Technol, Karlskrona, Sweden; [Gattone, Stefano Antonio] Univ G dAnnunzio, Dept Philosoph Pedag &amp; Econ Quantitat Sci DiSFPEQ, Chieti, Italy; [Piattelli, Adriano] Catholic Univ Murcia UCAM, Biomat Engn, Murcia, Spain; [Piattelli, Adriano] Villaserena Fdn Res, Pescara, Italy</t>
  </si>
  <si>
    <t xml:space="preserve">Universidade Federal de Santa Catarina (UFSC); G d'Annunzio University of Chieti-Pescara; University of Naples Federico II; Universidade do Sul de Santa Catarina; Universidade Federal de Santa Catarina (UFSC); Kristianstad University; Trinity College Dublin; Blekinge Institute Technology; G d'Annunzio University of Chieti-Pescara; Universidad Catolica de Murcia</t>
  </si>
  <si>
    <t xml:space="preserve">Perrotti, V (corresponding author), Univ G dAnnunzio, Dept Med Oral &amp; Biotechnol Sci DSMOB, Via Vestini 31, I-66100 Chieti, Italy.</t>
  </si>
  <si>
    <t xml:space="preserve">v.perrotti@unich.it</t>
  </si>
  <si>
    <t xml:space="preserve">Magini, Ricardo/N-3527-2017; GATTONE, STEFANO/ABG-5452-2020; Renvert, Stefan/AAM-2415-2020; Bianchini, Marco/HRE-1764-2023; perrotti, vittoria/L-1028-2016</t>
  </si>
  <si>
    <t xml:space="preserve">GATTONE, STEFANO ANTONIO/0000-0002-6143-9012; perrotti, vittoria/0000-0001-7652-1660; Sordi, Mariane/0000-0001-7873-0765</t>
  </si>
  <si>
    <t xml:space="preserve">Universita degli Studi G. D'Annunzio Chieti Pescara within the CRUI-CARE Agreement; Center for Research on Dental Implants, Federal University of Santa Catarina, Brazil</t>
  </si>
  <si>
    <t xml:space="preserve">Open access funding provided by Universita degli Studi G. D'Annunzio Chieti Pescara within the CRUI-CARE Agreement. The work was supported by the Center for Research on Dental Implants, Federal University of Santa Catarina, Brazil.</t>
  </si>
  <si>
    <t xml:space="preserve">10.1007/s00784-020-03666-x</t>
  </si>
  <si>
    <t xml:space="preserve">SF3ON</t>
  </si>
  <si>
    <t xml:space="preserve">WOS:000587111100001</t>
  </si>
  <si>
    <t xml:space="preserve">Andersson, M; Kim, HS; Kohlhase, J</t>
  </si>
  <si>
    <t xml:space="preserve">Andersson, Martin; Kim, Hong Sok; Kohlhase, Janet</t>
  </si>
  <si>
    <t xml:space="preserve">Editorial Annals of Regional Science</t>
  </si>
  <si>
    <t xml:space="preserve">ECONOMIC RESILIENCE; IMPACT</t>
  </si>
  <si>
    <t xml:space="preserve">[Andersson, Martin] Blekinge Inst Technol BTH, Dept Ind Econ, Karlskrona, Sweden; [Andersson, Martin] Swedish Entrepreneurship Forum, Stockholm, Sweden; [Andersson, Martin] Res Inst Ind Econ, Stockholm, Sweden; [Andersson, Martin] Lund Univ, CIRCLE, Lund, Sweden; [Kim, Hong Sok] Seoul Natl Univ, Dept Agr Econ &amp; Rural Dev, Seoul, South Korea; [Kohlhase, Janet] Univ Houston, Dept Econ, Houston, TX USA</t>
  </si>
  <si>
    <t xml:space="preserve">Andersson, M (corresponding author), Blekinge Inst Technol BTH, Dept Ind Econ, Karlskrona, Sweden.;Andersson, M (corresponding author), Swedish Entrepreneurship Forum, Stockholm, Sweden.;Andersson, M (corresponding author), Res Inst Ind Econ, Stockholm, Sweden.;Andersson, M (corresponding author), Lund Univ, CIRCLE, Lund, Sweden.</t>
  </si>
  <si>
    <t xml:space="preserve">martin.andersson@bth.se</t>
  </si>
  <si>
    <t xml:space="preserve">10.1007/s00168-019-00970-7</t>
  </si>
  <si>
    <t xml:space="preserve">KI9TB</t>
  </si>
  <si>
    <t xml:space="preserve">WOS:000511700000001</t>
  </si>
  <si>
    <t xml:space="preserve">Söderlin, MK; Persson, GR; Renvert, S; Berglund, JS</t>
  </si>
  <si>
    <t xml:space="preserve">Soderlin, Maria K.; Persson, Gosta Rutger; Renvert, Stefan; Sanmartin Berglund, Johan</t>
  </si>
  <si>
    <t xml:space="preserve">Cytokines in gingival crevicular fluid in elderly rheumatoid arthritis patients in a population-based cross-sectional study: RANTES was associated with periodontitis</t>
  </si>
  <si>
    <t xml:space="preserve">JOURNAL OF PERIODONTAL RESEARCH</t>
  </si>
  <si>
    <t xml:space="preserve">cytokines; gingival crevicular fluid; periodontitis; rheumatoid arthritis</t>
  </si>
  <si>
    <t xml:space="preserve">Objective We studied cytokines in gingival crevicular fluid (GCF) in a cross-sectional population-based cohort of rheumatoid arthritis (RA) patients &gt;= 61 years of age with and without a diagnosis of periodontitis. Background data Earlier studies on cytokines in GCF in RA patients have not given clear results. Methods In a population-based cross-sectional study of patients &gt;= 61 years of age, 233 RA patients were identified. 132 (57%) dentate RA patients participated. All participants received rheumatological and dental examinations, and had a panoramic radiograph taken. GCF was sampled on each patient. Interleukins 1-beta (IL-1 beta), IL-4, IL-6, IL-10, IL-17A, tumor necrosis factor alpha (TNF-alpha), interferon gamma (IFN-gamma), and chemokines RANTES/CCL5, eotaxin and monocyte chemoattractant protein (MCP-1) were analyzed in GCF. These cytokines were stratified for periodontitis, age, gender, body mass index (BMI), smoking, and anti-cyclic citrullinated protein (anti-CCP) status. Binary logistic regression analyses with periodontitis as outcome were performed adjusting for the above mentioned confounding factors including anti-rheumatic medication, disease duration and the cytokine in question. Results Periodontitis was diagnosed in 80/132 (61%) of study participants. The 110 RA patients not participating were older, had a higher mean erythrocyte sedimentation rate (ESR), had a higher mean DAS28ESR (Disease Activity Score 28 using ESR) and were less often on biologic treatment. Only RANTES was associated with periodontitis (p = .049, OR 1.001, 95% CI 1.000-1.002) in the binary logistic regression analyses. Conclusion In this population-based elderly RA cohort, neither pro-inflammatory nor anti-inflammatory cytokines in GCF were clearly associated with a diagnosis of periodontitis.</t>
  </si>
  <si>
    <t xml:space="preserve">[Soderlin, Maria K.] Lund Univ, Rheumatol Sect, Dept Clin Sci, Lund, Sweden; [Persson, Gosta Rutger] Univ Washington, Dept Periodont, Seattle, WA 98195 USA; [Persson, Gosta Rutger] Univ Washington, Dept Oral Med, Seattle, WA 98195 USA; [Renvert, Stefan] Kristianstad Univ, Fac Hlth Sci, Kristianstad, Sweden; [Renvert, Stefan; Sanmartin Berglund, Johan] Blekinge Inst Technol, Dept Hlth, Karlskrona, Sweden; [Renvert, Stefan] Trinity Coll Dublin, Sch Dent Sci, Dublin, Ireland; [Renvert, Stefan] Univ Hong Kong, Fac Dent, Hong Kong, Peoples R China</t>
  </si>
  <si>
    <t xml:space="preserve">Lund University; University of Washington; University of Washington Seattle; University of Washington; University of Washington Seattle; Kristianstad University; Blekinge Institute Technology; Trinity College Dublin; University of Hong Kong</t>
  </si>
  <si>
    <t xml:space="preserve">Söderlin, MK (corresponding author), Valkovuokonkaari 9 E 18, Porvoo 06100, Finland.</t>
  </si>
  <si>
    <t xml:space="preserve">maria.kristiina.soderlin@pp.inet.fi</t>
  </si>
  <si>
    <t xml:space="preserve">Persson, Rutger/0000-0002-7976-3849</t>
  </si>
  <si>
    <t xml:space="preserve">Region Blekinge; Eklund Foundation; Crafoordska Stiftelsen; Swedish Rheumatism Association</t>
  </si>
  <si>
    <t xml:space="preserve">0022-3484</t>
  </si>
  <si>
    <t xml:space="preserve">1600-0765</t>
  </si>
  <si>
    <t xml:space="preserve">J PERIODONTAL RES</t>
  </si>
  <si>
    <t xml:space="preserve">J. Periodont. Res.</t>
  </si>
  <si>
    <t xml:space="preserve">10.1111/jre.12887</t>
  </si>
  <si>
    <t xml:space="preserve">UM5JE</t>
  </si>
  <si>
    <t xml:space="preserve">WOS:000647324300001</t>
  </si>
  <si>
    <t xml:space="preserve">Kim, BHS; Andersson, M; Kohlhase, J</t>
  </si>
  <si>
    <t xml:space="preserve">Kim, Brian H. S.; Andersson, Martin; Kohlhase, Janet</t>
  </si>
  <si>
    <t xml:space="preserve">Reflecting on a dynamic biennium: The Annals of Regional Science 2022-2023</t>
  </si>
  <si>
    <t xml:space="preserve">R0; Q0; H0; J0; O0; Y9</t>
  </si>
  <si>
    <t xml:space="preserve">The 2024 editorial update of The Annals of Regional Science reaffirms the journal's dedication to transparency and scholarly excellence in the field of regional science. Despite the challenges posed by the pandemic, the journal has demonstrated resilience and continued to serve as a pivotal platform for scholarly discourse. This update highlights the journal's recent milestones, including changes to the editorial board with new members bringing fresh perspectives to drive the journal's mission forward. The editorial discusses the journal's performance, encompassing its impact factor and the diverse range of topics covered, emphasizing its role in advancing research aligned with Sustainable Development Goals, particularly SDG 8. The ARSC continues to evolve, embracing changes that reflect current trends and maintaining its influence in the academic community.</t>
  </si>
  <si>
    <t xml:space="preserve">[Kim, Brian H. S.] Seoul Natl Univ, Res Inst Agr &amp; Life Sci, Dept Agr Econ &amp; Rural Dev, Program Agr &amp; Forest Meteorol, Seoul, South Korea; [Andersson, Martin] Blekinge Inst Technol BTH, Dept Ind Econ, Karlskrona, Sweden; [Andersson, Martin] Swedish Entrepreneurship Forum, Stockholm, Sweden; [Andersson, Martin] Res Inst Ind Econ, Stockholm, Sweden; [Andersson, Martin] Lund Univ, CIRCLE, Lund, Sweden; [Kohlhase, Janet] Univ Houston, Dept Econ, Houston, TX USA</t>
  </si>
  <si>
    <t xml:space="preserve">Seoul National University (SNU); Blekinge Institute Technology; Research Institute of Industrial Economics (IFN); Lund University; University of Houston System; University of Houston</t>
  </si>
  <si>
    <t xml:space="preserve">Kim, BHS (corresponding author), Seoul Natl Univ, Res Inst Agr &amp; Life Sci, Dept Agr Econ &amp; Rural Dev, Program Agr &amp; Forest Meteorol, Seoul, South Korea.</t>
  </si>
  <si>
    <t xml:space="preserve">briankim66@snu.ac.kr</t>
  </si>
  <si>
    <t xml:space="preserve">10.1007/s00168-024-01262-5</t>
  </si>
  <si>
    <t xml:space="preserve">LV3D1</t>
  </si>
  <si>
    <t xml:space="preserve">WOS:001186127200001</t>
  </si>
  <si>
    <t xml:space="preserve">El-Fouly, FH; Khedr, AY; Sharif, MH; Alreshidi, EJ; Yadav, K; Kusetogullari, H; Ramadan, RA</t>
  </si>
  <si>
    <t xml:space="preserve">El-Fouly, Fatma H.; Khedr, Ahmed Y.; Sharif, Md Haidar; Alreshidi, Eissa Jaber; Yadav, Kusum; Kusetogullari, Huseyin; Ramadan, Rabie A.</t>
  </si>
  <si>
    <t xml:space="preserve">ERCP: Energy-Efficient and Reliable-Aware Clustering Protocol for Wireless Sensor Networks</t>
  </si>
  <si>
    <t xml:space="preserve">wireless sensor networks; clustering; routing; reliability; energy balance</t>
  </si>
  <si>
    <t xml:space="preserve">ROUTING PROTOCOL; ALGORITHM</t>
  </si>
  <si>
    <t xml:space="preserve">Wireless Sensor Networks (WSNs) have been around for over a decade and have been used in many important applications. Energy and reliability are two of the major problems with these kinds of applications. Reliable data delivery is an important issue in WSNs because it is a key part of how well data are sent. At the same time, energy consumption in battery-based sensors is another challenge. Therefore, efficient clustering and routing are techniques that can be used to save sensors energy and guarantee reliable message delivery. With this in mind, this paper develops an energy-efficient and reliable clustering protocol (ERCP) for WSNs. First, an efficient clustering technique is proposed for sensor nodes' energy savings considering different clustering parameters, including the link quality metric, the energy, the distance to neighbors, the distance to the sink node, and the cluster load metric. The proposed routing protocol works based on the concept of a reliable inter-cluster routing technique that saves energy. The routing decisions are made based on different parameters, such as the energy balance metric, the distance to the sink node, and the wireless link quality. Many experiments and analyses are examined to determine how well the ERCP performs. The experiment results showed that the ECRP protocol performs much better than some of the recent algorithms in both homogeneous and heterogeneous networks.</t>
  </si>
  <si>
    <t xml:space="preserve">[El-Fouly, Fatma H.] El Shorouk Acad, Higher Inst Engn, Dept Commun &amp; Comp Engn, El Shorouk City 11837, Egypt; [Khedr, Ahmed Y.; Sharif, Md Haidar; Alreshidi, Eissa Jaber; Yadav, Kusum; Ramadan, Rabie A.] Univ Hail, Coll Comp Sci &amp; Engn, Hail 8650, Saudi Arabia; [Khedr, Ahmed Y.] Al Azhar Univ, Fac Engn, Syst &amp; Comp Engn Dept, Cairo 11651, Egypt; [Sharif, Md Haidar] Univ Agder, Dept ICT, N-4630 Kristiansand, Norway; [Kusetogullari, Huseyin] Blekinge Inst Technol, Dept Comp Sci, S-37141 Karlskrona, Sweden; [Ramadan, Rabie A.] Cairo Univ, Fac Engn, Comp Engn Dept, Giza 12613, Egypt</t>
  </si>
  <si>
    <t xml:space="preserve">El Shorouk Academy; University Ha'il; Egyptian Knowledge Bank (EKB); Al Azhar University; University of Agder; Blekinge Institute Technology; Egyptian Knowledge Bank (EKB); Cairo University</t>
  </si>
  <si>
    <t xml:space="preserve">El-Fouly, FH (corresponding author), El Shorouk Acad, Higher Inst Engn, Dept Commun &amp; Comp Engn, El Shorouk City 11837, Egypt.;Ramadan, RA (corresponding author), Univ Hail, Coll Comp Sci &amp; Engn, Hail 8650, Saudi Arabia.;Ramadan, RA (corresponding author), Cairo Univ, Fac Engn, Comp Engn Dept, Giza 12613, Egypt.</t>
  </si>
  <si>
    <t xml:space="preserve">fatma_elfoly@yahoo.com; rabie@rabieramadan.org</t>
  </si>
  <si>
    <t xml:space="preserve">Sharif, Haidar/AAR-6783-2021; Kusetogullari, Huseyin/IAQ-0788-2023; Khedr, Ahmed/JXN-4885-2024; Yadav, Kusum/AAR-2008-2021; Ramadan, Rabie/H-9543-2016; Sharif, Md. Haidar/F-6480-2015</t>
  </si>
  <si>
    <t xml:space="preserve">, fatma/0000-0001-7949-4215; Y. Khedr, Ahmed/0000-0003-4880-6698; Yadav, Kusum/0000-0002-6658-6839; Ramadan, Rabie/0000-0002-0281-9381; Sharif, Md. Haidar/0000-0001-7235-6004; Kusetogullari, Huseyin/0000-0001-5762-6678</t>
  </si>
  <si>
    <t xml:space="preserve">Scientific Research Deanship at the University of Ha'il, Saudi Arabia [RG-20 147]</t>
  </si>
  <si>
    <t xml:space="preserve">Scientific Research Deanship at the University of Ha'il, Saudi Arabia(University of HailMajmaah University)</t>
  </si>
  <si>
    <t xml:space="preserve">This research was funded by the Scientific Research Deanship at the University of Ha'il, Saudi Arabia, through project number RG-20 147.</t>
  </si>
  <si>
    <t xml:space="preserve">10.3390/s22228950</t>
  </si>
  <si>
    <t xml:space="preserve">6K5GC</t>
  </si>
  <si>
    <t xml:space="preserve">WOS:000887529400001</t>
  </si>
  <si>
    <t xml:space="preserve">Orlandi, LB; Pocek, J; Kraus, S; Zardini, A; Rossignoli, C</t>
  </si>
  <si>
    <t xml:space="preserve">Orlandi, Ludovico Bullini; Pocek, Jasna; Kraus, Sascha; Zardini, Alessandro; Rossignoli, Cecilia</t>
  </si>
  <si>
    <t xml:space="preserve">Digital workers' ' stress: The role of digital creativity in the future jobs</t>
  </si>
  <si>
    <t xml:space="preserve">JOURNAL OF INNOVATION &amp; KNOWLEDGE</t>
  </si>
  <si>
    <t xml:space="preserve">Future of work; Remote work; Digital creativity; Remote work self-efficacy; Remote work stress</t>
  </si>
  <si>
    <t xml:space="preserve">SELF-EFFICACY; REMOTE WORK; OCCUPATIONAL STRESS; RESOURCES; KNOWLEDGE; METAANALYSIS; TECHNOLOGY; TELEWORK; SKILLS</t>
  </si>
  <si>
    <t xml:space="preserve">The relationship between remote work and employee well-being represents a longstanding debate in the management literature, and it has been rekindled by the remote work adoption forced by COVID-19 lock- downs. Previous literature has shown that remote working can enhance flexibility and work-life balance under certain conditions. However, it can also be a source of increased stress, burnout, and greater work-to- family conflicts. The adverse effects are particularly relevant when remote work adoption is imposed by external conditions for both employees willing to adopt it and those who feel less comfortable with it. This study contributes to the debate by surveying 471 employees forced into remote work adoption because of COVID-19 lockdowns and by pinpointing three individual-level job resources that can affect stress in such a context. In particular, it shows that future of work job components are not a source of stress, as suggested by recent research, but a critical antecedent of remote working self-efficacy and a source of creativity in leveraging digital technologies in such a context. (c) 2024 The Authors. Published by Elsevier Espa &amp; ntilde;a, S.L.U. on behalf of Journal of Innovation &amp; Knowledge. This is an open access article under the CC BY-NC-ND license (http://creativecommons.org/licenses/by-nc-nd/4.0/)</t>
  </si>
  <si>
    <t xml:space="preserve">[Orlandi, Ludovico Bullini] Univ Bologna, Dept Management, Via Capo Lucca 34, I-40126 Bologna, Italy; [Pocek, Jasna] Univ Florence, Dept Econ &amp; Management, I-50124 Florence, Italy; [Pocek, Jasna] Blekinge Inst Technol, Valhallavagen 1, S-37141 Karlskrona, Sweden; [Pocek, Jasna] Lund Univ, CIRCLE, Solvegatan 16, S-22362 Lund, Sweden; [Kraus, Sascha] Free Univ Bozen Bolzano, Fac Econ &amp; Management, Piazza Univ 1, I-39100 Bolzano, Italy; [Kraus, Sascha] Univ Johannesburg, Dept Business Management, Johannesburg, South Africa; [Zardini, Alessandro; Rossignoli, Cecilia] Univ Verona, Dept Business Adm, Via Cantarane 24, I-37129 Verona, Italy</t>
  </si>
  <si>
    <t xml:space="preserve">University of Bologna; University of Florence; Blekinge Institute Technology; Lund University; Free University of Bozen-Bolzano; University of Johannesburg; University of Verona</t>
  </si>
  <si>
    <t xml:space="preserve">Kraus, S (corresponding author), Free Univ Bozen Bolzano, Fac Econ &amp; Management, Piazza Univ 1, I-39100 Bolzano, Italy.</t>
  </si>
  <si>
    <t xml:space="preserve">Orlandi, Ludovico/E-5999-2017; rossignoli, cecilia/K-1196-2015; Kraus, Sascha/HCH-3626-2022; Zardini, Alessandro/J-8400-2014</t>
  </si>
  <si>
    <t xml:space="preserve">Pocek, Jasna/0000-0002-6362-2320; Kraus, Sascha/0000-0003-4886-7482; Zardini, Alessandro/0000-0002-2598-9877</t>
  </si>
  <si>
    <t xml:space="preserve">ELSEVIER ESPANA</t>
  </si>
  <si>
    <t xml:space="preserve">MADRID</t>
  </si>
  <si>
    <t xml:space="preserve">CALLE DE ZURBANO, 76-4TH FLR LEFT, MADRID, 28010, SPAIN</t>
  </si>
  <si>
    <t xml:space="preserve">2530-7614</t>
  </si>
  <si>
    <t xml:space="preserve">2444-569X</t>
  </si>
  <si>
    <t xml:space="preserve">J INNOV KNOWL</t>
  </si>
  <si>
    <t xml:space="preserve">J. Innov. Knowl.</t>
  </si>
  <si>
    <t xml:space="preserve">10.1016/j.jik.2024.100492</t>
  </si>
  <si>
    <t xml:space="preserve">C7D1H</t>
  </si>
  <si>
    <t xml:space="preserve">WOS:001290928800001</t>
  </si>
  <si>
    <t xml:space="preserve">Adel-Khattab, D; Montero, E; Herrera, D; Zhao, D; Jin, LJ; Al-Shaikh, Z; Renvert, S; Meyle, J</t>
  </si>
  <si>
    <t xml:space="preserve">Adel-Khattab, Doaa; Montero, Eduardo; Herrera, David; Zhao, Dan; Jin, Lijian; Al-Shaikh, Zahra; Renvert, Stefan; Meyle, Joerg</t>
  </si>
  <si>
    <t xml:space="preserve">Evaluation of the FDI Chairside Guide for Assessment of Periodontal Conditions: A Multicentre Observational Study</t>
  </si>
  <si>
    <t xml:space="preserve">INTERNATIONAL DENTAL JOURNAL</t>
  </si>
  <si>
    <t xml:space="preserve">FDI; Chairside guide; Gingivitis; Periodontitis; Score system; Disease severity</t>
  </si>
  <si>
    <t xml:space="preserve">PERI-IMPLANT DISEASES; PROBING ATTACHMENT LOSS; SELF-REPORTED MEASURES; 2017 WORLD WORKSHOP; CONSENSUS REPORT; CLASSIFICATION; SURVEILLANCE; HEALTH; PLAQUE; SUPPURATION</t>
  </si>
  <si>
    <t xml:space="preserve">Objective: There is a need to develop easy-to-use tools to screen for periodontal conditions in daily practice. This study aimed to evaluate the FDI World Dental Federation Chairside Guide (FDI-CG) developed by the Task Team of the FDI Global Periodontal Health Project (GPHP) as a potential tool for screening. Methods: Databases from 3 centres in Germany, Hong Kong, and Spain (n = 519) were used to evaluate the association of the FDI-CG and its individual items with the periodontitis case definitions proposed by the Centers for Disease Control and Prevention (CDC) and the American Academy of Periodontology (AAP) for population-based surveillance of periodontitis. Results: Statistically significant differences were observed among the databases for the prevalence of periodontitis and the items included in the FDI-CG. The FDI-CG score and its individual components were significantly associated with the periodontal status in the individual databases and the total sample, with bleeding on probing showing the strongest association with severe periodontitis (odds ratio [OR] = 12.9, 95% CI [5.9; 28.0], P &lt;.001, for those presenting bleeding on probing &gt;50%), followed by age (OR = 4.8, 95% CI [1.7; 4.2], P =.004, for those older than 65 years of age). Those subjects with a FDI-CG score &gt;10 had an OR of 54.0 (95% CI [23.5; 124.2], P &lt;.001) and presented with severe periodontitis. A significant correlation was found between the different FDI-CG scoring categories (mild, moderate, and severe) and the categories for mild, moderate, and severe periodontitis using the Centers for Disease Control and Prevention and the American Academy of Periodontology criteria (r = 0.57, Spearman rank correlation test, P &lt;.001). Conclusion: The FDI Chairside Guide may represent a suitable tool for screening the periodontal condition by general practitioners in daily dental practice. (C) 2020 The Authors. Published by Elsevier Inc. on behalf of FDI World Dental Federation.</t>
  </si>
  <si>
    <t xml:space="preserve">[Adel-Khattab, Doaa] Ain Shams Univ, Dept Oral Med Periodontol &amp; Diag, Fac Dent, Cairo, Egypt; [Adel-Khattab, Doaa; Al-Shaikh, Zahra; Meyle, Joerg] Univ Giessen, Zentrum Zahn Mund &amp; Kieferheilkunde, Dept Periodontol, Giessen, Germany; [Montero, Eduardo; Herrera, David] Univ Complutense Madrid, Etiol &amp; Res Periodontal &amp; Peri Implant Dis ETEP, Madrid, Spain; [Zhao, Dan; Jin, Lijian] Univ Hong Kong, Div Periodontol &amp; Implant Dent, Fac Dent, Hong Kong, Peoples R China; [Renvert, Stefan] Kristianstad Univ, Fac Hlth Sci, Kristianstad, Sweden; [Renvert, Stefan] Blekinge Inst Technol, Dept Hlth, Karlskrona, Sweden</t>
  </si>
  <si>
    <t xml:space="preserve">Egyptian Knowledge Bank (EKB); Ain Shams University; Justus Liebig University Giessen; Complutense University of Madrid; University of Hong Kong; Kristianstad University; Blekinge Institute Technology</t>
  </si>
  <si>
    <t xml:space="preserve">Montero, E (corresponding author), Fac Odontol, Plaza Ramon y Cajal S-N,Ciudad Univ, Madrid 28040, Spain.</t>
  </si>
  <si>
    <t xml:space="preserve">eduardomonterosolis@ucm.es</t>
  </si>
  <si>
    <t xml:space="preserve">Renvert, Stefan/AAM-2415-2020; Meyle, Joerg/JUV-6143-2023; Montero, Eduardo/G-7972-2017; Zhao, Dan/LIR-1489-2024</t>
  </si>
  <si>
    <t xml:space="preserve">Zhao, Dan/0000-0002-0037-1464; Meyle, Joerg/0000-0003-0495-6926</t>
  </si>
  <si>
    <t xml:space="preserve">Procter Gamble</t>
  </si>
  <si>
    <t xml:space="preserve">Procter Gamble(Procter &amp; Gamble)</t>
  </si>
  <si>
    <t xml:space="preserve">The authors express their gratitude to FDI World Dental Federation for developing and launching its Global Periodontal Health Project (GPHP) that is currently supported by Procter &amp; Gamble. The authors also thank Miss C. Scheibelhut for her valuable support in the statistical analysis of the German data, and Rachael England from the FDI Head Office in Geneva for her excellent support in the GPHP.</t>
  </si>
  <si>
    <t xml:space="preserve">0020-6539</t>
  </si>
  <si>
    <t xml:space="preserve">1875-595X</t>
  </si>
  <si>
    <t xml:space="preserve">INT DENT J</t>
  </si>
  <si>
    <t xml:space="preserve">Int. Dent. J.</t>
  </si>
  <si>
    <t xml:space="preserve">10.1016/j.identj.2020.12.024</t>
  </si>
  <si>
    <t xml:space="preserve">WB5HV</t>
  </si>
  <si>
    <t xml:space="preserve">WOS:000703603700007</t>
  </si>
  <si>
    <t xml:space="preserve">Kebande, VR; Awaysheh, FM; Ikuesan, RA; Alawadi, SA; Alshehri, MD</t>
  </si>
  <si>
    <t xml:space="preserve">Kebande, Victor R.; Awaysheh, Feras M.; Ikuesan, Richard A.; Alawadi, Sadi A.; Alshehri, Mohammad Dahman</t>
  </si>
  <si>
    <t xml:space="preserve">A Blockchain-Based Multi-Factor Authentication Model for a Cloud-Enabled Internet of Vehicles</t>
  </si>
  <si>
    <t xml:space="preserve">blockchain; multi-factor authentication; access control; Internet of Vehicles; cloud-enabled systems</t>
  </si>
  <si>
    <t xml:space="preserve">WIRELESS SENSOR NETWORKS; ACCESS-CONTROL; EFFICIENT AUTHENTICATION; SCHEME; IOT; SECURITY; OPTIMIZATION; CHALLENGES; FRAMEWORK</t>
  </si>
  <si>
    <t xml:space="preserve">Continuous and emerging advances in Information and Communication Technology (ICT) have enabled Internet-of-Things (IoT)-to-Cloud applications to be induced by data pipelines and Edge Intelligence-based architectures. Advanced vehicular networks greatly benefit from these architectures due to the implicit functionalities that are focused on realizing the Internet of Vehicle (IoV) vision. However, IoV is susceptible to attacks, where adversaries can easily exploit existing vulnerabilities. Several attacks may succeed due to inadequate or ineffective authentication techniques. Hence, there is a timely need for hardening the authentication process through cutting-edge access control mechanisms. This paper proposes a Blockchain-based Multi-Factor authentication model that uses an embedded Digital Signature (MFBC_eDS) for vehicular clouds and Cloud-enabled IoV. Our proposed MFBC_eDS model consists of a scheme that integrates the Security Assertion Mark-up Language (SAML) to the Single Sign-On (SSO) capabilities for a connected edge to cloud ecosystem. MFBC_eDS draws an essential comparison with the baseline authentication scheme suggested by Karla and Sood. Based on the foundations of Karla and Sood's scheme, an embedded Probabilistic Polynomial-Time Algorithm (ePPTA) and an additional Hash function for the P-i generated during Karla and Sood's authentication were proposed and discussed. The preliminary analysis of the proposition shows that the approach is more suitable to counter major adversarial attacks in an IoV-centered environment based on the Dolev-Yao adversarial model while satisfying aspects of the Confidentiality, Integrity, and Availability (CIA) triad.</t>
  </si>
  <si>
    <t xml:space="preserve">[Kebande, Victor R.] Lulea Univ Technol, Dept Comp Sci Elect &amp; Space Engn, S-97187 Lulea, Sweden; [Kebande, Victor R.] Blekinge Inst Technol, Dept Comp Sci DIDA, S-37179 Karlskrona, Sweden; [Awaysheh, Feras M.] Tartu Univ, Inst Comp Sci, Data Syst Res Grp, EE-51009 Tartu, Estonia; [Ikuesan, Richard A.] Community Coll Qatar, Cyber &amp; Network Secur Dept, Doha 00974, Qatar; [Alawadi, Sadi A.] Uppsala Univ, Dept Informat Technol, S-75236 Uppsala, Sweden; [Alshehri, Mohammad Dahman] Taif Univ, Coll Comp &amp; Informat Technol, Dept Comp Sci, POB 11099, At Taif 21944, Saudi Arabia</t>
  </si>
  <si>
    <t xml:space="preserve">Lulea University of Technology; Blekinge Institute Technology; University of Tartu; Uppsala University; Taif University</t>
  </si>
  <si>
    <t xml:space="preserve">Awaysheh, FM (corresponding author), Tartu Univ, Inst Comp Sci, Data Syst Res Grp, EE-51009 Tartu, Estonia.</t>
  </si>
  <si>
    <t xml:space="preserve">victor.kebande@ltu.se; feras.awaysheh@ut.ee; richard.ikuesan@ccq.edu.qa; sadi.alawadi@ituu.se; alshehri@tmedu.sa</t>
  </si>
  <si>
    <t xml:space="preserve">alawadi, sadi/Q-8576-2016; Awaysheh, Feras/AAG-7301-2019; Ikuesan, Adeyemi/D-2583-2018; Alshehri, Mohammad/E-1382-2018; R. Kebande, Victor/F-3934-2019</t>
  </si>
  <si>
    <t xml:space="preserve">Alawadi, Sadi/0000-0002-6309-2892; R. Kebande, Victor/0000-0003-4071-4596; Ikuesan, Richard Adeyemi/0000-0001-7355-2314</t>
  </si>
  <si>
    <t xml:space="preserve">European Regional Development Funds via the Mobilitas Plus programme [MOBTT75]; Taif University, Taif, Saudi Arabia [TURSP-2020/126]</t>
  </si>
  <si>
    <t xml:space="preserve">European Regional Development Funds via the Mobilitas Plus programme; Taif University, Taif, Saudi Arabia(Taif University)</t>
  </si>
  <si>
    <t xml:space="preserve">This work was partially funded by the European Regional Development Funds via the Mobilitas Plus programme (Grant No. MOBTT75). In addition, the work received funding from Taif University Researchers Supporting Project number (TURSP-2020/126), Taif University, Taif, Saudi Arabia.</t>
  </si>
  <si>
    <t xml:space="preserve">10.3390/s21186018</t>
  </si>
  <si>
    <t xml:space="preserve">UX8CV</t>
  </si>
  <si>
    <t xml:space="preserve">WOS:000701067400001</t>
  </si>
  <si>
    <t xml:space="preserve">Boerstler, J; Bennin, KE; Hooshangi, S; Jeuring, J; Keuning, H; Kleiner, C; Mackellar, B; Duran, R; Stoerrle, H; Toll, D; van Assema, J</t>
  </si>
  <si>
    <t xml:space="preserve">Boerstler, Juergen; Bennin, Kwabena; Hooshangi, Sara; Jeuring, Johan; Keuning, Hieke; Kleiner, Carsten; Mackellar, Bonnie; Duran, Rodrigo; Stoerrle, Harald; Toll, Daniel; van Assema, Jelle</t>
  </si>
  <si>
    <t xml:space="preserve">Developers talking about code quality</t>
  </si>
  <si>
    <t xml:space="preserve">Code quality; Semi-structured interviews; Software development; Source code properties; Quality perception</t>
  </si>
  <si>
    <t xml:space="preserve">There are many aspects of code quality, some of which are difficult to capture or to measure. Despite the importance of software quality, there is a lack of commonly accepted measures or indicators for code quality that can be linked to quality attributes. We investigate software developers' perceptions of source code quality and the practices they recommend to achieve these qualities. We analyze data from semi-structured interviews with 34 professional software developers, programming teachers and students from Europe and the U.S. For the interviews, participants were asked to bring code examples to exemplify what they consider good and bad code, respectively. Readability and structure were used most commonly as defining properties for quality code. Together with documentation, they were also suggested as the most common target properties for quality improvement. When discussing actual code, developers focused on structure, comprehensibility and readability as quality properties. When analyzing relationships between properties, the most commonly talked about target property was comprehensibility. Documentation, structure and readability were named most frequently as source properties to achieve good comprehensibility. Some of the most important source code properties contributing to code quality as perceived by developers lack clear definitions and are difficult to capture. More research is therefore necessary to measure the structure, comprehensibility and readability of code in ways that matter for developers and to relate these measures of code structure, comprehensibility and readability to common software quality attributes.</t>
  </si>
  <si>
    <t xml:space="preserve">[Boerstler, Juergen] Blekinge Inst Technol, Karlskrona, Sweden; [Bennin, Kwabena] Wageningen Univ &amp; Res, Wageningen, Netherlands; [Hooshangi, Sara] Virginia Tech, Falls Church, VA USA; [Jeuring, Johan; Keuning, Hieke] Univ Utrecht, Utrecht, Netherlands; [Kleiner, Carsten] Univ Appl Sci &amp; Arts Hannover, Hannover, Germany; [Mackellar, Bonnie] St Johns Univ, Queens, NY USA; [Duran, Rodrigo] Aalto Univ, Helsinki, Finland; [Stoerrle, Harald] QAware GmbH, Munich, Germany; [Toll, Daniel] Linnaeus Univ, Kalmar, Sweden; [van Assema, Jelle] Univ Amsterdam, Amsterdam, Netherlands</t>
  </si>
  <si>
    <t xml:space="preserve">Blekinge Institute Technology; Wageningen University &amp; Research; Virginia Polytechnic Institute &amp; State University; Utrecht University; Hochschule Hannover-University of Applied Sciences &amp; Arts; Saint John's University; Aalto University; Linnaeus University; University of Amsterdam</t>
  </si>
  <si>
    <t xml:space="preserve">Boerstler, J (corresponding author), Blekinge Inst Technol, Karlskrona, Sweden.</t>
  </si>
  <si>
    <t xml:space="preserve">jub@bth.se; kwabena.bennin@wur.nl; shoosh@vt.edu; J.T.Jeuring@uu.nl; h.w.keuning@uu.nl; carsten.kleiner@hs-hannover.de; mackellb@stjohns.edu; rodrigo.duran@aalto.fi; Harald.Stoerrle@qaware.de; daniel.toll@lnu.se; J.vanAssema@uva.nl</t>
  </si>
  <si>
    <t xml:space="preserve">Kleiner, Carsten/GPG-4140-2022; Börstler, Jürgen/IWE-4001-2023</t>
  </si>
  <si>
    <t xml:space="preserve">Kleiner, Carsten/0000-0001-9497-0312</t>
  </si>
  <si>
    <t xml:space="preserve">This work has in parts been supported by ELLIIT; the Swedish Strategic Research Area in IT and Mobile Communications. The authors thank all interviewees for sharing their examples and experience.; ELLIIT; Swedish Strategic Research Area in IT and Mobile Communications</t>
  </si>
  <si>
    <t xml:space="preserve">This work has in parts been supported by ELLIIT; the Swedish Strategic Research Area in IT and Mobile Communications. The authors thank all interviewees for sharing their examples and experience.</t>
  </si>
  <si>
    <t xml:space="preserve">10.1007/s10664-023-10381-0</t>
  </si>
  <si>
    <t xml:space="preserve">S8NI7</t>
  </si>
  <si>
    <t xml:space="preserve">WOS:001073677200001</t>
  </si>
  <si>
    <t xml:space="preserve">Andersson, M; Castellani, D; Fassio, C; Jienwatcharamongkhol, V</t>
  </si>
  <si>
    <t xml:space="preserve">Andersson, Martin; Castellani, Davide; Fassio, Claudio; Jienwatcharamongkhol, Viroj</t>
  </si>
  <si>
    <t xml:space="preserve">Leaving the multinational: The likelihood and nature of employee mobility from MNEs</t>
  </si>
  <si>
    <t xml:space="preserve">JOURNAL OF INTERNATIONAL BUSINESS STUDIES</t>
  </si>
  <si>
    <t xml:space="preserve">multinational enterprises; firm-specific advantages; strategic human capital; labor mobility; externalities; start-ups; logit</t>
  </si>
  <si>
    <t xml:space="preserve">FOREIGN DIRECT-INVESTMENT; INTERNALIZATION THEORY; DYNAMIC CAPABILITIES; MANAGEMENT-PRACTICES; FIRM-SPECIFICITY; SPILLOVERS; PERFORMANCE; ENTREPRENEURSHIP; ENTERPRISE; SPINOFFS</t>
  </si>
  <si>
    <t xml:space="preserve">The mobility of workers from multinational enterprises (MNEs) to other local firms is increasingly recognized as an important externality mechanism. However, MNEs have strong incentives to curb this mobility to prevent leakage of firm-specific assets. This research note investigates the likelihood and nature of such mobility patterns. Using longitudinal, matched employer-employee data for Sweden with detailed information on individuals, establishments, and firms, we find that workers employed in MNEs are more likely to leave their employers compared to similar workers employed in non-MNEs with similar characteristics. This effect is particularly strong for high-wage workers and managers. While we find that workers who leave MNEs are more likely to move to other MNEs, our results identify significant mobility toward start-ups, thus leading to important industrial dynamics in the host country. We discuss the implications of these results for research on the externalities from MNEs, and international business theory.</t>
  </si>
  <si>
    <t xml:space="preserve">[Andersson, Martin; Jienwatcharamongkhol, Viroj] Blekinge Inst Technol BTH, Dept Ind Econ, Karlskrona, Sweden; [Andersson, Martin] Swedish Entrepreneurship Forum, Stockholm, Sweden; [Andersson, Martin] Res Inst Ind Econ, Stockholm, Sweden; [Andersson, Martin; Castellani, Davide; Fassio, Claudio] Lund Univ, CIRCLE, Lund, Sweden; [Castellani, Davide] Univ Reading, Henley Business Sch, Reading, Berks, England; [Castellani, Davide] Univ Perugia, Dept Econ, Perugia, Italy; [Fassio, Claudio] Lund Univ, Dept Business Adm, Scheelevagen 15B, Lund, Sweden; [Fassio, Claudio] Univ Pisa, Dept Polit Sci, Pisa, Italy</t>
  </si>
  <si>
    <t xml:space="preserve">Blekinge Institute Technology; Research Institute of Industrial Economics (IFN); Lund University; University of Reading; University of Perugia; Lund University; University of Pisa</t>
  </si>
  <si>
    <t xml:space="preserve">Castellani, D (corresponding author), Univ Reading, Henley Business Sch, Reading, Berks, England.</t>
  </si>
  <si>
    <t xml:space="preserve">davide.castellani@henley.ac.uk</t>
  </si>
  <si>
    <t xml:space="preserve">Castellani, Davide/AAN-9912-2020; Castellani, Davide/A-9065-2010</t>
  </si>
  <si>
    <t xml:space="preserve">Castellani, Davide/0000-0002-1823-242X</t>
  </si>
  <si>
    <t xml:space="preserve">Lundberg Foundation [702871]; VINNOVA [2017-05382]; Vinnova [2017-05382] Funding Source: Vinnova; Swedish Research Council [2017-05382] Funding Source: Swedish Research Council</t>
  </si>
  <si>
    <t xml:space="preserve">Lundberg Foundation; VINNOVA(Vinnova); Vinnova(Vinnova); Swedish Research Council(Swedish Research Council)</t>
  </si>
  <si>
    <t xml:space="preserve">The article has benefited from comments and suggestions received during seminar and conference presentations at the Henley Business School, Reading, UK, November 2019; 22nd Uddevalla Symposium, Gran Sasso, Italy, June 2019. The authors are grateful for financial support from the project ``Leaving the Multinational: what is the impact of the mobility of human capital from multinational enterprises to entrepreneurship and small and medium businesses in Sweden?`` (project number 702871), funded by the Lundberg Foundation, and from the project ``Sweden's Position in Global Value Chains'' (project number 2017-05382), funded by VINNOVA.</t>
  </si>
  <si>
    <t xml:space="preserve">0047-2506</t>
  </si>
  <si>
    <t xml:space="preserve">1478-6990</t>
  </si>
  <si>
    <t xml:space="preserve">J INT BUS STUD</t>
  </si>
  <si>
    <t xml:space="preserve">J. Int. Bus. Stud.</t>
  </si>
  <si>
    <t xml:space="preserve">10.1057/s41267-021-00490-7</t>
  </si>
  <si>
    <t xml:space="preserve">2J2MP</t>
  </si>
  <si>
    <t xml:space="preserve">WOS:000743397100001</t>
  </si>
  <si>
    <t xml:space="preserve">Franch, X; Mendez, D; Vogelsang, A; Heldal, R; Knauss, E; Oriol, M; Travassos, GH; Carver, JC; Zimmermann, T</t>
  </si>
  <si>
    <t xml:space="preserve">Franch, Xavier; Mendez, Daniel; Vogelsang, Andreas; Heldal, Rogardt; Knauss, Eric; Oriol, Marc; Travassos, Guilherme H.; Carver, Jeffrey C.; Zimmermann, Thomas</t>
  </si>
  <si>
    <t xml:space="preserve">How do Practitioners Perceive the Relevance of Requirements Engineering Research?</t>
  </si>
  <si>
    <t xml:space="preserve">Industries; Protocols; Requirements engineering; Buildings; Tools; Testing; Task analysis; Requirements engineering; survey; impact of research; practitioners' perception</t>
  </si>
  <si>
    <t xml:space="preserve">Context: The relevance of Requirements Engineering (RE) research to practitioners is vital for a long-term dissemination of research results to everyday practice. Some authors have speculated about a mismatch between research and practice in the RE discipline. However, there is not much evidence to support or refute this perception. Objective: This article presents the results of a study aimed at gathering evidence from practitioners about their perception of the relevance of RE research and at understanding the factors that influence that perception. Method: We conducted a questionnaire-based survey of industry practitioners with expertise in RE. The participants rated the perceived relevance of 435 scientific papers presented at five top RE-related conferences. Results: The 153 participants provided a total of 2,164 ratings. The practitioners rated RE research as essential or worthwhile in a majority of cases. However, the percentage of non-positive ratings is still higher than we would like. Among the factors that affect the perception of relevance are the research's links to industry, the research method used, and respondents' roles. The reasons for positive perceptions were primarily related to the relevance of the problem and the soundness of the solution, while the causes for negative perceptions were more varied. The respondents also provided suggestions for future research, including topics researchers have studied for decades, like elicitation or requirement quality criteria. Conclusions: The study is valuable for both researchers and practitioners. Researchers can use the reasons respondents gave for positive and negative perceptions and the suggested research topics to help make their research more appealing to practitioners and thus more prone to industry adoption. Practitioners can benefit from the overall view of contemporary RE research by learning about research topics that they may not be familiar with, and compare their perception with those of their colleagues to self-assess their positioning towards more academic research.</t>
  </si>
  <si>
    <t xml:space="preserve">[Franch, Xavier; Oriol, Marc] Univ Politecn Cataluna, Barcelona 08034, Spain; [Mendez, Daniel] Blekinge Inst Technol, S-37141 Karlskrona, Sweden; [Mendez, Daniel] Fortiss GmbH, D-80805 Munich, Germany; [Vogelsang, Andreas] Univ Cologne, D-50923 Cologne, Germany; [Heldal, Rogardt] Western Norway Univ Appl Sci, N-5020 Bergen, Norway; [Knauss, Eric] Univ Gothenburg, S-40530 Gothenburg, Sweden; [Travassos, Guilherme H.] Univ Fed Rio de Janeiro, BR-21941901 Rio De Janeiro, Brazil; [Carver, Jeffrey C.] Univ Alabama, Tuscaloosa, AL 35487 USA; [Zimmermann, Thomas] Microsoft Res, Redmond, WA 98052 USA</t>
  </si>
  <si>
    <t xml:space="preserve">Universitat Politecnica de Catalunya; Blekinge Institute Technology; fortiss; University of Cologne; Western Norway University of Applied Sciences; University of Gothenburg; Universidade Federal do Rio de Janeiro; University of Alabama System; University of Alabama Tuscaloosa; Microsoft</t>
  </si>
  <si>
    <t xml:space="preserve">Franch, X (corresponding author), Univ Politecn Cataluna, Barcelona 08034, Spain.</t>
  </si>
  <si>
    <t xml:space="preserve">franch@essi.upc.edu; Daniel.Mendez@bth.se; vogelsang@cs.uni-koeln.de; rohe@hvl.no; eric.knauss@cse.gu.se; moriol@essi.upc.edu; ght@cos.ufir.br; carver@cs.ua.edu; tzimmer@microsoft.com</t>
  </si>
  <si>
    <t xml:space="preserve">Mendez, Daniel/ABA-4579-2021; Franch, Xavier/KAM-2369-2024; Oriol, Marc/ABG-2260-2020; Zimmermann, Thomas/C-4377-2019; Travassos, Guilherme Horta/G-2842-2012</t>
  </si>
  <si>
    <t xml:space="preserve">Knauss, Eric/0000-0002-6631-872X; Mendez Fernandez, Daniel/0000-0003-0619-6027; Zimmermann, Thomas/0000-0003-4905-1469; Vogelsang, Andreas/0000-0003-1041-0815; Franch, Xavier/0000-0001-9733-8830; Travassos, Guilherme Horta/0000-0002-4258-0424; Carver, Jeffrey/0000-0002-7824-9151</t>
  </si>
  <si>
    <t xml:space="preserve">Spanish project GENESIS [TIN201679269-R]; KKS foundation through the S.E.R.T. Research Profile project at Blekinge Institute of Technology; CNPq [304234/2018-4]</t>
  </si>
  <si>
    <t xml:space="preserve">Spanish project GENESIS; KKS foundation through the S.E.R.T. Research Profile project at Blekinge Institute of Technology; CNPq(Conselho Nacional de Desenvolvimento Cientifico e Tecnologico (CNPQ))</t>
  </si>
  <si>
    <t xml:space="preserve">The authors would like to thank all participating survey respondents, as well as C. Coupette for her support during the elaboration of initial analysis scripts and first interpretations in earlier versions, and O. Dieste for his participation in the elaboration of paper abstracts. X. Franch's work was supported in part by the Spanish project GENESIS TIN201679269-R. D. Mendez' work was supported in part by the KKS foundation through the S.E.R.T. Research Profile project at Blekinge Institute of Technology. G.H. Travassos' work was supported in part by CNPq under Grant no. 304234/2018-4.</t>
  </si>
  <si>
    <t xml:space="preserve">10.1109/TSE.2020.3042747</t>
  </si>
  <si>
    <t xml:space="preserve">WOS:000811580600007</t>
  </si>
  <si>
    <t xml:space="preserve">Bengtsson, VW; Persson, GR; Berglund, JS; Renvert, S</t>
  </si>
  <si>
    <t xml:space="preserve">Bengtsson, Viveca Wallin; Persson, Gosta Rutger; Berglund, Johan Sanmartin; Renvert, Stefan</t>
  </si>
  <si>
    <t xml:space="preserve">Periodontitis related to cardiovascular events and mortality: a long-time longitudinal study</t>
  </si>
  <si>
    <t xml:space="preserve">Periodontitis; Ischemic heart disease; Mortality; Epidemiology</t>
  </si>
  <si>
    <t xml:space="preserve">VASCULAR-DISEASE; TOOTH LOSS; STATEMENT; HEALTH; PLAQUE; TEETH</t>
  </si>
  <si>
    <t xml:space="preserve">Objective The present study assessed if individuals &gt;= 60 years of age with periodontitis are more likely to develop stroke or ischemic heart diseases, or at a higher risk of death for 17 years. Material and methods At baseline individuals &gt;= 60 received a dental examination including a panoramic radiograph. Periodontitis was defined as having &gt;= 30% sites with &gt;= 5-mm distance from the cementoenamel junction to the marginal bone level. Medical records were annually reviewed from 2001 to 2018. Findings from the medical records identifying an ICD-10 code of stroke and ischemic heart diseases or death were registered. Results Associations between periodontitis and incidence of ischemic heart disease were found in this 17-year follow-up study in all individuals 60-93 years (HR: 1.5, CI: 1.1-2.1, p = 0.017), in women (HR: 2.1, CI: 1.3-3.4, p = 0.002), and in individuals 78-96 years (HR: 1.7, CI: 1.0-2.6, p = 0.033). Periodontitis was associated with mortality in all individuals (HR: 1.4, CI: 1.2-1.8, p = 0.002), specifically in men (HR: 1.5, CI: 1.1-1.9, p = 0.006) or in ages 60-72 years (HR: 2.2, CI: 1.5-3.2, p = 0.000). Periodontitis was more prevalent among men (OR: 1.8, CI: 1.3-2.4, p = 0.000). Conclusions Individuals with periodontitis have an increased risk for future events of ischemic heart diseases and death.</t>
  </si>
  <si>
    <t xml:space="preserve">[Bengtsson, Viveca Wallin; Persson, Gosta Rutger; Renvert, Stefan] Univ Kristianstad, Elmetorpsvagen 15, S-29188 Kristianstad, Sweden; [Persson, Gosta Rutger] Univ Washington, Dept Periodont, Seattle, WA 98195 USA; [Persson, Gosta Rutger] Univ Washington, Dept Oral Med, Seattle, WA 98195 USA; [Berglund, Johan Sanmartin; Renvert, Stefan] Blekinge Inst Technol, Dept Hlth, Karlskrona, Sweden; [Berglund, Johan Sanmartin] Lund Univ, Dept Clin Sci, Lund, Sweden; [Renvert, Stefan] Dublin Dent Hosp, Trinity Coll, Dublin, Ireland; [Renvert, Stefan] Univ Hong Kong, Fac Dent, Hong Kong, Peoples R China</t>
  </si>
  <si>
    <t xml:space="preserve">Kristianstad University; University of Washington; University of Washington Seattle; University of Washington; University of Washington Seattle; Blekinge Institute Technology; Lund University; Trinity College Dublin; University of Hong Kong</t>
  </si>
  <si>
    <t xml:space="preserve">Bengtsson, VW (corresponding author), Univ Kristianstad, Elmetorpsvagen 15, S-29188 Kristianstad, Sweden.</t>
  </si>
  <si>
    <t xml:space="preserve">viveca.wallin_bengtsson@hkr.se; rutger.persson@hkr.se; johan.sanmartin.berglund@bth.se; stefan.renvert@hkr.se</t>
  </si>
  <si>
    <t xml:space="preserve">Berglund, Johan/0000-0003-4312-2246; Wallin Bengtsson, Viveca/0000-0002-8092-665X; Renvert, Stefan/0000-0003-0992-2362</t>
  </si>
  <si>
    <t xml:space="preserve">Kristianstad University</t>
  </si>
  <si>
    <t xml:space="preserve">Open Access funding provided by Kristianstad University.</t>
  </si>
  <si>
    <t xml:space="preserve">10.1007/s00784-020-03739-x</t>
  </si>
  <si>
    <t xml:space="preserve">WOS:000612271500004</t>
  </si>
  <si>
    <t xml:space="preserve">Shehu, HA; Sharif, MH; Sharif, MHU; Datta, R; Tokat, S; Uyaver, S; Kusetogullari, H; Ramadan, RA</t>
  </si>
  <si>
    <t xml:space="preserve">Shehu, Harisu Abdullahi; Sharif, Md. Haidar; Sharif, Md. Haris Uddin; Datta, Ripon; Tokat, Sezai; Uyaver, Sahin; Kusetogullari, Huseyin; Ramadan, Rabie A.</t>
  </si>
  <si>
    <t xml:space="preserve">Deep Sentiment Analysis: A Case Study on Stemmed Turkish Twitter Data</t>
  </si>
  <si>
    <t xml:space="preserve">Social networking (online); Blogs; Sentiment analysis; Analytical models; Recurrent neural networks; Sociology; Machine learning algorithms; Data augmentation; deep learning; machine learning; neural networks; sentiment analysis; Turkish; Twitter</t>
  </si>
  <si>
    <t xml:space="preserve">CONVOLUTIONAL NEURAL-NETWORK; REJECTIVE MULTIPLE TEST; TEXT CLASSIFICATION; SPANISH</t>
  </si>
  <si>
    <t xml:space="preserve">Sentiment analysis using stemmed Twitter data from various languages is an emerging research topic. In this paper, we address three data augmentation techniques namely Shift, Shuffle, and Hybrid to increase the size of the training data; and then we use three key types of deep learning (DL) models namely recurrent neural network (RNN), convolution neural network (CNN), and hierarchical attention network (HAN) to classify the stemmed Turkish Twitter data for sentiment analysis. The performance of these DL models has been compared with the existing traditional machine learning (TML) models. The performance of TML models has been affected negatively by the stemmed data, but the performance of DL models has been improved greatly with the utilization of the augmentation techniques. Based on the simulation, experimental, and statistical results analysis deeming identical datasets, it has been concluded that the TML models outperform the DL models with respect to both training-time (TTM) and runtime (RTM) complexities of the algorithms; but the DL models outperform the TML models with respect to the most important performance factors as well as the average performance rankings.</t>
  </si>
  <si>
    <t xml:space="preserve">[Shehu, Harisu Abdullahi] Victoria Univ Wellington, Sch Engn &amp; Comp Sci, Wellington 6012, New Zealand; [Sharif, Md. Haidar] Univ Hail, Coll Comp Sci &amp; Engn, Hail 2440, Saudi Arabia; [Sharif, Md. Haris Uddin; Datta, Ripon] Univ Cumberlands, Dept Int Grad Serv, Williamsburg, KY 40769 USA; [Tokat, Sezai] Pamukkale Univ, Dept Comp Engn, TR-20160 Denizli, Turkey; [Uyaver, Sahin] Turkish German Univ, Dept Energy Sci &amp; Technol, TR-34820 Istanbul, Turkey; [Kusetogullari, Huseyin] Blekinge Inst Technol, Dept Comp Sci, S-37141 Karlskrona, Sweden; [Ramadan, Rabie A.] Cairo Univ, Comp Engn Dept, Coll Engn, Cairo 12613, Egypt</t>
  </si>
  <si>
    <t xml:space="preserve">Victoria University Wellington; University Ha'il; University of the Cumberlands; Pamukkale University; Turkish German University; Blekinge Institute Technology; Egyptian Knowledge Bank (EKB); Cairo University</t>
  </si>
  <si>
    <t xml:space="preserve">Sharif, MH (corresponding author), Univ Hail, Coll Comp Sci &amp; Engn, Hail 2440, Saudi Arabia.</t>
  </si>
  <si>
    <t xml:space="preserve">md.sharif@uoh.edu.sa</t>
  </si>
  <si>
    <t xml:space="preserve">Sharif, Haidar/AAR-6783-2021; Uyaver, Sahin/HSA-7505-2023; TOKAT, Sezai/HJI-5975-2023; Shehu, Harisu/AAM-7425-2020; Kusetogullari, Huseyin/IAQ-0788-2023; Ramadan, Rabie/H-9543-2016; Sharif, Md. Haidar/F-6480-2015</t>
  </si>
  <si>
    <t xml:space="preserve">UYAVER, SAHIN/0000-0001-8776-3032; Kusetogullari, Huseyin/0000-0001-5762-6678; Sharif, MD Haris Uddin/0000-0002-1169-8438; Ramadan, Rabie/0000-0002-0281-9381; TOKAT, Sezai/0000-0003-0193-8220; Sharif, Md. Haidar/0000-0001-7235-6004; Datta, Ripon/0000-0003-4738-2918; Shehu, Harisu Abdullahi/0000-0002-9689-3290</t>
  </si>
  <si>
    <t xml:space="preserve">10.1109/ACCESS.2021.3071393</t>
  </si>
  <si>
    <t xml:space="preserve">RP7ZO</t>
  </si>
  <si>
    <t xml:space="preserve">WOS:000641943600001</t>
  </si>
  <si>
    <t xml:space="preserve">Pezzotta, G; Arioli, V; Adrodegari, F; Rapaccini, M; Saccani, N; Rakic, S; Marjanovic, U; West, S; Stoll, O; Meierhofer, J; Holst, L; Wiesner, SA; Bertoni, M; Romero, D; Pirola, F; Sala, R; Gaiardelli, P</t>
  </si>
  <si>
    <t xml:space="preserve">Pezzotta, Giuditta; Arioli, Veronica; Adrodegari, Federico; Rapaccini, Mario; Saccani, Nicola; Rakic, Slavko; Marjanovic, Ugljesa; West, Shaun; Stoll, Oliver; Meierhofer, Jurg; Holst, Lennard; Wiesner, Stefan A.; Bertoni, Marco; Romero, David; Pirola, Fabiana; Sala, Roberto; Gaiardelli, Paolo</t>
  </si>
  <si>
    <t xml:space="preserve">Digital Servitization in the Manufacturing Sector: Survey Preliminary Results</t>
  </si>
  <si>
    <t xml:space="preserve">Digitalization; Servitization; Digital servitization; Industry 4.0; Product-service systems; Survey</t>
  </si>
  <si>
    <t xml:space="preserve">TECHNOLOGIES; PRODUCT</t>
  </si>
  <si>
    <t xml:space="preserve">In the contention of the current industrial landscape, an increasing number of manufacturing firms are experimenting with the transition from product-centric offerings to service-based value concepts and product-service bundles as high-value integrated customer solutions to increase their revenues and build sustainable competitive advantages; a phenomenon known as the servitization of manufacturing. Nowadays, consistently with the Industry 4.0 paradigm, these companies have therefore started a process of integrating their traditional value offerings with digital services. This recent strategy is known as Digital Servitization and consists of developing new services and/or improving existing ones through digital technologies. However, this transformation is challenging, and companies often struggle to achieve their expectations. Thus, this study aims to shed light on the current state of Digital Servitization strategies in the manufacturing sector based on a survey addressed to the top and middle management. The results obtained by the analysis of the data collected from the survey show an increasing trend towards the adoption of digital technologies for enabling innovation and differentiation in service delivery processes.</t>
  </si>
  <si>
    <t xml:space="preserve">[Pezzotta, Giuditta; Arioli, Veronica; Pirola, Fabiana; Sala, Roberto; Gaiardelli, Paolo] Univ Bergamo, Bergamo, Italy; [Adrodegari, Federico; Saccani, Nicola] Univ Brescia, Brescia, Italy; [Rapaccini, Mario] Univ Florence, Florence, Italy; [Rakic, Slavko; Marjanovic, Ugljesa] Univ Novi Sad, Fac Tech Sci, Novi Sad, Serbia; [West, Shaun; Stoll, Oliver] Lucerne Univ Appl Sci &amp; Arts, Luzern, Switzerland; [Meierhofer, Jurg] ZHAW Sch Engn, Winterthur, Switzerland; [Holst, Lennard] Rhein Westfal TH Aachen, Aachen, Germany; [Wiesner, Stefan A.] BIBA Bremer Inst Prod &amp; Logist GmbH, Bremen, Germany; [Bertoni, Marco] Blekinge Inst Technol, Karlskrona, Sweden; [Romero, David] Tecnol Monterrey, Mexico City, DF, Mexico; [Pezzotta, Giuditta; Arioli, Veronica; Adrodegari, Federico; Rapaccini, Mario; Saccani, Nicola; Gaiardelli, Paolo] Res Ctr Innovat &amp; Serv Management Ind Firms Asap, Florence, Italy</t>
  </si>
  <si>
    <t xml:space="preserve">University of Bergamo; University of Brescia; University of Florence; University of Novi Sad; RWTH Aachen University; BIBA - Bremer Institut fur Produktion &amp; Logistik; Blekinge Institute Technology; Tecnologico de Monterrey</t>
  </si>
  <si>
    <t xml:space="preserve">Pezzotta, G (corresponding author), Univ Bergamo, Bergamo, Italy.;Pezzotta, G (corresponding author), Res Ctr Innovat &amp; Serv Management Ind Firms Asap, Florence, Italy.</t>
  </si>
  <si>
    <t xml:space="preserve">giuditta.pezzotta@unibg.it; veronica.arioli@unibg.it; federico.adrodegari@unibs.it; mario.rapaccini@unifi.it; nicola.saccani@unibs.it; slavkorakic@uns.ac.rs; umarjano@uns.ac.rs; shaun.west@hslu.ch; oliver.stoll@hslu.ch; meeo@zhaw.ch; lennard.holst@fir.rwth-aachen.de; wie@biba.uni-bremen.de; marco.bertoni@bth.se; fabiana.pirola@unibg.it; roberto.sala@unibg.it; paolo.gaiardelli@unibg.it</t>
  </si>
  <si>
    <t xml:space="preserve">Romero, David/GQA-9701-2022; Stoll, Oliver/AAP-1972-2021; Meierhofer, Jürg/AAK-2632-2021; Rakic, Slavko/AAZ-3524-2020; Saccani, Nicola/KEH-5062-2024; Rapaccini, M/G-3085-2019; Marjanovic, Ugljesa/N-4620-2018; West, Shaun/I-3807-2017; Pezzotta, Giuditta/AAF-2297-2021; Sala, Roberto/D-8617-2017</t>
  </si>
  <si>
    <t xml:space="preserve">ADRODEGARI, Federico/0000-0001-7939-4150; Arioli, Veronica/0000-0001-8013-6597; SACCANI, NICOLA/0000-0002-4603-5060; Rapaccini, Mario/0000-0003-4499-0627; Stoll, Oliver/0000-0002-1918-3842; Marjanovic, Ugljesa/0000-0002-8389-6927; West, Shaun/0000-0002-8042-1459; Pezzotta, Giuditta/0000-0001-7983-8356; Meierhofer, Jurg/0000-0003-1645-5686; Rakic, Slavko/0000-0002-9021-8585; Sala, Roberto/0000-0001-7671-6927; Pirola, Fabiana/0000-0003-4633-7568</t>
  </si>
  <si>
    <t xml:space="preserve">10.1007/978-3-031-16411-8_37</t>
  </si>
  <si>
    <t xml:space="preserve">WOS:000869729400037</t>
  </si>
  <si>
    <t xml:space="preserve">Dallora, AL; Andersson, EK; Palm, BG; Bohman, D; Björling, G; Marcinowicz, L; Stjernberg, L; Anderberg, P</t>
  </si>
  <si>
    <t xml:space="preserve">Dallora, Ana Luiza; Andersson, Ewa Kazimiera; Palm, Bruna Gregory; Bohman, Doris; Bjorling, Gunilla; Marcinowicz, Ludmila; Stjernberg, Louise; Anderberg, Peter</t>
  </si>
  <si>
    <t xml:space="preserve">Nursing Students' Attitudes Toward Technology: Multicenter Cross-Sectional Study</t>
  </si>
  <si>
    <t xml:space="preserve">JMIR MEDICAL EDUCATION</t>
  </si>
  <si>
    <t xml:space="preserve">nursing education; technophilia; eHealth; technology anxiety; technology enthusiasm; mobile phone</t>
  </si>
  <si>
    <t xml:space="preserve">HEALTH; EDUCATION; ANXIETY; NURSES; ACCEPTANCE; LITERACY</t>
  </si>
  <si>
    <t xml:space="preserve">Background: The growing presence of digital technologies in health care requires the health workforce to have proficiency in subjects such as informatics. This has implications in the education of nursing students, as their preparedness to use these technologies in clinical situations is something that course administrators need to consider. Thus, students' attitudes toward technology could be investigated to assess their needs regarding this proficiency. Objective: This study aims to investigate attitudes (enthusiasm and anxiety) toward technology among nursing students and to identify factors associated with those attitudes. Methods: Nursing students at 2 universities in Sweden and 1 university in Poland were invited to answer a questionnaire. Data about attitudes (anxiety and enthusiasm) toward technology, eHealth literacy, electronic device skills, and frequency of using electronic devices and sociodemographic data were collected. Descriptive statistics were used to characterize the data. The Spearman rank correlation coefficient and Mann -Whitney U test were used for statistical inferences. Results: In total, 646 students answered the questionnaire-342 (52.9%) from the Swedish sites and 304 (47.1%) from the Polish site. It was observed that the students' technology enthusiasm (techEnthusiasm) was on the higher end of the Technophilia instrument (score range 1-5): 3.83 (SD 0.90), 3.62 (SD 0.94), and 4.04 (SD 0.78) for the whole sample, Swedish students, and Polish students, respectively. Technology anxiety (techAnxiety) was on the midrange of the Technophilia instrument: 2.48 (SD 0.96), 2.37 (SD 1), and 2.60 (SD 0.89) for the whole sample, Swedish students, and Polish students, respectively. Regarding techEnthusiasm among the nursing students, a negative correlation with age was found for the Swedish sample ( P &lt;.001; rho (Swedish) =- 0 . 201 ) who were generally older than the Polish sample, and positive correlations with the eHealth Literacy Scale score ( P &lt;.001; rho (all) =0.265; rho (Swedish) = 0 . 190 ; rho (Polish) = 0 . 352 ) and with the perceived skill in using computer devices ( P &lt;.001; rho (all) =0.360; rho (Swedish) = 0 . 341 ; rho (Polish) =0.309) were found for the Swedish, Polish, and total samples. Regarding techAnxiety among the nursing students, a positive correlation with age was found in the Swedish sample ( P &lt;.001; rho (Swedish) =0.184), and negative correlations with eHealth Literacy Scale score ( P &lt;.001; rho (all) =-0.196; rho (Swedish) =- 0 . 262 ; rho (Polish) =- 0 . 133 ) and with the perceived skill in using computer devices ( P &lt;.001; rho (all) =-0.209; rho (Swedish) =- 0 . 347 ; rho (Polish) =- 0 . 134 ) were found for the Swedish, Polish, and total samples and with the semester only for the Swedish sample ( P &lt;.001; rho (Swedish) =-0.124). Gender differences were found regarding techAnxiety in the Swedish sample, with women exhibiting a higher mean score than men (2.451, SD 1.014 and 1.987, SD 0.854, respectively). Conclusions: This study highlights nursing students' techEnthusiasm and techAnxiety, emphasizing correlations with various factors. With health care's increasing reliance on technology, integrating health technology-related topics into education is crucial for future professionals to address health care challenges effectively.</t>
  </si>
  <si>
    <t xml:space="preserve">[Dallora, Ana Luiza; Bohman, Doris; Anderberg, Peter] Blekinge Inst Technol, Dept Hlth, Valhallavagen 1, S-37141 Karlskrona, Sweden; [Andersson, Ewa Kazimiera] Linnaeus Univ, Dept Hlth &amp; Caring Sci, Vaxjo, Sweden; [Palm, Bruna Gregory] Blekinge Inst Technol, Dept Math &amp; Nat Sci, Karlskrona, Sweden; [Bohman, Doris] North West Univ, Optentia Res Unit, Vanderbijlpark, South Africa; [Bjorling, Gunilla] Jonkoping Univ, Sch Hlth &amp; Wellfare, Jonkoping, Sweden; [Bjorling, Gunilla] Kilimanjaro Christian Med Univ Coll, Fac Nursing, Moshi, Tanzania; [Bjorling, Gunilla] Karolinska Inst, Dept Neurobiol Care Sci &amp; Soc, Stockholm, Sweden; [Marcinowicz, Ludmila] Med Univ Bialystok, Fac Hlth Sci, Bialystok, Poland; [Stjernberg, Louise] Malmo Univ, Dept Care Sci, Malmo, Sweden; [Stjernberg, Louise] Swedish Red Cross Univ, Huddinge, Sweden; [Anderberg, Peter] Univ Skovde, Sch Hlth Sci, Skovde, Sweden</t>
  </si>
  <si>
    <t xml:space="preserve">Blekinge Institute Technology; Linnaeus University; Blekinge Institute Technology; North West University - South Africa; Jonkoping University; Karolinska Institutet; Medical University of Bialystok; Malmo University; University of Skovde</t>
  </si>
  <si>
    <t xml:space="preserve">Dallora, AL (corresponding author), Blekinge Inst Technol, Dept Hlth, Valhallavagen 1, S-37141 Karlskrona, Sweden.</t>
  </si>
  <si>
    <t xml:space="preserve">ana.luiza.moraes@bth.se</t>
  </si>
  <si>
    <t xml:space="preserve">G. Palm, Bruna/AAZ-4107-2021; Björling, Gunilla/AHB-4648-2022; Bjorling, Gunilla/B-8157-2017; Anderberg, Peter/B-5541-2012; Stjernberg, Louise/GXG-5465-2022</t>
  </si>
  <si>
    <t xml:space="preserve">Bjorling, Gunilla/0000-0003-1445-900X; Andersson, Ewa K/0000-0002-4282-8901; Anderberg, Peter/0000-0001-9870-8477; G. Palm, Bruna/0000-0003-0423-9927; Stjernberg, Louise/0000-0002-8673-5109</t>
  </si>
  <si>
    <t xml:space="preserve">EHealth in Nursing Education (eNurseEd)</t>
  </si>
  <si>
    <t xml:space="preserve">The authors are especially grateful to the study participants for their time and interest in participating in the study. This study is part of the eHealth in Nursing Education (eNurseEd) study and was supported financially by the participating universities as an educational improvement effort. The funding source was not involved in the review design, analysis, interpretation of findings, writing of the paper, or the decision to submit the paper for publication.</t>
  </si>
  <si>
    <t xml:space="preserve">2369-3762</t>
  </si>
  <si>
    <t xml:space="preserve">JMIR MED EDUC</t>
  </si>
  <si>
    <t xml:space="preserve">JMIR Med. Educ.</t>
  </si>
  <si>
    <t xml:space="preserve">e50297</t>
  </si>
  <si>
    <t xml:space="preserve">10.2196/50297</t>
  </si>
  <si>
    <t xml:space="preserve">TL4S0</t>
  </si>
  <si>
    <t xml:space="preserve">WOS:001241410000002</t>
  </si>
  <si>
    <t xml:space="preserve">Storey, DJ; Andersson, M; Henrekson, M; Jack, S; Stenkula, M; Thorburn, K; Wigren-Kristoferson, C; Zander, I</t>
  </si>
  <si>
    <t xml:space="preserve">Storey, David J.; Andersson, Martin; Henrekson, Magnus; Jack, Sarah; Stenkula, Mikael; Thorburn, Karin; Wigren-Kristoferson, Caroline; Zander, Ivo</t>
  </si>
  <si>
    <t xml:space="preserve">Per Davidsson: recipient of the 2023 Global Award for Entrepreneurship Research</t>
  </si>
  <si>
    <t xml:space="preserve">Global award for entrepreneurship research; Entrepreneurship; High-growth firms</t>
  </si>
  <si>
    <t xml:space="preserve">FIRM FORMATION; GROWTH; BRICOLAGE; CREATION; JOBS</t>
  </si>
  <si>
    <t xml:space="preserve">Professor Per Davidsson is the recipient of the 2023 Global Award for Entrepreneurship Research. Throughout an extraordinarily productive career, he has made invaluable contributions in building the field of entrepreneurship. His early studies on entrepreneurship and culture and his studies on the growth of small businesses played an important role in the emergence and development of entrepreneurship as a scholarly field of research. He has also, continuously, made more conceptual contributions by critically probing the development of the field, and engaged in writing foundational books that have been used extensively in higher education institutes. By probing and challenging traditional assumptions throughout his career, he has contributed to the refinement and renewal of the field.</t>
  </si>
  <si>
    <t xml:space="preserve">[Storey, David J.] Univ Sussex, Univ Sussex Business Sch, Brighton, England; [Andersson, Martin] Entreprenorskapsforum, Saltmatargatan 9, SE-11359 Stockholm, Sweden; [Andersson, Martin] Blekinge Inst Technol BTH, SE-37179 Karlskrona, Sweden; [Henrekson, Magnus; Stenkula, Mikael] Res Inst Ind Econ, POB 55665, SE-10215 Stockholm, Sweden; [Jack, Sarah] Stockholm Sch Econ, POB 6501, S-11383 Stockholm, Sweden; [Jack, Sarah] Univ Lancaster, Management Sch, Dept Entrepreneurship &amp; Strategy, Lancaster LA1 4YX, England; [Thorburn, Karin] Norwegian Sch Econ, Helleveien 30, NO-5045 Bergen, Norway; [Wigren-Kristoferson, Caroline] Malmo Univ, SE-20506 Malmo, Sweden; [Zander, Ivo] Uppsala Univ, POB 513, SE-75120 Uppsala, Sweden</t>
  </si>
  <si>
    <t xml:space="preserve">University of Sussex; Blekinge Institute Technology; Research Institute of Industrial Economics (IFN); Stockholm School of Economics; Lancaster University; Norwegian School of Economics (NHH); Malmo University; Uppsala University</t>
  </si>
  <si>
    <t xml:space="preserve">Stenkula, M (corresponding author), Res Inst Ind Econ, POB 55665, SE-10215 Stockholm, Sweden.</t>
  </si>
  <si>
    <t xml:space="preserve">martin.andersson@bth.se; magnus.henrekson@ifn.se; sarah.jack@hhs.se; mikael.stenkula@ifn.se; Karin.Thorburn@nhh.no; ivo.zander@fek.uu.se</t>
  </si>
  <si>
    <t xml:space="preserve">10.1007/s11187-023-00819-6</t>
  </si>
  <si>
    <t xml:space="preserve">DJ5O5</t>
  </si>
  <si>
    <t xml:space="preserve">WOS:001077161300002</t>
  </si>
  <si>
    <t xml:space="preserve">Tüzün, E; Erdogmus, H; Baldassarre, MT; Felderer, M; Feldt, R; Turhan, B</t>
  </si>
  <si>
    <t xml:space="preserve">Tuzun, Eray; Erdogmus, Hakan; Baldassarre, Maria Teresa; Felderer, Michael; Feldt, Robert; Turhan, Burak</t>
  </si>
  <si>
    <t xml:space="preserve">Ground-Truth Deficiencies in Software Engineering: When Codifying the Past Can Be Counterproductive</t>
  </si>
  <si>
    <t xml:space="preserve">In software engineering, the objective function of human decision makers might be influenced by many factors. Relying on historical data as the ground truth may give rise to systems that automate software engineering decisions by mimicking past suboptimal behavior. We describe the problem and offer some strategies.</t>
  </si>
  <si>
    <t xml:space="preserve">[Tuzun, Eray] Bilkent Univ, Software Engn &amp; Data Analyt Res Grp, Dept Comp Engn, TR-06800 Ankara, Turkey; [Erdogmus, Hakan] Carnegie Mellon Univ, Dept Elect &amp; Comp Engn, Pittsburgh, PA 15213 USA; [Baldassarre, Maria Teresa] Univ Bari, Dept Informat, Bari, Italy; [Felderer, Michael] Univ Innsbruck, Dept Comp Sci, A-6020 Innsbruck, Austria; [Felderer, Michael] Blekinge Inst Technol, Dept Software Engn, Karlskrona, Sweden; [Feldt, Robert] Chalmers Univ Technol, Gothenburg, Sweden; [Feldt, Robert] Blekinge Inst Technol, Gothenburg, Sweden; [Turhan, Burak] Univ Oulu, Software Engn, FI-90014 Oulu, Finland; [Turhan, Burak] Monash Univ, Res, Fac Informat Technol, Clayton, Vic, Australia</t>
  </si>
  <si>
    <t xml:space="preserve">Ihsan Dogramaci Bilkent University; Carnegie Mellon University; Universita degli Studi di Bari Aldo Moro; University of Innsbruck; Blekinge Institute Technology; Chalmers University of Technology; Blekinge Institute Technology; University of Oulu; Monash University</t>
  </si>
  <si>
    <t xml:space="preserve">Tüzün, E (corresponding author), Bilkent Univ, Software Engn &amp; Data Analyt Res Grp, Dept Comp Engn, TR-06800 Ankara, Turkey.</t>
  </si>
  <si>
    <t xml:space="preserve">eraytuzun@cs.bilkent.edu.tr; hakan.erdogmus@sv.cmu.edu; mariateresa.baldassarre@uniba.it; michael.felderer@uibk.ac.at; robert.feldt@chalmers.se; turhanb@computer.org</t>
  </si>
  <si>
    <t xml:space="preserve">Erdogmus, Hakan/HTQ-8803-2023; Turhan, Burak/G-7400-2011; Felderer, Michael/AAF-4909-2020; Tuzun, Eray/AAD-7282-2021; Tuzun, Eray/B-5949-2018</t>
  </si>
  <si>
    <t xml:space="preserve">Tuzun, Eray/0000-0002-5550-7816; Erdogmus, Hakan/0000-0002-7987-5621</t>
  </si>
  <si>
    <t xml:space="preserve">10.1109/MS.2021.3098670</t>
  </si>
  <si>
    <t xml:space="preserve">WOS:000811542700012</t>
  </si>
  <si>
    <t xml:space="preserve">Abbadi, A; Kokoroskos, E; Stamets, M; Vetrano, DL; Orsini, N; Elmståhl, S; Fagerström, C; Wimo, A; Sköldunger, A; Berglund, JS; Olsson, CB; Wachtler, C; Fratiglioni, L; Calderón-Larrañaga, A</t>
  </si>
  <si>
    <t xml:space="preserve">Abbadi, Ahmad; Kokoroskos, Emmanouil; Stamets, Matthew; Vetrano, Davide L.; Orsini, Nicola; Elmstahl, Solve; Fagerstrom, Cecilia; Wimo, Anders; Skoldunger, Anders; Berglund, Johan Sanmartin; Olsson, Christina B.; Wachtler, Caroline; Fratiglioni, Laura; Calderon-Larranaga, Amaia</t>
  </si>
  <si>
    <t xml:space="preserve">Validation of the Health Assessment Tool (HAT) based on four aging cohorts from the Swedish National study on Aging and Care</t>
  </si>
  <si>
    <t xml:space="preserve">BMC MEDICINE</t>
  </si>
  <si>
    <t xml:space="preserve">Geriatric health assessment; Frailty; Aging cohorts; External validation</t>
  </si>
  <si>
    <t xml:space="preserve">FRAILTY</t>
  </si>
  <si>
    <t xml:space="preserve">Background As global aging accelerates, routinely assessing the functional status and morbidity burden of older patients becomes paramount. The aim of this study is to assess the validity of the comprehensive clinical and functional Health Assessment Tool (HAT) based on four cohorts of older adults (60 + years) from the Swedish National study on Aging and Care (SNAC) spanning urban, suburban, and rural areas.Methods The HAT integrates five health indicators (gait speed, global cognition, number of chronic diseases, and basic and instrumental activities of daily living), providing an individual-level score between 0 and 10. The tool was constructed using nominal response models, first separately for each cohort and then in a harmonized dataset. Outcomes included all-cause mortality over a maximum follow-up of 16 years and unplanned hospital admissions over a maximum of 3 years of follow-up. The predictive capacity was assessed through the area under the curve (AUC) using logistic regressions. For time to death, Cox regressions were performed, and Harrell's C-indices were reported. Results from the four cohorts were pooled using individual participant data meta-analysis and compared with those from the harmonized dataset.Results The HAT demonstrated high predictive capacity across all cohorts as well as in the harmonized dataset. In the harmonized dataset, the AUC was 0.84 (95% CI 0.81-0.87) for 1-year mortality, 0.81 (95% CI 0.80-0.83) for 3-year mortality, 0.80 (95% CI 0.79-0.82) for 5-year mortality, 0.69 (95% CI 0.67-0.70) for 1-year unplanned admissions, and 0.69 (95% CI 0.68-0.70) for 3-year unplanned admissions. The Harrell's C for time-to-death throughout 16 years of follow-up was 0.75 (95% CI 0.74-0.75).Conclusions The HAT is a highly predictive, clinically intuitive, and externally valid instrument with potential for better addressing older adults' health needs and optimizing risk stratification at the population level.</t>
  </si>
  <si>
    <t xml:space="preserve">[Abbadi, Ahmad; Kokoroskos, Emmanouil; Stamets, Matthew; Vetrano, Davide L.; Fratiglioni, Laura; Calderon-Larranaga, Amaia] Karolinska Inst, Aging Res Ctr, Dept Neurobiol Care Sci &amp; Soc, Solna, Sweden; [Abbadi, Ahmad; Kokoroskos, Emmanouil; Stamets, Matthew; Vetrano, Davide L.; Fratiglioni, Laura; Calderon-Larranaga, Amaia] Stockholm Univ, Solna, Sweden; [Abbadi, Ahmad] Karolinska Inst, Dept Med Epidemiol &amp; Biostat, Solna, Sweden; [Kokoroskos, Emmanouil; Wachtler, Caroline] Karolinska Inst, Dept Neurobiol Care Sci &amp; Soc, Div Family Med &amp; Primary Care, Huddinge, Sweden; [Kokoroskos, Emmanouil] Lideta Malardalen AB, Huslakarmottagning Taby Ctr, Taby, Sweden; [Stamets, Matthew; Orsini, Nicola] Karolinska Inst, Dept Global Publ Hlth, Solna, Sweden; [Vetrano, Davide L.; Fratiglioni, Laura; Calderon-Larranaga, Amaia] Stockholm Gerontol Res Ctr, Stockholm, Sweden; [Elmstahl, Solve] Lund Univ, Dept Clin Sci Malmo, Div Geriatr Med, Malmo, Sweden; [Fagerstrom, Cecilia] Linnaeus Univ, Fac Hlth &amp; Life Sci, Kalmar, Sweden; [Fagerstrom, Cecilia] Dept Res, Kalmar, Region Kalmar, Sweden; [Wimo, Anders; Skoldunger, Anders] Karolinska Inst, Dept Neurobiol Care Sci &amp; Soc, Div Neurogeriatr, Huddinge, Sweden; [Berglund, Johan Sanmartin] Blekinge Inst Technol, Dept Hlth, Karlskrona, Sweden; [Olsson, Christina B.] Karolinska Inst, Div Physiotherapy, Dept Neurobiol Care Sci &amp; Soc, Huddinge, Sweden; [Olsson, Christina B.; Wachtler, Caroline] Acad Primary Healthcare Ctr, Stockholm, Region Stockhol, Sweden</t>
  </si>
  <si>
    <t xml:space="preserve">Karolinska Institutet; Stockholm University; Karolinska Institutet; Karolinska Institutet; Karolinska Institutet; Karolinska Institutet; Lund University; Linnaeus University; Karolinska Institutet; Blekinge Institute Technology; Karolinska Institutet</t>
  </si>
  <si>
    <t xml:space="preserve">Abbadi, A (corresponding author), Karolinska Inst, Aging Res Ctr, Dept Neurobiol Care Sci &amp; Soc, Solna, Sweden.;Abbadi, A (corresponding author), Stockholm Univ, Solna, Sweden.;Abbadi, A (corresponding author), Karolinska Inst, Dept Med Epidemiol &amp; Biostat, Solna, Sweden.</t>
  </si>
  <si>
    <t xml:space="preserve">ahmad.abbadi@ki.se</t>
  </si>
  <si>
    <t xml:space="preserve">Sanmartin Berglund, Johan/HGB-0471-2022; Calderón-Larrañaga, Amaia/ABC-6828-2021; Abbadi, Ahmad/J-6136-2013; Wimo, Anders/ABA-2678-2021; Sköldunger, Anders/ABF-4952-2021; Orsini, Nicola/A-3602-2012</t>
  </si>
  <si>
    <t xml:space="preserve">Orsini, Nicola/0000-0002-2210-5634; Elmstahl, Solve/0000-0001-7153-5414; Berglund, Johan/0000-0003-4312-2246; Kokoroskos, Emmanouil/0009-0007-4250-2294; Stamets, Matthew/0009-0000-8702-9233; Skoldunger, Anders/0000-0001-8439-2248; Abbadi, Ahmad/0000-0001-9373-668X; Wimo, Anders/0000-0003-0963-5750</t>
  </si>
  <si>
    <t xml:space="preserve">Karolinska Institute; National E-infrastructure for Aging Research (NEAR)</t>
  </si>
  <si>
    <t xml:space="preserve">Karolinska Institute(Karolinska Institutet); National E-infrastructure for Aging Research (NEAR)</t>
  </si>
  <si>
    <t xml:space="preserve">We would like to thank all the participants to the SNAC cohorts for helping advance research, and all the healthcare workers and data managers across the SNAC cohorts for their help with data collection. We would also like to acknowledge the National E-infrastructure for Aging Research (NEAR) (website: https://www.near-aging.se/) for the provided analytical support.</t>
  </si>
  <si>
    <t xml:space="preserve">1741-7015</t>
  </si>
  <si>
    <t xml:space="preserve">BMC MED</t>
  </si>
  <si>
    <t xml:space="preserve">BMC Med.</t>
  </si>
  <si>
    <t xml:space="preserve">JUN 10</t>
  </si>
  <si>
    <t xml:space="preserve">10.1186/s12916-024-03454-4</t>
  </si>
  <si>
    <t xml:space="preserve">TU4V6</t>
  </si>
  <si>
    <t xml:space="preserve">WOS:001243769800002</t>
  </si>
  <si>
    <t xml:space="preserve">Andersson, EK; Dallora, AL; Marcinowicz, L; Stjernberg, L; Bjoerling, G; Anderberg, P; Bohman, D</t>
  </si>
  <si>
    <t xml:space="preserve">Andersson, Ewa K.; Dallora, Ana Luiza; Marcinowicz, Ludmila; Stjernberg, Louise; Bjoerling, Gunilla; Anderberg, Peter; Bohman, Doris</t>
  </si>
  <si>
    <t xml:space="preserve">Self-Reported eHealth literacy among nursing students in Sweden and Poland: The eNursEd cross-sectional multicentre study</t>
  </si>
  <si>
    <t xml:space="preserve">Cross-sectional multicentre study; eHealth literacy; nursing education; nursing student</t>
  </si>
  <si>
    <t xml:space="preserve">NURSES; SKILLS</t>
  </si>
  <si>
    <t xml:space="preserve">This study aimed to provide an understanding of nursing students' self-reported eHealth literacy in Sweden and Poland. This cross-sectional multicentre study collected data via a questionnaire in three universities in Sweden and Poland. Descriptive statistics, the Spearman's Rank Correlation Coefficient, Mann-Whitney U, and Kruskal-Wallis tests were used to analyse different data types. Age (in the Polish sample), semester, perceived computer or laptop skills, and frequency of health-related Internet searches were associated with eHealth literacy. No gender differences were evidenced in regard to the eHealth literacy. Regarding attitudes about eHealth, students generally agreed on the importance of eHealth and technical aspects of their education. The importance of integrating eHealth literacy skills in the curricula and the need to encourage the improvement of these skills for both students and personnel are highlighted, as is the importance of identifying students with lacking computer skills.</t>
  </si>
  <si>
    <t xml:space="preserve">[Andersson, Ewa K.] Linnaeus Univ, Dept Hlth &amp; Caring Sci, Vaxjo, Sweden; [Dallora, Ana Luiza; Anderberg, Peter; Bohman, Doris] Blekinge Inst Technol, Dept Hlth, Karlskrona, Sweden; [Marcinowicz, Ludmila] Med Univ Bialystok, Fac Hlth Sci, Bialystok, Poland; [Stjernberg, Louise] Malmo Univ, Dept Care Sci, Malmo, Sweden; [Stjernberg, Louise] Swedish Red Cross Univ, Huddinge, Sweden; [Bjoerling, Gunilla] Jonkoping Univ, Sch Hlth &amp; Welf, Jonkoping, Sweden; [Bjoerling, Gunilla] Karolinska Inst, Dept Neurobiol Care Sci &amp; Soc, Solna, Sweden; [Bjoerling, Gunilla] Kilimanjaro Christian Med Univ Coll, Fac Nursing, Moshi, Tanzania; [Anderberg, Peter] Univ Skovde, Sch Hlth Sci, Skovde, Sweden; [Bohman, Doris] North West Univ, Optentia Res Unit, Vanderbijlpark Campus, Vanderbijlpark, South Africa; [Andersson, Ewa K.] Linnaeus Univ, Fac Hlth &amp; Life Sci, Univsplatsen 1, S-35195 Vaxjo, Sweden</t>
  </si>
  <si>
    <t xml:space="preserve">Linnaeus University; Blekinge Institute Technology; Medical University of Bialystok; Malmo University; Jonkoping University; Karolinska Institutet; University of Skovde; North West University - South Africa; Linnaeus University</t>
  </si>
  <si>
    <t xml:space="preserve">Andersson, EK (corresponding author), Linnaeus Univ, Fac Hlth &amp; Life Sci, Univsplatsen 1, S-35195 Vaxjo, Sweden.</t>
  </si>
  <si>
    <t xml:space="preserve">ewa.andersson@lnu.se</t>
  </si>
  <si>
    <t xml:space="preserve">Stjernberg, Louise/GXG-5465-2022; Bjorling, Gunilla/AAE-2255-2019; Anderberg, Peter/B-5541-2012; Bjorling, Gunilla/B-8157-2017</t>
  </si>
  <si>
    <t xml:space="preserve">Bohman, Doris/0000-0002-5687-7894; Andersson, Ewa K/0000-0002-4282-8901; Anderberg, Peter/0000-0001-9870-8477; Bjorling, Gunilla/0000-0003-1445-900X</t>
  </si>
  <si>
    <t xml:space="preserve">We would like to thank the nursing students for taking time to participate in this study.</t>
  </si>
  <si>
    <t xml:space="preserve">10.1177/14604582231214588</t>
  </si>
  <si>
    <t xml:space="preserve">Y6ST9</t>
  </si>
  <si>
    <t xml:space="preserve">WOS:001106545500001</t>
  </si>
  <si>
    <t xml:space="preserve">Yu, X; Liu, J; Keung, JW; Li, Q; Bennin, KE; Xu, Z; Wang, JP; Cui, XH</t>
  </si>
  <si>
    <t xml:space="preserve">Yu, Xiao; Liu, Jin; Keung, Jacky Wai; Li, Qing; Bennin, Kwabena Ebo; Xu, Zhou; Wang, Junping; Cui, Xiaohui</t>
  </si>
  <si>
    <t xml:space="preserve">Improving Ranking-Oriented Defect Prediction Using a Cost-Sensitive Ranking SVM</t>
  </si>
  <si>
    <t xml:space="preserve">IEEE TRANSACTIONS ON RELIABILITY</t>
  </si>
  <si>
    <t xml:space="preserve">Support vector machines; Software; Prediction algorithms; Predictive models; Testing; Software algorithms; Computer science; Cost-sensitive learning; data imbalance; ranking-oriented defect prediction (RODP)</t>
  </si>
  <si>
    <t xml:space="preserve">SUPPORT VECTOR MACHINE; GENETIC ALGORITHM; FEATURE-SELECTION; NEURAL-NETWORKS; COUNT MODELS; SOFTWARE; CLASSIFICATION; REGRESSION; NUMBER; FAULTS</t>
  </si>
  <si>
    <t xml:space="preserve">Context: Ranking-oriented defect prediction (RODP) ranks software modules to allocate limited testing resources to each module according to the predicted number of defects. Most RODP methods overlook that ranking a module with more defects incorrectly makes it difficult to successfully find all of the defects in the module due to fewer testing resources being allocated to the module, which results in much higher costs than incorrectly ranking the modules with fewer defects, and the numbers of defects in software modules are highly imbalanced in defective software datasets. Cost-sensitive learning is an effective technique in handling the cost issue and data imbalance problem for software defect prediction. However, the effectiveness of cost-sensitive learning has not been investigated in RODP models. Aims: In this article, we propose a cost-sensitive ranking support vector machine (SVM) (CSRankSVM) algorithm to improve the performance of RODP models. Method: CSRankSVM modifies the loss function of the ranking SVM algorithm by adding two penalty parameters to address both the cost issue and the data imbalance problem. Additionally, the loss function of the CSRankSVM is optimized using a genetic algorithm. Results: The experimental results for 11 project datasets with 41 releases show that CSRankSVM achieves 1.12%-15.68% higher average fault percentile average (FPA) values than the five existing RODP methods (i.e., decision tree regression, linear regression, Bayesian ridge regression, ranking SVM, and learning-to-rank (LTR)) and 1.08%-15.74% higher average FPA values than the four data imbalance learning methods (i.e., random undersampling and a synthetic minority oversampling technique; two data resampling methods; RankBoost, an ensemble learning method; IRSVM, a CSRankSVM method for information retrieval). Conclusion: CSRankSVM is capable of handling the cost issue and data imbalance problem in RODP methods and achieves better performance. Therefore, CSRankSVM is recommended as an effective method for RODP.</t>
  </si>
  <si>
    <t xml:space="preserve">[Yu, Xiao; Liu, Jin; Xu, Zhou] Wuhan Univ, Sch Comp Sci, Wuhan 430072, Peoples R China; [Yu, Xiao; Keung, Jacky Wai] City Univ Hong Kong, Dept Comp Sci, Hong Kong, Peoples R China; [Liu, Jin] Chinese Acad Sci, Inst Informat Engn, Key Lab Network Technol, Beijing 100000, Peoples R China; [Liu, Jin] Guilin Univ Elect Technol, Guangxi Key Lab Trusted Software, Guilin 541000, Peoples R China; [Li, Qing] Hong Kong Polytech Univ, Dept Comp, Hong Kong, Peoples R China; [Bennin, Kwabena Ebo] Blekinge Inst Technol, Dept Software Engn, S-37134 Karlskrona, Sweden; [Wang, Junping] Chinese Acad Sci, Inst Automat, Lab Precis Sensing &amp; Control Ctr, Beijing 100000, Peoples R China; [Cui, Xiaohui] Wuhan Univ, Sch Cyber Sci &amp; Engn, Wuhan 430072, Peoples R China</t>
  </si>
  <si>
    <t xml:space="preserve">Wuhan University; City University of Hong Kong; Chinese Academy of Sciences; Guilin University of Electronic Technology; Hong Kong Polytechnic University; Blekinge Institute Technology; Chinese Academy of Sciences; Institute of Automation, CAS; Wuhan University</t>
  </si>
  <si>
    <t xml:space="preserve">Liu, J (corresponding author), Wuhan Univ, Sch Comp Sci, Wuhan 430072, Peoples R China.;Keung, JW (corresponding author), City Univ Hong Kong, Dept Comp Sci, Hong Kong, Peoples R China.;Liu, J (corresponding author), Chinese Acad Sci, Inst Informat Engn, Key Lab Network Technol, Beijing 100000, Peoples R China.;Liu, J (corresponding author), Guilin Univ Elect Technol, Guangxi Key Lab Trusted Software, Guilin 541000, Peoples R China.</t>
  </si>
  <si>
    <t xml:space="preserve">xiaoyu_whu@yahoo.com; jinliu@whu.edu.cn; jacky.keung@cityu.edu.hk; csqli@comp.polyu.edu.hk; kwabena.ebo.bennin@bth.se; zhouxullx@whu.edu.cn; wangjunping@bupt.edu.cn; xcui@whu.edu.cn</t>
  </si>
  <si>
    <t xml:space="preserve">Keung, Jacky/ABA-7089-2020; Li, Qing/H-4100-2011</t>
  </si>
  <si>
    <t xml:space="preserve">Li, Qing/0000-0003-3370-471X; Liu, Jin/0000-0003-0359-0248; Bennin, Kwabena/0000-0001-9140-9271; Wang, Junping/0000-0003-4355-9827; cui, xiaohui/0000-0001-6079-009X; Keung, Jacky/0000-0002-3803-9600</t>
  </si>
  <si>
    <t xml:space="preserve">National Key R&amp;D Program of China [2018YFC1604000]; National Natural Science Foundation of China [61572374, U163620068, U1135005, 61572371, 61772525]; Open Fund of Key Laboratory of Network Assessment Technology from CAS; Guangxi Key Laboratory of Trusted Software [kx201607]; Academic Team Building Plan for Young Scholars from Wuhan University [WHU2016012]; General Research Fund of the Research Grants Council of Hong Kong [11208017]; City University of Hong Kong [9678149, 7005028]; Intel [9220097]; Hong Kong Polytechnic University [9B0V]</t>
  </si>
  <si>
    <t xml:space="preserve">National Key R&amp;D Program of China; National Natural Science Foundation of China(National Natural Science Foundation of China (NSFC)); Open Fund of Key Laboratory of Network Assessment Technology from CAS; Guangxi Key Laboratory of Trusted Software; Academic Team Building Plan for Young Scholars from Wuhan University; General Research Fund of the Research Grants Council of Hong Kong; City University of Hong Kong(City University of Hong Kong); Intel(Intel Corporation); Hong Kong Polytechnic University(Hong Kong Polytechnic University)</t>
  </si>
  <si>
    <t xml:space="preserve">This work was supported in part by the National Key R&amp;D Program of China under Grant 2018YFC1604000, in part by the National Natural Science Foundation of China under Grant 61572374, Grant U163620068, Grant U1135005, Grant 61572371, and Grant 61772525, in part by the Open Fund of Key Laboratory of Network Assessment Technology from CAS, Guangxi Key Laboratory of Trusted Software under Grant kx201607, in part by the Academic Team Building Plan for Young Scholars from Wuhan University under Grant WHU2016012, in part by the General Research Fund of the Research Grants Council of Hong Kong under Grant 11208017, in part by the research funds of City University of Hong Kong under Grant 9678149, Grant 7005028, and Grant 9678149, in part by the Research Support Fund by Intel under Grant 9220097, and in part by a start-up fund under Grant 9B0V from the Hong Kong Polytechnic University.</t>
  </si>
  <si>
    <t xml:space="preserve">0018-9529</t>
  </si>
  <si>
    <t xml:space="preserve">1558-1721</t>
  </si>
  <si>
    <t xml:space="preserve">IEEE T RELIAB</t>
  </si>
  <si>
    <t xml:space="preserve">IEEE Trans. Reliab.</t>
  </si>
  <si>
    <t xml:space="preserve">10.1109/TR.2019.2931559</t>
  </si>
  <si>
    <t xml:space="preserve">Computer Science, Hardware &amp; Architecture; Computer Science, Software Engineering; Engineering, Electrical &amp; Electronic</t>
  </si>
  <si>
    <t xml:space="preserve">LD8PG</t>
  </si>
  <si>
    <t xml:space="preserve">WOS:000526289100010</t>
  </si>
  <si>
    <t xml:space="preserve">Monje, A; Amerio, E; Cha, JK; Kotsakis, G; Pons, R; Renvert, S; Sanz-Martin, I; Schwarz, F; Sculean, A; Stavropoulos, A; Tarnow, D; Wang, HL</t>
  </si>
  <si>
    <t xml:space="preserve">Monje, Alberto; Amerio, Ettore; Cha, Jae Kook; Kotsakis, Georgios; Pons, Ramon; Renvert, Stefan; Sanz-Martin, Ignacio; Schwarz, Frank; Sculean, Anton; Stavropoulos, Andreas; Tarnow, Dennis; Wang, Hom-Lay</t>
  </si>
  <si>
    <t xml:space="preserve">Strategies for implant surface decontamination in peri-implantitis therapy</t>
  </si>
  <si>
    <t xml:space="preserve">INTERNATIONAL JOURNAL OF ORAL IMPLANTOLOGY</t>
  </si>
  <si>
    <t xml:space="preserve">dental implant; dental implantation; peri-implant endosseous healing; peri-implantitis</t>
  </si>
  <si>
    <t xml:space="preserve">IN-VITRO EVALUATION; ER-YAG LASER; GUIDED BONE REGENERATION; TITANIUM DENTAL IMPLANTS; ANTIMICROBIAL PHOTODYNAMIC THERAPY; COMBINED SURGICAL THERAPY; POWDER ABRASIVE TREATMENT; 3-YEAR CLINICAL-TRIAL; ALUMINUM-GARNET LASER; SHAPED ORAL IMPLANTS</t>
  </si>
  <si>
    <t xml:space="preserve">Peri-implantitis is an infectious disease that leads to progressive bone loss. Surgical therapy has been advocated as a way of halting its progression and re-establishing peri-implant health. One of the most challenging but crucial tasks in the management of peri-implantitis is biofilm removal to achieve reosseointegration and promote the reduction of peri-implant pockets. A wide var-iety of strategies have been used for implant surface decontamination. Mechanical means have been demonstrated to be effective in eliminating calculus deposits and residual debris; however, the presence of undercuts and the grooves and porosities along the roughened implant surface make it difficult to achieve an aseptic surface. In conjunction with mechanical measures, use of chemical adjuncts has been advocated to dilute bacterial concentrations, destroy the bacteria's organic components and eliminate endotoxins. Pharmacological adjuncts have also been recommended to diminish the bacterial load. Other strategies, such as use of lasers, implantoplasty and electrolysis, have been suggested for implant surface decontamination to promote predictable clinical and radiographic outcomes.</t>
  </si>
  <si>
    <t xml:space="preserve">[Monje, Alberto] Univ Int Catalunya, Dept Periodontol, C Josep Trueta S N, Sant Cugat Del Valles 08195, Spain; [Monje, Alberto; Wang, Hom-Lay] Univ Michigan, Sch Dent Med, Dept Periodontol, Ann Arbor, MI USA; [Amerio, Ettore; Pons, Ramon; Sanz-Martin, Ignacio] Univ Int Catalunya, Dept Periodontol, Barcelona, Spain; [Cha, Jae Kook] Yonsei Univ, Res Inst Periodontal Regenerat, Coll Dent, Dept Periodontol, Seoul, South Korea; [Kotsakis, Georgios] Univ Texas Hlth Sci Ctr San Antonio, Dept Periodont, UT Hlth San Antonio, San Antonio, TX USA; [Renvert, Stefan] Kristianstad Univ, Dept Hlth Sci, Kristianstad, Sweden; [Renvert, Stefan] Blekinge Inst Technol, Dept Hlth, Karlskrona, Sweden; [Schwarz, Frank] Goethe Univ, Dept Oral Surg &amp; Implantol, Carolinum, Frankfurt, Germany; [Sculean, Anton] Univ Bern, ZMK Sch Dent, Dept Periodontol, Bern, Switzerland; [Tarnow, Dennis] Columbia Univ, Dept Periodont, New York, NY USA</t>
  </si>
  <si>
    <t xml:space="preserve">Universitat Internacional de Catalunya (UIC); University of Michigan System; University of Michigan; Universitat Internacional de Catalunya (UIC); Yonsei University; Yonsei University Health System; University of Texas System; University of Texas Health Science Center at San Antonio; Kristianstad University; Blekinge Institute Technology; Goethe University Frankfurt; University of Bern; Columbia University</t>
  </si>
  <si>
    <t xml:space="preserve">Monje, A (corresponding author), Univ Int Catalunya, Dept Periodontol, C Josep Trueta S N, Sant Cugat Del Valles 08195, Spain.</t>
  </si>
  <si>
    <t xml:space="preserve">amonjec@umich.edu</t>
  </si>
  <si>
    <t xml:space="preserve">Stavropoulos, Andreas/ABB-8691-2021; Cha, Jae Kook/KQT-9083-2024; Martin, Ignacio/M-3844-2015; Renvert, Stefan/AAM-2415-2020; Schwarz, Frank/ABB-5319-2021; Pons, Ramon/LDG-2313-2024</t>
  </si>
  <si>
    <t xml:space="preserve">Oh, Sang-Yeob/0000-0001-6817-9834; Schwarz, Frank/0000-0002-5873-9903; Wang, Hom-Lay/0000-0003-4238-1799</t>
  </si>
  <si>
    <t xml:space="preserve">2631-6420</t>
  </si>
  <si>
    <t xml:space="preserve">2631-6439</t>
  </si>
  <si>
    <t xml:space="preserve">INT J ORAL IMPL</t>
  </si>
  <si>
    <t xml:space="preserve">Int. J. Oral Implant.</t>
  </si>
  <si>
    <t xml:space="preserve">5U2PA</t>
  </si>
  <si>
    <t xml:space="preserve">WOS:000876394200002</t>
  </si>
  <si>
    <t xml:space="preserve">Santos, A; Vegas, S; Dieste, O; Uyaguari, F; Tosun, A; Fucci, D; Turhan, B; Scanniello, G; Romano, S; Karac, I; Kuhrmann, M; Mandic, V; Ramac, R; Pfahl, D; Engblom, C; Kyykka, J; Rungi, K; Palomeque, C; Spisak, J; Oivo, M; Juristo, N</t>
  </si>
  <si>
    <t xml:space="preserve">Santos, Adrian; Vegas, Sira; Dieste, Oscar; Uyaguari, Fernando; Tosun, Ayse; Fucci, Davide; Turhan, Burak; Scanniello, Giuseppe; Romano, Simone; Karac, Itir; Kuhrmann, Marco; Mandic, Vladimir; Ramac, Robert; Pfahl, Dietmar; Engblom, Christian; Kyykka, Jarno; Rungi, Kerli; Palomeque, Carolina; Spisak, Jaroslav; Oivo, Markku; Juristo, Natalia</t>
  </si>
  <si>
    <t xml:space="preserve">A family of experiments on test-driven development</t>
  </si>
  <si>
    <t xml:space="preserve">Family of experiments; Test-driven development; Industry; Academia; Quality</t>
  </si>
  <si>
    <t xml:space="preserve">INDIVIDUAL PARTICIPANT DATA; EXTERNAL QUALITY; METAANALYSIS; PRODUCTIVITY</t>
  </si>
  <si>
    <t xml:space="preserve">Context: Test-driven development (TDD) is an agile software development approach that has been widely claimed to improve software quality. However, the extent to which TDD improves quality appears to be largely dependent upon the characteristics of the study in which it is evaluated (e.g., the research method, participant type, programming environment, etc.). The particularities of each study make the aggregation of results untenable. Objectives: The goal of this paper is to: increase the accuracy and generalizability of the results achieved in isolated experiments on TDD, provide joint conclusions on the performance of TDD across different industrial and academic settings, and assess the extent to which the characteristics of the experiments affect the quality-related performance of TDD. Method: We conduct a family of 12 experiments on TDD in academia and industry. We aggregate their results by means of meta-analysis. We perform exploratory analyses to identify variables impacting the quality-related performance of TDD. Results: TDD novices achieve a slightly higher code quality with iterative test-last development (i.e., ITL, the reverse approach of TDD) than with TDD. The task being developed largely determines quality. The programming environment, the order in which TDD and ITL are applied, or the learning effects from one development approach to another do not appear to affect quality. The quality-related performance of professionals using TDD drops more than for students. We hypothesize that this may be due to their being more resistant to change and potentially less motivated than students. Conclusion: Previous studies seem to provide conflicting results on TDD performance (i.e., positive vs. negative, respectively). We hypothesize that these conflicting results may be due to different study durations, experiment participants being unfamiliar with the TDD process, or case studies comparing the performance achieved by TDD vs. the control approach (e.g., the waterfall model), each applied to develop a different system. Further experiments with TDD experts are needed to validate these hypotheses.</t>
  </si>
  <si>
    <t xml:space="preserve">[Santos, Adrian; Turhan, Burak; Karac, Itir; Oivo, Markku] Univ Oulu, Oulu, Finland; [Vegas, Sira; Dieste, Oscar; Juristo, Natalia] Univ Politecn Madrid, Madrid, Spain; [Uyaguari, Fernando; Palomeque, Carolina] ETAPA, Cuenca, Ecuador; [Tosun, Ayse] Istanbul Tech Univ, Istanbul, Turkey; [Fucci, Davide] Blekinge Inst Technol, Karlskrona, Sweden; [Scanniello, Giuseppe] Univ Basilicata, Potenza, Italy; [Romano, Simone] Univ Bari, Bari, Italy; [Kuhrmann, Marco] Univ Passau, Passau, Germany; [Mandic, Vladimir; Ramac, Robert] Univ Novi Sad, Novi Sad, Serbia; [Pfahl, Dietmar] Univ Tartu, Tartu, Estonia; [Engblom, Christian; Kyykka, Jarno] Ericsson, Jorvas, Finland; [Rungi, Kerli] Testlio, Tartu, Estonia; [Spisak, Jaroslav] Paf, Helsinki, Finland</t>
  </si>
  <si>
    <t xml:space="preserve">University of Oulu; Universidad Politecnica de Madrid; Istanbul Technical University; Blekinge Institute Technology; University of Basilicata; Universita degli Studi di Bari Aldo Moro; University of Passau; University of Novi Sad; University of Tartu; Ericsson</t>
  </si>
  <si>
    <t xml:space="preserve">Vegas, S (corresponding author), Univ Politecn Madrid, Madrid, Spain.</t>
  </si>
  <si>
    <t xml:space="preserve">adrian.santos.parrilla@oulu.fi; svegas@fi.upm.es; odieste@fi.upm.es; fuyaguar@etapa.net.ec; tosunay@itu.edu.tr; davide.fucci@bth.se; burak.turhan@oulu.fi; giuseppe.scanniello@unibas.it; simone.romano@uniba.it; itir.karac@oulu.fi; kuhrmann@fim.uni-passau.de; vladman@uns.ac.rs; ramac.robert@uns.ac.rs; dietmar.pfahl@ut.ee; cpalomeq@etapa.net.ec; markku.oivo@oulu.fi; natalia@fi.upm.es</t>
  </si>
  <si>
    <t xml:space="preserve">Tosun, Ayse/B-4794-2014; Fucci, Davide/C-1463-2015; Vegas, Sira/R-6742-2018; Turhan, Burak/G-7400-2011; Mandic, Vladimir/I-6306-2019; Pfahl, Dietmar/H-3084-2015; Romano, Simone/JVZ-6529-2024; Dieste, Oscar/K-6193-2014</t>
  </si>
  <si>
    <t xml:space="preserve">Pfahl, Dietmar/0000-0003-2400-501X; Dieste, Oscar/0000-0002-3060-7853; Mandic, Vladimir/0000-0001-6996-2222; Romano, Simone/0000-0003-4880-3622</t>
  </si>
  <si>
    <t xml:space="preserve">FEDER/Spanish Ministry of Science and Innovation-Research State Agency [PGC2018-097265-B-I00]</t>
  </si>
  <si>
    <t xml:space="preserve">FEDER/Spanish Ministry of Science and Innovation-Research State Agency</t>
  </si>
  <si>
    <t xml:space="preserve">This research was developed with the support of project PGC2018-097265-B-I00, funded by: FEDER/Spanish Ministry of Science and Innovation-Research State Agency. We would like to thank the participants in the ESEIL experiments: this research would not have been possible without your help. We would also like to thank the anonymous reviewers for their valuable comments during the review of the manuscript.</t>
  </si>
  <si>
    <t xml:space="preserve">10.1007/s10664-020-09895-8</t>
  </si>
  <si>
    <t xml:space="preserve">RB4BR</t>
  </si>
  <si>
    <t xml:space="preserve">WOS:000632058500001</t>
  </si>
  <si>
    <t xml:space="preserve">Dabic, M; Maley, JF; Svarc, J; Pocek, J</t>
  </si>
  <si>
    <t xml:space="preserve">Dabic, Marina; Maley, Jane Frances; Svarc, Jadranka; Pocek, Jasna</t>
  </si>
  <si>
    <t xml:space="preserve">Future of digital work: Challenges for sustainable human resources management</t>
  </si>
  <si>
    <t xml:space="preserve">Digitalisation; Theories; Harm; Sustainable HRM; Work capabilities; Future of work</t>
  </si>
  <si>
    <t xml:space="preserve">ARTIFICIAL-INTELLIGENCE; TRANSFORMATION; CAPABILITIES; EMPLOYMENT; POLARIZATION; INNOVATION; INSIGHTS; ECONOMY; IMPACT; JOBS</t>
  </si>
  <si>
    <t xml:space="preserve">This research aims to present a synopsis of four eminent theoretical concepts that scholars have expended to help understand how digitalisation has changed the workplace as we used to know it. The research is based on a conceptual approach. It aims to critically synthesise the relevant literature as the principal methodology for analysing work in the selected four research domains where the perspective on digital work is most controversial. The study shows two central chronicles that have emerged due to workplace digitalisation - utopian and dystopian perspectives. The research sheds light on controversial discourses regarding changing nature of work in the digital era, particularly concerning work polarisation, non-standard employment, unemployment and platform work. The study also provides guidelines for change that help minimise the dark side and harm to the worker of digitalisation by developing appropriate capabilities for the new digital environment. (c) 2023 The Authors. Published by Elsevier Espana, S.L.U. on behalf of Journal of Innovation &amp; Knowledge. This is an open access article under the CC BY-NC-ND license (http://creativecommons.org/licenses/by-nc-nd/4.0/)</t>
  </si>
  <si>
    <t xml:space="preserve">[Dabic, Marina] Univ Zagreb, Fac Econ &amp; Business, JF Kennedy Sq 6, Zagreb 10000, Croatia; [Dabic, Marina] Univ Dubrovnik, Branitelja Dubrovnika 29, Dubrovnik 2000, Croatia; [Dabic, Marina] Univ Ljubljana, Sch Econ &amp; Business, Kardeljeva Ploscad 17, Ljubljana 1000, Slovenia; [Maley, Jane Frances] Sabanci Univ, Istanbul, Turkiye; [Maley, Jane Frances] Macquarie Univ, Fac Business &amp; Econ, Dept Management, Sydney, Australia; [Svarc, Jadranka] Inst Social Sci Ivo Pilar, Marulicev Trg 19, Zagreb 10000, Croatia; [Pocek, Jasna] Free Univ Bozen Bolzano, Fac Econ &amp; Management, Piazza Univ 1, I-39100 Bolzano, Italy; [Pocek, Jasna] Blekinge Inst Technol, Karlskrona, Sweden; [Pocek, Jasna] Lund Univ, CIRCLE, Lund, Sweden</t>
  </si>
  <si>
    <t xml:space="preserve">University of Zagreb; University of Ljubljana; Sabanci University; Macquarie University; Free University of Bozen-Bolzano; Blekinge Institute Technology; Lund University</t>
  </si>
  <si>
    <t xml:space="preserve">Dabic, M (corresponding author), Univ Zagreb, Fac Econ &amp; Business, JF Kennedy Sq 6, Zagreb 10000, Croatia.;Dabic, M (corresponding author), Univ Dubrovnik, Branitelja Dubrovnika 29, Dubrovnik 2000, Croatia.;Dabic, M (corresponding author), Univ Ljubljana, Sch Econ &amp; Business, Kardeljeva Ploscad 17, Ljubljana 1000, Slovenia.</t>
  </si>
  <si>
    <t xml:space="preserve">mdabic@efzg.hr</t>
  </si>
  <si>
    <t xml:space="preserve">Svarc, Jadranka/J-9562-2017; Maley, Jane/AAX-4168-2020; Dabic, Marina/E-6728-2014</t>
  </si>
  <si>
    <t xml:space="preserve">Svarc, Jadranka/0000-0003-1702-3674; Maley, Jane/0000-0002-7836-0204; Dabic, Marina/0000-0001-8374-9719; Pocek, Jasna/0000-0002-6362-2320</t>
  </si>
  <si>
    <t xml:space="preserve">European Union within the OpenInnoTrain project [823971]; Slovenian Research Agency [J5-2555]</t>
  </si>
  <si>
    <t xml:space="preserve">European Union within the OpenInnoTrain project; Slovenian Research Agency(Slovenian Research Agency - Slovenia)</t>
  </si>
  <si>
    <t xml:space="preserve">This research has received funding from the Horizon 2020 Programme of the European Union within the OpenInnoTrain project under grant agreement no. 823971. The content of this publication does not reflect the official opinion of the European Union. Responsibility for the information and views expressed the publication lies entirely with the author(s).Professor Marina Dabic's This research is supported by the Slovenian Research Agency Core Project Funding Organizing for Digital (J5-2555). This research is supported by the Slovenian Research Agency Core Project Funding Organizing for Digital (J5-2555).</t>
  </si>
  <si>
    <t xml:space="preserve">10.1016/j.jik.2023.100353</t>
  </si>
  <si>
    <t xml:space="preserve">J3GJ4</t>
  </si>
  <si>
    <t xml:space="preserve">WOS:001008524800001</t>
  </si>
  <si>
    <t xml:space="preserve">Palm, BG; Alves, DI; Pettersson, MI; Vu, VT; Machado, R; Cintra, RJ; Bayer, FM; Dammert, P; Hellsten, H</t>
  </si>
  <si>
    <t xml:space="preserve">Palm, Bruna G.; Alves, Dimas I.; Pettersson, Mats I.; Vu, Viet T.; Machado, Renato; Cintra, Renato J.; Bayer, Fabio M.; Dammert, Patrik; Hellsten, Hans</t>
  </si>
  <si>
    <t xml:space="preserve">Wavelength-Resolution SAR Ground Scene Prediction Based on Image Stack</t>
  </si>
  <si>
    <t xml:space="preserve">CARABAS II; ground scene prediction; image stack; multi-pass; SAR images</t>
  </si>
  <si>
    <t xml:space="preserve">URBAN AREAS; MODEL; NOISE; CLASSIFICATION; PERFORMANCE; REMOVAL; FILTER</t>
  </si>
  <si>
    <t xml:space="preserve">This paper presents five different statistical methods for ground scene prediction (GSP) in wavelength-resolution synthetic aperture radar (SAR) images. The GSP image can be used as a reference image in a change detection algorithm yielding a high probability of detection and low false alarm rate. The predictions are based on image stacks, which are composed of images from the same scene acquired at different instants with the same flight geometry. The considered methods for obtaining the ground scene prediction include (i) autoregressive models; (ii) trimmed mean; (iii) median; (iv) intensity mean; and (v) mean. It is expected that the predicted image presents the true ground scene without change and preserves the ground backscattering pattern. The study indicates that the the median method provided the most accurate representation of the true ground. To show the applicability of the GSP, a change detection algorithm was considered using the median ground scene as a reference image. As a result, the median method displayed the probability of detection of 97% and a false alarm rate of 0.11/ km(2), when considering military vehicles concealed in a forest.</t>
  </si>
  <si>
    <t xml:space="preserve">[Palm, Bruna G.] Univ Fed Pernambuco, Programa Posgrad Estat, BR-50670901 Recife, PE, Brazil; [Alves, Dimas I.] Univ Fed Pampa, Dept Engn Telecomunicacoes, BR-97546550 Alegrete, Brazil; [Alves, Dimas I.] Univ Fed Santa Catarina, Dept Engn Eletr, BR-88040900 Florianopolis, SC, Brazil; [Pettersson, Mats I.; Vu, Viet T.] Blekinge Inst Technol, Dept Math &amp; Nat Sci, S-37179 Karlskrona, Sweden; [Machado, Renato] Aeronaut Inst Technol ITA, Dept Telecommun, BR-12228900 Sao Jose Dos Campos, SP, Brazil; [Cintra, Renato J.] Univ Fed Pernambuco, Signal Proc Grp, BR-50670901 Recife, PE, Brazil; [Cintra, Renato J.] Univ Fed Pernambuco, Dept Estat, BR-50670901 Recife, PE, Brazil; [Cintra, Renato J.] Univ Calgary, Dept Elect &amp; Comp Engn, Calgary, AB T2N 1N4, Canada; [Cintra, Renato J.] Florida Int Univ, Dept Elect &amp; Comp Engn, Miami, FL 33199 USA; [Bayer, Fabio M.] Univ Fed Santa Maria, Dept Estat, BR-97105900 Santa Maria, RS, Brazil; [Bayer, Fabio M.] Univ Fed Santa Maria, LACESM, BR-97105900 Santa Maria, RS, Brazil; [Dammert, Patrik; Hellsten, Hans] Saab Elect Def Syst, S-41276 Gothenburg, Sweden</t>
  </si>
  <si>
    <t xml:space="preserve">Universidade Federal de Pernambuco; Universidade Federal do Pampa; Universidade Federal de Santa Catarina (UFSC); Blekinge Institute Technology; Universidade Federal de Pernambuco; Universidade Federal de Pernambuco; University of Calgary; State University System of Florida; Florida International University; Universidade Federal de Santa Maria (UFSM); Universidade Federal de Santa Maria (UFSM); Saab Group</t>
  </si>
  <si>
    <t xml:space="preserve">Palm, BG (corresponding author), Univ Fed Pernambuco, Programa Posgrad Estat, BR-50670901 Recife, PE, Brazil.</t>
  </si>
  <si>
    <t xml:space="preserve">brunagpalm@gmail.com; dimasalves@unipampa.edu.br; mats.pettersson@bth.se; viet.thuy.vu@bth.se; rmachado@ita.br; rjdsc@de.ufpe.br; bayer@ufsm.br; patrik.dammert@saabgroup.com; hans.hellsten@saabgroup.com</t>
  </si>
  <si>
    <t xml:space="preserve">G. Palm, Bruna/AAZ-4107-2021; Vu, Viet/JDW-0738-2023; Irion Alves, Dimas/AAY-4651-2021; Bayer, Fábio/G-4513-2012; Machado, Renato/P-8515-2018; Cintra, R/D-1288-2011; Pettersson, Mats/N-1063-2016</t>
  </si>
  <si>
    <t xml:space="preserve">Irion Alves, Dimas/0000-0002-5443-6446; Pettersson, Mats/0000-0002-6643-312X; G. Palm, Bruna/0000-0003-0423-9927; Machado, Renato/0000-0003-0856-5391; Mariano Bayer, Fabio/0000-0002-1464-0805</t>
  </si>
  <si>
    <t xml:space="preserve">Conselho Nacional de Desenvolvimento Cientifico e Tecnologico, CNPq, Brazil; Coordenacao de Aperfeicoamento de Pessoal de Nivel Superior, CAPES, Brazil; Swedish-Brazilian Research and Innovation Centre (CISB); Saab AB</t>
  </si>
  <si>
    <t xml:space="preserve">Conselho Nacional de Desenvolvimento Cientifico e Tecnologico, CNPq, Brazil(Conselho Nacional de Desenvolvimento Cientifico e Tecnologico (CNPQ)); Coordenacao de Aperfeicoamento de Pessoal de Nivel Superior, CAPES, Brazil(Coordenacao de Aperfeicoamento de Pessoal de Nivel Superior (CAPES)); Swedish-Brazilian Research and Innovation Centre (CISB); Saab AB</t>
  </si>
  <si>
    <t xml:space="preserve">This study was financed in part by the Conselho Nacional de Desenvolvimento Cientifico e Tecnologico, CNPq, Brazil, Coordenacao de Aperfeicoamento de Pessoal de Nivel Superior, CAPES, Brazil, Swedish-Brazilian Research and Innovation Centre (CISB), and Saab AB.</t>
  </si>
  <si>
    <t xml:space="preserve">10.3390/s20072008</t>
  </si>
  <si>
    <t xml:space="preserve">LT5KW</t>
  </si>
  <si>
    <t xml:space="preserve">WOS:000537110500204</t>
  </si>
  <si>
    <t xml:space="preserve">Despeissel, M; Acerbi, F; Arioli, V; Childe, S; Colombo, B; Evans, S; Chávez, CAG; Jones, S; Nujen, BB; Pezzotta, G; Powell, D; Melén, CT; Vasconcelos, M; Yang, MY; Wuest, T; Romero, D</t>
  </si>
  <si>
    <t xml:space="preserve">Thurer, M; Riedel, R; VonCieminski , G; Romero, D</t>
  </si>
  <si>
    <t xml:space="preserve">Despeissel, Melanie; Acerbi, Federica; Arioli, Veronica; Childe, Stephen; Colombo, Beatrice; Evans, Steve; Chavez, Clarissa A. Gonzalez; Jones, Saul; Nujen, Bella B.; Pezzotta, Giuditta; Powell, Daryl; Melen, Carl Toiler; Vasconcelos, Margarida; Yang, Miying; Wuest, Thorsten; Romero, David</t>
  </si>
  <si>
    <t xml:space="preserve">Research Challenges for Eco-Efficient and Circular Industrial Systems</t>
  </si>
  <si>
    <t xml:space="preserve">ADVANCES IN PRODUCTION MANAGEMENT SYSTEMS-PRODUCTION MANAGEMENT SYSTEMS FOR VOLATILE, UNCERTAIN, COMPLEX, AND AMBIGUOUS ENVIRONMENTS, APMS 2024, PT I</t>
  </si>
  <si>
    <t xml:space="preserve">43rd IFIP WG 5.7 International Conference on Advances in Production Management Systems (APMS)</t>
  </si>
  <si>
    <t xml:space="preserve">SEP 08-12, 2024</t>
  </si>
  <si>
    <t xml:space="preserve">Chemnitz Univ Tech &amp; West Saxon Univ Applied Sci Zwickau, Chemnitz, GERMANY</t>
  </si>
  <si>
    <t xml:space="preserve">Chemnitz Univ Tech &amp; West Saxon Univ Applied Sci Zwickau</t>
  </si>
  <si>
    <t xml:space="preserve">Circular Economy; Eco-efficiency; Industrial Sustainability; Research Agenda; Collaborative Research</t>
  </si>
  <si>
    <t xml:space="preserve">SUSTAINABILITY; FRAMEWORK</t>
  </si>
  <si>
    <t xml:space="preserve">The field of industrial sustainability is rapidly expanding with new concepts and frameworks emerging almost daily. At the same time, mature ones are being used in new applications and combined with new technologies and methodologies. While these developments are promising, the ambitions, scale, and speed of the change required to meet sustainability goals urgently need to increase. To accelerate industrial sustainability research and its impact, experts were invited to discuss research challenges in a webinar series focused on ten priority areas for eco-efficient and circular industrial systems. This paper presents the research challenges discussed to share sustainability practices, stimulate collaborations, and inspire change for more impactful applied research and knowledge transfer to industry.</t>
  </si>
  <si>
    <t xml:space="preserve">[Despeissel, Melanie; Chavez, Clarissa A. Gonzalez] Chalmers Univ Technol, Gothenburg, Sweden; [Acerbi, Federica] Politecn Milan, Milan, Italy; [Arioli, Veronica; Colombo, Beatrice; Pezzotta, Giuditta] Univ Bergamo, Bergamo, Italy; [Childe, Stephen] Univ Plymouth, Plymouth, Devon, England; [Evans, Steve; Jones, Saul] Univ Cambridge, Cambridge, England; [Nujen, Bella B.] Norwegian Univ Sci &amp; Technol, Alesund, Norway; [Powell, Daryl] SINTEF Mfg, Raufoss, Norway; [Melen, Carl Toiler] Blekinge Inst Technol, Karlskrona, Sweden; [Vasconcelos, Margarida] Inst Super Engn Porto, Porto, Portugal; [Yang, Miying] Cranfield Univ, Cranfield, Beds, England; [Wuest, Thorsten] West Virginia Univ, Morgantown, WV 26506 USA; [Romero, David] Tecnol Monterrey, Mexico City, DF, Mexico</t>
  </si>
  <si>
    <t xml:space="preserve">Chalmers University of Technology; Polytechnic University of Milan; University of Bergamo; University of Plymouth; University of Cambridge; Norwegian University of Science &amp; Technology (NTNU); Blekinge Institute Technology; Instituto Politecnico do Porto; Cranfield University; West Virginia University; Tecnologico de Monterrey</t>
  </si>
  <si>
    <t xml:space="preserve">Despeissel, M (corresponding author), Chalmers Univ Technol, Gothenburg, Sweden.</t>
  </si>
  <si>
    <t xml:space="preserve">melanie.despeisse@chalmers.se</t>
  </si>
  <si>
    <t xml:space="preserve">Pezzotta, Giuditta/AAF-2297-2021; Romero, David/GQA-9701-2022; Gonzalez Chavez, Clarissa/JAC-7856-2023; acerbi, federica/HKO-5846-2023; Colombo, Beatrice/GQO-9852-2022; Despeisse, Mélanie/AAO-6355-2021; Wuest, Thorsten/AAL-4457-2020</t>
  </si>
  <si>
    <t xml:space="preserve">IFIP WG5.7 on Advances in Production Management Systems</t>
  </si>
  <si>
    <t xml:space="preserve">The authors acknowledge the support from the IFIP WG5.7 on Advances in Production Management Systems, the members of the Special Interest Group on Eco-Efficient and Circular Industrial Systems (SIG ECIS), and all participants who joined the discussions during the SIG ECIS webinar series. Thank you for facilitating and joining the debate.</t>
  </si>
  <si>
    <t xml:space="preserve">978-3-031-71624-9; 978-3-031-71622-5; 978-3-031-71621-8</t>
  </si>
  <si>
    <t xml:space="preserve">10.1007/978-3-031-71622-5_2</t>
  </si>
  <si>
    <t xml:space="preserve">Computer Science, Interdisciplinary Applications; Green &amp; Sustainable Science &amp; Technology; Engineering, Manufacturing</t>
  </si>
  <si>
    <t xml:space="preserve">BY0HD</t>
  </si>
  <si>
    <t xml:space="preserve">WOS:001356130200002</t>
  </si>
  <si>
    <t xml:space="preserve">Alkhabbas, F; Alsadi, M; Alawadi, S; Awaysheh, FM; Kebande, VR; Moghaddam, MT</t>
  </si>
  <si>
    <t xml:space="preserve">Alkhabbas, Fahed; Alsadi, Mohammed; Alawadi, Sadi; Awaysheh, Feras M.; Kebande, Victor R.; Moghaddam, Mahyar T.</t>
  </si>
  <si>
    <t xml:space="preserve">ASSERT: A Blockchain-Based Architectural Approach for Engineering Secure Self-Adaptive IoT Systems</t>
  </si>
  <si>
    <t xml:space="preserve">Internet of Things; software architecture; self-adaptive and goal-driven systems; blockchain; security; multi-agent systems</t>
  </si>
  <si>
    <t xml:space="preserve">SERVICE COMPOSITION; STORAGE MECHANISM; FRAMEWORK; MODEL; INTERNET</t>
  </si>
  <si>
    <t xml:space="preserve">Internet of Things (IoT) systems are complex systems that can manage mission-critical, costly operations or the collection, storage, and processing of sensitive data. Therefore, security represents a primary concern that should be considered when engineering IoT systems. Additionally, several challenges need to be addressed, including the following ones. IoT systems' environments are dynamic and uncertain. For instance, IoT devices can be mobile or might run out of batteries, so they can become suddenly unavailable. To cope with such environments, IoT systems can be engineered as goal-driven and self-adaptive systems. A goal-driven IoT system is composed of a dynamic set of IoT devices and services that temporarily connect and cooperate to achieve a specific goal. Several approaches have been proposed to engineer goal-driven and self-adaptive IoT systems. However, none of the existing approaches enable goal-driven IoT systems to automatically detect security threats and autonomously adapt to mitigate them. Toward bridging these gaps, this paper proposes a distributed architectural Approach for engineering goal-driven IoT Systems that can autonomously SElf-adapt to secuRity Threats in their environments (ASSERT). ASSERT exploits techniques and adopts notions, such as agents, federated learning, feedback loops, and blockchain, for maintaining the systems' security and enhancing the trustworthiness of the adaptations they perform. The results of the experiments that we conducted to validate the approach's feasibility show that it performs and scales well when detecting security threats, performing autonomous security adaptations to mitigate the threats and enabling systems' constituents to learn about security threats in their environments collaboratively.</t>
  </si>
  <si>
    <t xml:space="preserve">[Alkhabbas, Fahed] Malmo Univ, Internet Things &amp; People Res Ctr, S-21119 Malmo, Sweden; [Alkhabbas, Fahed] Malmo Univ, Dept Comp Sci &amp; Media Technol, S-21119 Malmo, Sweden; [Alsadi, Mohammed] Norwegian Univ Sci &amp; Technol, Dept Comp Sci, N-7491 Trondheim, Norway; [Alawadi, Sadi] Uppsala Univ, Dept Informat Technol, S-75105 Uppsala, Sweden; [Alawadi, Sadi] Halmstad Univ, Ctr Appl Intelligent Syst Res, Sch Informat Technol, S-30118 Halmstad, Sweden; [Awaysheh, Feras M.] Univ Tartu, Delta Res Ctr, Inst Comp Sci, EE-51009 Tartu, Estonia; [Kebande, Victor R.] Blekinge Inst Technol, Dept Comp Sci DIDA, S-37179 Karlskrona, Sweden; [Moghaddam, Mahyar T.] Univ Southern Denmark, Maersk Mc Kinney Moller Inst MMMI, DK-5230 Odense, Denmark</t>
  </si>
  <si>
    <t xml:space="preserve">Malmo University; Malmo University; Norwegian University of Science &amp; Technology (NTNU); Uppsala University; Halmstad University; University of Tartu; Blekinge Institute Technology; University of Southern Denmark</t>
  </si>
  <si>
    <t xml:space="preserve">Alkhabbas, F (corresponding author), Malmo Univ, Internet Things &amp; People Res Ctr, S-21119 Malmo, Sweden.;Alkhabbas, F (corresponding author), Malmo Univ, Dept Comp Sci &amp; Media Technol, S-21119 Malmo, Sweden.</t>
  </si>
  <si>
    <t xml:space="preserve">fahed.alkhabbas@mau.se</t>
  </si>
  <si>
    <t xml:space="preserve">Awaysheh, Feras/AAG-7301-2019; alawadi, sadi/Q-8576-2016; R. Kebande, Victor/F-3934-2019</t>
  </si>
  <si>
    <t xml:space="preserve">Awaysheh, Feras/0000-0002-9561-6099; Alawadi, Sadi/0000-0002-6309-2892; R. Kebande, Victor/0000-0003-4071-4596; Alsadi, Mohammed/0000-0003-1635-5132</t>
  </si>
  <si>
    <t xml:space="preserve">Knowledge Foundation (Stiftelsen for Kunskapsoch Kompetensutveckling) [20140035]; European Social Fund via ICT programme measure; European Regional Development Funds via the Mobilitas Plus programme [MOBTT75]</t>
  </si>
  <si>
    <t xml:space="preserve">Knowledge Foundation (Stiftelsen for Kunskapsoch Kompetensutveckling); European Social Fund via ICT programme measure; European Regional Development Funds via the Mobilitas Plus programme</t>
  </si>
  <si>
    <t xml:space="preserve">This research was partially funded by the Knowledge Foundation (Stiftelsen for Kunskapsoch Kompetensutveckling), grant number 20140035. Further, the work of Feras M. Awaysheh has been financed by European Social Fund via ICT programme measure, European Regional Development Funds via the Mobilitas Plus programme, grant number MOBTT75.</t>
  </si>
  <si>
    <t xml:space="preserve">10.3390/s22186842</t>
  </si>
  <si>
    <t xml:space="preserve">4U7BZ</t>
  </si>
  <si>
    <t xml:space="preserve">WOS:000858946100001</t>
  </si>
  <si>
    <t xml:space="preserve">Tian, ZR; Sharma, A; Muresanu, DF; Sharma, S; Feng, LY; Zhang, ZQ; Li, C; Buzoianu, AD; Lafuente, JV; Nozari, A; Sjöqvisst, PO; Wiklund, L; Sharma, HS</t>
  </si>
  <si>
    <t xml:space="preserve">Janak, P; Jenner, P</t>
  </si>
  <si>
    <t xml:space="preserve">Tian, Z. Ryan; Sharma, Aruna; Muresanu, Dafin F.; Sharma, Suraj; Feng, Lianyuan; Zhang, Zhiqiang; Li, Cong; Buzoianu, Anca D.; Vicente Lafuente, Jose; Nozari, Ala; Sjoqvisst, Per-Ove; Wiklund, Lars; Sharma, Hari Shanker</t>
  </si>
  <si>
    <t xml:space="preserve">Nicotine neurotoxicity exacerbation following engineered Ag and Cu (50-60 nm) nanoparticles intoxication. Neuroprotection with nanowired delivery of antioxidant compound H-290/51 together with serotonin 5-HT3 receptor antagonist ondansetron</t>
  </si>
  <si>
    <t xml:space="preserve">NANOWIRED DELIVERY OF DRUGS AND ANTIBODIES FOR NEUROPROTECTION IN BRAIN DISEASES WITH CO-MORBIDITY FACTORS, PT B</t>
  </si>
  <si>
    <t xml:space="preserve">International Review of Neurobiology</t>
  </si>
  <si>
    <t xml:space="preserve">BLOOD-BRAIN-BARRIER; INDUCED OXIDATIVE STRESS; ELEMENT-BINDING PROTEIN; VENTRAL TEGMENTAL AREA; ACUTE HEAT EXPOSURE; EDEMA FORMATION; SYNAPTIC PLASTICITY; TOBACCO SMOKING; COGNITIVE DYSFUNCTION; CALCIUM ACCUMULATION</t>
  </si>
  <si>
    <t xml:space="preserve">Nicotine abuse is frequent worldwide leading to about 8 millions people die every year due to tobacco related diseases. Military personnel often use nicotine smoking that is about 12.8% higher than civilian populations. Nicotine smoking triggers oxidative stress and are linked to several neurodegenerative diseases such as Alzheimer's disease. Nicotine neurotoxicity induces significant depression and oxidative stress in the brain leading to neurovascular damages and brain pathology. Thus, details of nicotine neurotoxicity and factors influencing them require additional investigations. In this review, effects of engineered nanoparticles from metals Ag and Cu (50-60 nm) on nicotine neurotoxicity are discussed with regard to nicotine smoking. Military personnel often work in the environment where chances of nanoparticles exposure are quite common. In our earlier studies, we have shown that nanoparticles alone induces breakdown of the blood-brain barrier (BBB) and exacerbates brain pathology in animal models. In present investigation, nicotine exposure in with Ag or Cu nanoparticles intoxicated group exacerbated BBB breakdown, induce oxidative stress and aggravate brain pathology. Treatment with nanowired H-290/51 a potent chain-breaking antioxidant together with nanowired ondansetron, a potent 5-HT3 receptor antagonist significantly reduced oxidative stress, BBB breakdown and brain pathology in nicotine exposure associated with Ag or Cu nanoparticles intoxication. The functional significance of this findings and possible mechanisms of nicotine neurotoxicity are discussed based on current literature.</t>
  </si>
  <si>
    <t xml:space="preserve">[Tian, Z. Ryan] Univ Arkansas, Dept Chem &amp; Biochem, Fayetteville, AR USA; [Sharma, Aruna; Wiklund, Lars; Sharma, Hari Shanker] Uppsala Univ, Univ Uppsala Hosp, IECNSIR, Dept Surg Sci Anesthesiol &amp; Intens Care Med, Uppsala, Sweden; [Muresanu, Dafin F.] Univ Med &amp; Pharm, Dept Clin Neurosci, Cluj Napoca, Romania; [Muresanu, Dafin F.] RoNeuro Inst Neurol Res &amp; Diagnost, Mircea Eliade St, Cluj Napoca, Romania; [Sharma, Suraj; Feng, Lianyuan] BTH, Karlskrona, Sweden; [Zhang, Zhiqiang; Li, Cong] Bethune Int Peace Hosp, Dept Neurol, Zhongshan Rd West, Shijiazhuang, Hebei, Peoples R China; [Buzoianu, Anca D.] Guangzhou Univ Chinese Med, Affiliated Hosp 2, Dade Rd 111, Guangzhou, Peoples R China; [Buzoianu, Anca D.] Guangzhou Univ Chinese Med, Chinese Med Hosp Guangdong Prov, Dept Neurosurg, Dade Rd 111, Guangzhou, Peoples R China; [Vicente Lafuente, Jose] Iuliu Hatieganu Univ Med &amp; Pharm, Dept Clin Pharmacol &amp; Toxicol, Cluj Napoca, Romania; [Sharma, Hari Shanker] Univ Basque Country UPV EHU, Dept Neurosci, LaNCE, Leioa, Bizkaia, Spain; [Nozari, Ala] Boston Univ, Dept Anesthesiol, Albany Str, Boston, MA USA; [Sjoqvisst, Per-Ove] Karolinska Inst, Karolinska Univ Hosp, Dept Med, Div Cardiol, Stockholm, Sweden</t>
  </si>
  <si>
    <t xml:space="preserve">University of Arkansas System; University of Arkansas Fayetteville; Uppsala University; Uppsala University Hospital; Iuliu Hatieganu University of Medicine &amp; Pharmacy; Blekinge Institute Technology; Guangzhou University of Chinese Medicine; Guangzhou University of Chinese Medicine; Iuliu Hatieganu University of Medicine &amp; Pharmacy; University of Basque Country; Boston University; Karolinska Institutet; Karolinska University Hospital</t>
  </si>
  <si>
    <t xml:space="preserve">Sharma, A; Sharma, HS (corresponding author), Uppsala Univ, Univ Uppsala Hosp, IECNSIR, Dept Surg Sci Anesthesiol &amp; Intens Care Med, Uppsala, Sweden.;Sharma, HS (corresponding author), Univ Basque Country UPV EHU, Dept Neurosci, LaNCE, Leioa, Bizkaia, Spain.</t>
  </si>
  <si>
    <t xml:space="preserve">Aruna.Sharma@surgsci.uu.se; harishanker_sharma55@icloud.com</t>
  </si>
  <si>
    <t xml:space="preserve">Buzoianu, Anca/M-1050-2017; Nozari, Ala/AAH-6070-2021; Lafuente, Jose-Vicente/O-6395-2014</t>
  </si>
  <si>
    <t xml:space="preserve">Ministry of Science &amp; Technology, People Republic of China; Air Force Office of Scientific Research (EOARD, London, UK); Air Force Material Command, USAF [FA8655-05-1-3065]; Alzheimer's Association [IIRG-09-132087]; National Institutes of Health [R01 AG028679]; Dr. Robert M. Kohrman Memorial Fund; Swedish Medical Research Council [2710-HSS]; Goran Gustafsson Foundation, Stockholm, Sweden; Astra Zeneca, Molndal, Sweden; University Grants Commission, New Delhi, India; Ministry of Science &amp; Technology, Govt. of India; Indian Medical Research Council, New Delhi, India; India-EU Co-operation Program; Government of Basque Country [IT-901/16]; University of the Basque Country (UPV/EHU) [PPG 17/51, 14/08]; Basque Government Basque Country, Spain [IT-901/16, CS-2203]; Foundation for Nanoneuroscience and Nanoneuroprotection (FSNN), Romania</t>
  </si>
  <si>
    <t xml:space="preserve">Ministry of Science &amp; Technology, People Republic of China; Air Force Office of Scientific Research (EOARD, London, UK)(United States Department of DefenseAir Force Office of Scientific Research (AFOSR)); Air Force Material Command, USAF; Alzheimer's Association(Alzheimer's Association); National Institutes of Health(United States Department of Health &amp; Human ServicesNational Institutes of Health (NIH) - USA); Dr. Robert M. Kohrman Memorial Fund; Swedish Medical Research Council(Swedish Medical Research Council (SMRC)); Goran Gustafsson Foundation, Stockholm, Sweden; Astra Zeneca, Molndal, Sweden(AstraZeneca); University Grants Commission, New Delhi, India(University Grants Commission, India); Ministry of Science &amp; Technology, Govt. of India; Indian Medical Research Council, New Delhi, India; India-EU Co-operation Program; Government of Basque Country; University of the Basque Country (UPV/EHU); Basque Government Basque Country, Spain(Basque Government); Foundation for Nanoneuroscience and Nanoneuroprotection (FSNN), Romania</t>
  </si>
  <si>
    <t xml:space="preserve">This investigation is supported by grants from the Ministry of Science &amp; Technology, People Republic of China, the Air Force Office of Scientific Research (EOARD, London, UK), and Air Force Material Command, USAF, under grant number FA8655-05-1-3065; Grants from the Alzheimer's Association (IIRG-09-132087), the National Institutes of Health (R01 AG028679) and the Dr. Robert M. Kohrman Memorial Fund (RJC); Swedish Medical Research Council (Nr 2710-HSS), Goran Gustafsson Foundation, Stockholm, Sweden (HSS), Astra Zeneca, Molndal, Sweden (HSS/AS), The University Grants Commission, New Delhi, India (HSS/AS), Ministry of Science &amp; Technology, Govt. of India (HSS/AS), Indian Medical Research Council, New Delhi, India (HSS/AS); India-EU Co-operation Program (AS/HSS) and IT-901/16 (JVL), Government of Basque Country and PPG 17/51 (JVL). JVL thanks to the support of the University of the Basque Country (UPV/EHU) PPG 17/51 and 14/08, the Basque Government (IT-901/16 and CS-2203) Basque Country, Spain; and Foundation for Nanoneuroscience and Nanoneuroprotection (FSNN), Romania. Technical and human support provided by Dr. Ricardo Andrade from SGIker (UPV/EHU) is gratefully acknowledged. The U.S. Government is authorized to reproduce and distribute reprints for Government purpose notwithstanding any copyright notation thereon. The views and conclusions contained herein are those of the authors and should not be interpreted as necessarily representing the official policies or endorsements, either expressed or implied, of the Air Force Office of Scientific Research or the U.S. Government.</t>
  </si>
  <si>
    <t xml:space="preserve">ELSEVIER ACADEMIC PRESS INC</t>
  </si>
  <si>
    <t xml:space="preserve">525 B STREET, SUITE 1900, SAN DIEGO, CA 92101-4495 USA</t>
  </si>
  <si>
    <t xml:space="preserve">0074-7742</t>
  </si>
  <si>
    <t xml:space="preserve">2162-5514</t>
  </si>
  <si>
    <t xml:space="preserve">978-0-443-29468-6</t>
  </si>
  <si>
    <t xml:space="preserve">INT REV NEUROBIOL</t>
  </si>
  <si>
    <t xml:space="preserve">Int. Rev. Neurobiol.</t>
  </si>
  <si>
    <t xml:space="preserve">10.1016/bs.irn.2023.07.002</t>
  </si>
  <si>
    <t xml:space="preserve">Neurosciences; Pathology</t>
  </si>
  <si>
    <t xml:space="preserve">Book Citation Index – Science (BKCI-S)</t>
  </si>
  <si>
    <t xml:space="preserve">Neurosciences &amp; Neurology; Pathology</t>
  </si>
  <si>
    <t xml:space="preserve">BW0UH</t>
  </si>
  <si>
    <t xml:space="preserve">WOS:001101774000007</t>
  </si>
  <si>
    <t xml:space="preserve">Sandberg, J; Sundh, J; Anderberg, P; Currow, DC; Johnson, M; Lansing, R; Ekström, M</t>
  </si>
  <si>
    <t xml:space="preserve">Sandberg, Jacob; Sundh, Josefin; Anderberg, Peter; Currow, David C.; Johnson, Miriam; Lansing, Robert; Ekstrom, Magnus</t>
  </si>
  <si>
    <t xml:space="preserve">Comparing recalled versus experienced symptoms of breathlessness ratings: An ecological assessment study using mobile phone technology</t>
  </si>
  <si>
    <t xml:space="preserve">RESPIROLOGY</t>
  </si>
  <si>
    <t xml:space="preserve">breathlessness; dyspnoea symptoms; mEMA; mobile ecological momentary assessment; peak-end rule; recall of symptoms</t>
  </si>
  <si>
    <t xml:space="preserve">END RULE; RETROSPECTIVE MEMORY; PALLIATIVE CARE; INDUCED DYSPNEA; PEAK; PAIN; PATIENT; SCALES; MANAGEMENT; INTENSITY</t>
  </si>
  <si>
    <t xml:space="preserve">Background and objective Recall of breathlessness is important for clinical care but might differ from the experienced (momentary) symptoms. This study aimed to characterize the relationship between momentary breathlessness ratings and the recall of the experience. It is hypothesized that recall is influenced by the peak (worst) and end (most recent) ratings of momentary breathlessness (peak-end rule). Methods This study used mobile ecological momentary assessment (mEMA) for assessing breathlessness in daily life through an application installed on participants' mobile phones. Breathlessness ratings (0-10 numerical rating scale) were recorded throughout the day and recalled each night and at the end of the week. Analyses were performed using regular and mixed linear regression. Results Eighty-four people participated. Their mean age was 64.4 years, 60% were female and 98% had modified Medical Research Council (mMRC) &gt;= 1. The mean number of momentary ratings of breathlessness provided was 7.7 ratings/participant/day. Recalled breathlessness was associated with the mean, peak and end values of the day. The mean was most closely associated with the daily recall. Associations were strong for weekly values: peak breathlessness (beta = 0.95, r(2) = 0.57); mean (beta = 0.91, r(2) = 0.53); and end (beta = 0.67, r(2) = 0.48); p &lt; 0.001 for all. Multivariate analysis showed that peak breathlessness had the strongest influence on the breathlessness recalled at the end of the week. Conclusion Over 1 week, recalled breathlessness is most strongly influenced by the peak breathlessness; over 1 day, it is mean breathlessness that participants most readily recalled.</t>
  </si>
  <si>
    <t xml:space="preserve">[Sandberg, Jacob; Ekstrom, Magnus] Lund Univ, Dept Clin Sci, Div Resp Med &amp; Allergol, Lund, Sweden; [Sundh, Josefin] Orebro Univ, Sch Med Sci, Dept Resp Med, Orebro, Sweden; [Anderberg, Peter] Blekinge Inst Technol, Dept Hlth, Karlskrona, Sweden; [Currow, David C.; Johnson, Miriam] Univ Hull, Wolfson Palliat Care Res Ctr, Hull York Med Sch, Kingston Upon Hull, N Humberside, England; [Currow, David C.] Univ Wollongong, Fac Sci Med &amp; Hlth, IMPACCT, Wollongong, NSW, Australia; [Lansing, Robert] Univ Arizona, Dept Psychol, Tucson, AZ USA</t>
  </si>
  <si>
    <t xml:space="preserve">Lund University; Orebro University; Blekinge Institute Technology; University of Hull; University of York - UK; University of Wollongong; University of Arizona</t>
  </si>
  <si>
    <t xml:space="preserve">Sandberg, J (corresponding author), Lund Univ, Dept Clin Sci, Div Resp Med &amp; Allergol, Lund, Sweden.</t>
  </si>
  <si>
    <t xml:space="preserve">jacob.sandberg@gmail.com</t>
  </si>
  <si>
    <t xml:space="preserve">Sandberg, Jacob/AAL-8640-2021; Anderberg, Peter/B-5541-2012</t>
  </si>
  <si>
    <t xml:space="preserve">Sandberg, Jacob/0000-0003-1863-2033; Currow, David/0000-0003-1988-1250; Johnson, Miriam/0000-0001-6204-9158; Ekstrom, Magnus/0000-0002-7227-5113; Anderberg, Peter/0000-0001-9870-8477</t>
  </si>
  <si>
    <t xml:space="preserve">Hjrt-Lungfonden; Region Blekinge; Svenska Sllskapet for Medicinsk Forskning; Vetenskapsradet [2019-02081]; Swedish Research Council [2019-02081] Funding Source: Swedish Research Council</t>
  </si>
  <si>
    <t xml:space="preserve">Hjrt-Lungfonden; Region Blekinge; Svenska Sllskapet for Medicinsk Forskning; Vetenskapsradet(Swedish Research Council); Swedish Research Council(Swedish Research Council)</t>
  </si>
  <si>
    <t xml:space="preserve">Hjrt-Lungfonden; Region Blekinge; Svenska Sllskapet for Medicinsk Forskning; Vetenskapsradet, Grant/Award Number: 2019-02081</t>
  </si>
  <si>
    <t xml:space="preserve">1323-7799</t>
  </si>
  <si>
    <t xml:space="preserve">1440-1843</t>
  </si>
  <si>
    <t xml:space="preserve">Respirology</t>
  </si>
  <si>
    <t xml:space="preserve">10.1111/resp.14313</t>
  </si>
  <si>
    <t xml:space="preserve">Respiratory System</t>
  </si>
  <si>
    <t xml:space="preserve">4N4AH</t>
  </si>
  <si>
    <t xml:space="preserve">WOS:000810159200001</t>
  </si>
  <si>
    <t xml:space="preserve">Kjellberg, A; Douglas, J; Pawlik, MT; Kraus, M; Oscarsson, N; Zheng, XW; Bergman, P; Frånberg, O; Kowalski, JH; Nyren, SP; Silvanius, M; Skold, M; Catrina, SB; Rodriguez-Wallberg, KA; Lindholm, P</t>
  </si>
  <si>
    <t xml:space="preserve">Kjellberg, Anders; Douglas, Johan; Pawlik, Michael T.; Kraus, Michael; Oscarsson, Nicklas; Zheng, Xiaowei; Bergman, Peter; Franberg, Oskar; Kowalski, Jan H.; Nyren, Sven Paul; Silvanius, Marten; Skold, Magnus; Catrina, Sergiu-Bogdan; Rodriguez-Wallberg, Kenny A.; Lindholm, Peter</t>
  </si>
  <si>
    <t xml:space="preserve">Randomised, controlled, open label, multicentre clinical trial to explore safety and efficacy of hyperbaric oxygen for preventing ICU admission, morbidity and mortality in adult patients with COVID-19</t>
  </si>
  <si>
    <t xml:space="preserve">COVID-19; intensive &amp; critical care; immunology; infectious diseases; thoracic medicine</t>
  </si>
  <si>
    <t xml:space="preserve">THERAPY; DECOMPRESSION; MECHANISMS; BLOOD</t>
  </si>
  <si>
    <t xml:space="preserve">Introduction COVID-19 may cause severe pneumonitis and trigger a massive inflammatory response that requires ventilatory support. The intensive care unit (ICU)-mortality has been reported to be as high as 62%. Dexamethasone is the only of all anti-inflammatory drugs that have been tested to date that has shown a positive effect on mortality. We aim to explore if treatment with hyperbaric oxygen (HBO) is safe and effective for patients with severe COVID-19. Our hypothesis is that HBO can prevent ICU admission, morbidity and mortality by attenuating the inflammatory response. The primary objective is to evaluate if HBO reduces the number of ICU admissions compared with best practice treatment for COVID-19, main secondary objectives are to evaluate if HBO reduces the load on ICU resources, morbidity and mortality and to evaluate if HBO mitigates the inflammatory reaction in COVID-19. Methods and analysis A randomised, controlled, phase II, open label, multicentre trial. 200 subjects with severe COVID-19 and at least two risk factors for mortality will be included. Baseline clinical data and blood samples will be collected before randomisation and repeated daily for 7 days, at days 14 and 30. Subjects will be randomised with a computer-based system to HBO, maximum five times during the first 7 days plus best practice treatment or only best practice treatment. The primary endpoint, ICU admission, is defined by criteria for selection for ICU. We will evaluate if HBO mitigates the inflammatory reaction in COVID-19 using molecular analyses. All parameters are recorded in an electronic case report form. An independent Data Safety Monitoring Board will review the safety parameters. Ethics and dissemination The trial is approved by The National Institutional Review Board in Sweden (2020-01705) and the Swedish Medical Product Agency (5.1-2020-36673). Positive, negative and any inconclusive results will be published in peer-reviewed scientific journals with open access.</t>
  </si>
  <si>
    <t xml:space="preserve">[Kjellberg, Anders; Lindholm, Peter] Karolinska Inst, Dept Physiol &amp; Pharmacol, Stockholm, Sweden; [Kjellberg, Anders] Karolinska Univ Hosp, Perioperat Med &amp; Intens Care, Stockholm, Sweden; [Douglas, Johan] Blekinge Hosp Karlskrona, Dept Anaesthesia &amp; Intens Care, Karlskrona, Sweden; [Pawlik, Michael T.] Catholic Charities Hosp, Dept Anaesthesiol &amp; Intens Care Med, Regensburg, Germany; [Kraus, Michael] Bergmannsheil &amp; Kinderklin Buer GmbH, Dept Anaesthesiol &amp; Intens Care Med, Gelsenkirchen, Germany; [Oscarsson, Nicklas] Univ Gothenburg, Dept Anesthesiol &amp; Intens Care, Sahlgrenska Acad, Gothenburg, Sweden; [Zheng, Xiaowei; Nyren, Sven Paul; Catrina, Sergiu-Bogdan] Karolinska Inst, Dept Mol Med &amp; Surg, Stockholm, Sweden; [Bergman, Peter] Karolinska Inst, Dept Lab Med, Div Clin Microbiol, Stockholm, Sweden; [Franberg, Oskar] Blekinge Inst Technol, Dept Math &amp; Nat Sci, Karlskrona, Sweden; [Kowalski, Jan H.] JK Biostat AB, Stockholm, Sweden; [Nyren, Sven Paul] Karolinska Univ Hosp, Dept Radiol Solna, Stockholm, Sweden; [Silvanius, Marten] TIMN, Blekinge Inst Technol, Dept Math &amp; Nat Sci, Karlskrona, Sweden; [Silvanius, Marten] Swedish Armed Forces, SwAF Diving &amp; Naval Med Ctr, Karlskrona, Sweden; [Skold, Magnus] Karolinska Inst, Dept Med Solna, Stockholm, Sweden; [Skold, Magnus] Karolinska Univ Hosp, Dept Resp Med &amp; Allergy, Stockholm, Sweden; [Catrina, Sergiu-Bogdan] Acad Specialist Ctr, Ctr Diabet, Stockholm, Sweden; [Rodriguez-Wallberg, Kenny A.] Karolinska Univ, Dept Reprod Med, Div Gynecol &amp; Reprod, Stockholm, Sweden; [Rodriguez-Wallberg, Kenny A.] Karolinska Inst, Dept Oncol Pathol, Stockholm, Sweden; [Lindholm, Peter] UCSD, Dept Emergency Med, La Jolla, CA USA</t>
  </si>
  <si>
    <t xml:space="preserve">Karolinska Institutet; Karolinska Institutet; Karolinska University Hospital; University of Gothenburg; Karolinska Institutet; Karolinska Institutet; Blekinge Institute Technology; Karolinska Institutet; Karolinska University Hospital; Blekinge Institute Technology; Karolinska Institutet; Karolinska Institutet; Karolinska University Hospital; Karolinska Institutet; Karolinska University Hospital; Karolinska Institutet; University of California System; University of California San Diego</t>
  </si>
  <si>
    <t xml:space="preserve">Kjellberg, A (corresponding author), Karolinska Inst, Dept Physiol &amp; Pharmacol, Stockholm, Sweden.;Kjellberg, A (corresponding author), Karolinska Univ Hosp, Perioperat Med &amp; Intens Care, Stockholm, Sweden.</t>
  </si>
  <si>
    <t xml:space="preserve">anders.kjellberg@ki.se</t>
  </si>
  <si>
    <t xml:space="preserve">Franberg, Oskar/KHU-8967-2024; Kowalski, Jan/HDM-3504-2022; Zheng, Xiaofeng/G-2150-2019; Silvanius, Mårten/JEF-1281-2023; Kjellberg, Anders/ABC-3853-2020</t>
  </si>
  <si>
    <t xml:space="preserve">Zheng, Xiaowei/0000-0002-2648-1119; Pawlik, Michael/0000-0003-4594-4841; Doeser, Felicia/0000-0002-1357-6987; Franberg, Oskar/0000-0001-7051-3256; Kjellberg, Anders/0000-0002-4819-1024; Bergman, Peter/0000-0003-3306-3713</t>
  </si>
  <si>
    <t xml:space="preserve">Vetenskapsradet [KBF 2019-00446]</t>
  </si>
  <si>
    <t xml:space="preserve">Vetenskapsradet(Swedish Research Council)</t>
  </si>
  <si>
    <t xml:space="preserve">This work was supported by Vetenskapsradet (KBF 2019-00446), made available by redirecting funds to COVID-19 research originally awarded to Kenny Rodriguez--Wallberg.</t>
  </si>
  <si>
    <t xml:space="preserve">e046738</t>
  </si>
  <si>
    <t xml:space="preserve">10.1136/bmjopen-2020-046738</t>
  </si>
  <si>
    <t xml:space="preserve">UJ9NW</t>
  </si>
  <si>
    <t xml:space="preserve">WOS:000691605400012</t>
  </si>
  <si>
    <t xml:space="preserve">Gaiardelli, P; Pezzotta, G; Rondini, A; Romero, D; Jarrahi, F; Bertoni, M; Wiesner, S; Wuest, T; Larsson, T; Zaki, M; Jussen, P; Boucher, X; Bigdeli, AZ; Cavalieri, S</t>
  </si>
  <si>
    <t xml:space="preserve">Gaiardelli, Paolo; Pezzotta, Giuditta; Rondini, Alice; Romero, David; Jarrahi, Farnaz; Bertoni, Marco; Wiesner, Stefan; Wuest, Thorsten; Larsson, Tobias; Zaki, Mohamed; Jussen, Philipp; Boucher, Xavier; Bigdeli, Ali Z.; Cavalieri, Sergio</t>
  </si>
  <si>
    <t xml:space="preserve">Product-service systems evolution in the era of Industry 4.0</t>
  </si>
  <si>
    <t xml:space="preserve">SERVICE BUSINESS</t>
  </si>
  <si>
    <t xml:space="preserve">Product-service systems; Servitization; Service transformation; Industry 4; 0; Digitalisation; Research agenda</t>
  </si>
  <si>
    <t xml:space="preserve">Recent economic transformations have forced companies to redefine their value propositions, increasing traditional product offerings with supplementary services-the so-called Product-Service System (PSS). Among them, the adoption of Industry 4.0 technologies is very common. However, the directions that companies are undertaking to offer new value to their customers in the Industry 4.0 have not yet been investigated in detail. Based on a focus group, this paper contributes to this understanding by identifying the main trajectories that would shape a future scenario in which PSS and Industry 4.0 would merge. In addition, future research directions addressing (a) the transformation of the PSS value chain into a PSS ecosystem, (b) the transformation inside a single company towards becoming a PSS provider, and (c) the digital transformation of the traditional PSS business model are identified.</t>
  </si>
  <si>
    <t xml:space="preserve">[Gaiardelli, Paolo; Pezzotta, Giuditta; Rondini, Alice; Jarrahi, Farnaz; Cavalieri, Sergio] Univ Bergamo, Dept Management Informat &amp; Prod Engn, Dalmine, BG, Italy; [Romero, David] Tecnol Monterrey, Sch Engn &amp; Sci, Ctr Innovat Design &amp; Technol, Monterrey, Mexico; [Bertoni, Marco; Larsson, Tobias] Blekinge Inst Technol BTH, Dept Mech Engn, Karlskrona, Sweden; [Wiesner, Stefan] Univ Bremen, BIBA Bremer Inst Prod &amp; Logist GmbH, Bremen, Germany; [Wuest, Thorsten] West Virginia Univ, Ind &amp; Management Syst Engn IMSE Dept, Benjamin M Statler Coll Engn &amp; Mineral Resources, Morgantown, WV 26506 USA; [Zaki, Mohamed] Univ Cambridge, Inst Mfg, Dept Engn, Cambridge Serv Alliance, Cambridge, England; [Jussen, Philipp] Schaeffler Monitoring Serv GmbH, Aachen, Germany; [Boucher, Xavier] Univ Clermont Auvergne, Mines St Etienne, CNRS, UMR 6158,LIMOS Inst Fayol, St Etienne, France; [Bigdeli, Ali Z.] Aston Univ, Aston Business Sch, Operat &amp; Informat Management Dept, Birmingham, W Midlands, England</t>
  </si>
  <si>
    <t xml:space="preserve">University of Bergamo; Tecnologico de Monterrey; Blekinge Institute Technology; BIBA - Bremer Institut fur Produktion &amp; Logistik; University of Bremen; West Virginia University; University of Cambridge; Centre National de la Recherche Scientifique (CNRS); IMT - Institut Mines-Telecom; Mines Saint-Etienne; Universite Clermont Auvergne (UCA); Aston University</t>
  </si>
  <si>
    <t xml:space="preserve">Gaiardelli, P (corresponding author), Univ Bergamo, Dept Management Informat &amp; Prod Engn, Dalmine, BG, Italy.</t>
  </si>
  <si>
    <t xml:space="preserve">paolo.gaiardelli@unibg.it</t>
  </si>
  <si>
    <t xml:space="preserve">Larsson, Tobias/A-6795-2008; cavalieri, sergio/A-1273-2009; Pezzotta, Giuditta/AAF-2297-2021; Romero, David/GQA-9701-2022; Wiesner, Stefan/GYD-7786-2022; Zaki, Mohamed/W-5494-2019; Wuest, Thorsten/AAL-4457-2020; Wuest, Thorsten/A-2245-2014</t>
  </si>
  <si>
    <t xml:space="preserve">Romero, David/0000-0003-3610-0751; Wuest, Thorsten/0000-0001-7457-7927; Larsson, Tobias/0000-0002-9662-4576</t>
  </si>
  <si>
    <t xml:space="preserve">Universita degli studi di Bergamo; ESRC [ES/P010148/1] Funding Source: UKRI</t>
  </si>
  <si>
    <t xml:space="preserve">Universita degli studi di Bergamo; ESRC(UK Research &amp; Innovation (UKRI)Economic &amp; Social Research Council (ESRC))</t>
  </si>
  <si>
    <t xml:space="preserve">Open Access funding provided by Universita degli studi di Bergamo.</t>
  </si>
  <si>
    <t xml:space="preserve">1862-8516</t>
  </si>
  <si>
    <t xml:space="preserve">1862-8508</t>
  </si>
  <si>
    <t xml:space="preserve">SERV BUS</t>
  </si>
  <si>
    <t xml:space="preserve">Serv. Bus.</t>
  </si>
  <si>
    <t xml:space="preserve">10.1007/s11628-021-00438-9</t>
  </si>
  <si>
    <t xml:space="preserve">QL3SN</t>
  </si>
  <si>
    <t xml:space="preserve">WOS:000617415900001</t>
  </si>
  <si>
    <t xml:space="preserve">Garcia, R; Csizmadia, A; Pearce, JL; Alshaigy, B; Glebova, O; Harrington, B; Liaskos, K; Lunn, SJ; MacKellar, B; Nasir, U; Pettit, R; Prickett, T; Schulz, S; Stewart, C; Bernuy, AZ</t>
  </si>
  <si>
    <t xml:space="preserve">Garcia, Rita; Csizmadia, Andrew; Pearce, Janice L.; Alshaigy, Bedour; Glebova, Olga; Harrington, Brian; Liaskos, Konstantinos; Lunn, Stephanie J.; MacKellar, Bonnie; Nasir, Usman; Pettit, Raymond; Prickett, Tom; Schulz, Sandra; Stewart, Craig; Bernuy, Angela Zavaleta</t>
  </si>
  <si>
    <t xml:space="preserve">All for One and One for All - Collaboration in Computing Education: Policy, Practice, and Professional Dispositions</t>
  </si>
  <si>
    <t xml:space="preserve">Collaborative Learning; Professional Dispositions; Computing Education</t>
  </si>
  <si>
    <t xml:space="preserve">The ITiCSE '23 final keynote raised teaching soft skills, or professional dispositions, to help students face challenges in modern programming. This project addresses helping computing students develop professional dispositions through collaborative learning (CL) since some in the industry observe entry-level engineers struggling due to their fragile professional dispositions. We are motivated to understand professional expectations from entry-level engineers and present the academia-industry gap to support practitioners and researchers in advancing CL in Computing Education, encouraging positive curricula and policy changes that promote DEIA. We will present CL practices alongside their supported professional dispositions to assist practitioners in adoption. We will present the academia-industry gap in CL for future research opportunities, helping researchers advance CL practices to integrate professional dispositions the industry expects from entry-level engineers.</t>
  </si>
  <si>
    <t xml:space="preserve">[Garcia, Rita] Victoria Univ Wellington, Wellington, New Zealand; [Csizmadia, Andrew] Newman Univ, Birmingham, W Midlands, England; [Pearce, Janice L.] Berea Coll, Berea, KY USA; [Alshaigy, Bedour] Uppsala Univ, Uppsala, Sweden; [Glebova, Olga] Univ Connecticut, Storrs, CT USA; [Harrington, Brian] Univ Toronto Scarborough, Toronto, ON, Canada; [Liaskos, Konstantinos] Univ Strathclyde, Glasgow, Lanark, Scotland; [Lunn, Stephanie J.] Florida Int Univ, Miami, FL USA; [MacKellar, Bonnie] St Johns Univ, Queens, NY USA; [Nasir, Usman] Blekinge Inst Technol, Karlskrona, Sweden; [Pettit, Raymond] Univ Virginia, Charlottesville, VA USA; [Prickett, Tom] Northumbria Univ, Newcastle Upon Tyne, Tyne &amp; Wear, England; [Schulz, Sandra] Univ Hamburg, Hamburg, Germany; [Stewart, Craig] Univ Durham, Durham, England; [Bernuy, Angela Zavaleta] Univ Toronto, Toronto, ON, Canada</t>
  </si>
  <si>
    <t xml:space="preserve">Victoria University Wellington; Birmingham Newman University; Uppsala University; University of Connecticut; University of Toronto; University Toronto Scarborough; University of Strathclyde; State University System of Florida; Florida International University; Saint John's University; Blekinge Institute Technology; University of Virginia; Northumbria University; University of Hamburg; Durham University; University of Toronto</t>
  </si>
  <si>
    <t xml:space="preserve">Garcia, R (corresponding author), Victoria Univ Wellington, Wellington, New Zealand.</t>
  </si>
  <si>
    <t xml:space="preserve">rita.garcia@vuw.ac.nz; a.p.csizmadia@newman.ac.uk; jan_pearce@berea.edu; bedour.alshaigy@it.uu.se; olga.glebova@uconn.edu; brian.harrington@utoronto.ca; k.liaskos@strath.ac.uk; sjlunn@fiu.edu; mackellb@stjohns.edu; usman.nasir@bth.se; raymond.pettit@virginia.edu; tom.prickett@northumbria.ac.uk; sandra.schulz@uni-hamburg.de; craig.d.stewart@durham.ac.uk; angelazb@cs.toronto.edu</t>
  </si>
  <si>
    <t xml:space="preserve">Garcia, Rita/JXN-9803-2024; Zavaleta Bernuy, Angela/JAX-9404-2023; Harrington, Brian/KHU-8681-2024; Schulz, Sandra/GLV-0810-2022; Csizmadia, Andrew/AAW-5108-2021</t>
  </si>
  <si>
    <t xml:space="preserve">Aldea, Arantza/0000-0001-6991-0000; MacKellar, Bonnie/0000-0003-2269-5029; Csizmadia, Andrew/0000-0001-8546-1225; Harrington, Brian/0000-0002-0734-9630; Garcia, Rita/0000-0003-4615-4921; Lunn, Stephanie/0000-0003-3840-1822; Nasir, Usman/0009-0005-4340-8641</t>
  </si>
  <si>
    <t xml:space="preserve">10.1145/3649405.3659530</t>
  </si>
  <si>
    <t xml:space="preserve">WOS:001265872800005</t>
  </si>
  <si>
    <t xml:space="preserve">Svärd, A; Kastbom, A; Ljungberg, KR; Potempa, B; Potempa, J; Persson, GR; Renvert, S; Berglund, JS; Söderlin, M</t>
  </si>
  <si>
    <t xml:space="preserve">Svard, Anna; Kastbom, Alf; Ljungberg, Karin Roos; Potempa, Barbara; Potempa, Jan; Persson, G. Rutger; Renvert, Stefan; Berglund, Johan Sanmartin; Soderlin, Maria K.</t>
  </si>
  <si>
    <t xml:space="preserve">Antibodies against Porphyromonas gingivalis in serum and saliva and their association with rheumatoid arthritis and periodontitis. Data from two rheumatoid arthritis cohorts in Sweden</t>
  </si>
  <si>
    <t xml:space="preserve">FRONTIERS IN IMMUNOLOGY</t>
  </si>
  <si>
    <t xml:space="preserve">rheumatoid arthritis; periodontitis; porphyromonas gingivalis; anti-citrullinated antibodies (ACPAs); saliva; gingipain and periodontitis</t>
  </si>
  <si>
    <t xml:space="preserve">CITRULLINATED PEPTIDES; CLASSIFICATION; MICROBIOME; CRITERIA</t>
  </si>
  <si>
    <t xml:space="preserve">BackgroundPeriodontitis and oral pathogenic bacteria can contribute to the development of rheumatoid arthritis (RA). A connection between serum antibodies to Porphyromonas gingivalis (P. gingivalis) and RA has been established, but data on saliva antibodies to P. gingivalis in RA are lacking. We evaluated antibodies to P. gingivalis in serum and saliva in two Swedish RA studies as well as their association with RA, periodontitis, antibodies to citrullinated proteins (ACPA), and RA disease activity. MethodsThe SARA (secretory antibodies in RA) study includes 196 patients with RA and 101 healthy controls. The Karlskrona RA study includes 132 patients with RA &gt;= 61 years of age, who underwent dental examination. Serum Immunoglobulin G (IgG) and Immunoglobulin A (IgA) antibodies and saliva IgA antibodies to the P. gingivalis-specific Arg-specific gingipain B (RgpB) were measured in patients with RA and controls. ResultsThe level of saliva IgA anti-RgpB antibodies was significantly higher among patients with RA than among healthy controls in multivariate analysis adjusted for age, gender, smoking, and IgG ACPA (p = 0.022). Saliva IgA anti-RgpB antibodies were associated with RA disease activity in multivariate analysis (p = 0.036). Anti-RgpB antibodies were not associated with periodontitis or serum IgG ACPA. ConclusionPatients with RA had higher levels of saliva IgA anti-RgpB antibodies than healthy controls. Saliva IgA anti-RgpB antibodies may be associated with RA disease activity but were not associated with periodontitis or serum IgG ACPA. Our results indicate a local production of IgA anti-RgpB in the salivary glands that is not accompanied by systemic antibody production.</t>
  </si>
  <si>
    <t xml:space="preserve">[Svard, Anna] Uppsala Univ, Ctr Clin Res Dalarna, Uppsala, Sweden; [Svard, Anna; Kastbom, Alf; Ljungberg, Karin Roos] Linkoping Univ, Dept Biomed &amp; Clin Sci, Linkoping, Sweden; [Potempa, Barbara; Potempa, Jan] Univ Louisville, Sch Dent, Dept Oral Immun &amp; Infect Dis, Louisville, KY USA; [Potempa, Jan] Jagiellonian Univ, Fac Biochem Biophys &amp; Biotechnol, Dept Microbiol, Krakow, Poland; [Persson, G. Rutger] Univ Washington, Dept Periodont, Seattle, WA USA; [Persson, G. Rutger] Univ Washington, Dept Oral Med, Seattle, WA USA; [Renvert, Stefan] Kristianstad Univ, Fac Hlth Sci, Kristianstad, Sweden; [Renvert, Stefan; Berglund, Johan Sanmartin] Blekinge Inst Technol, Dept Hlth, Karlskrona, Sweden; [Renvert, Stefan] Trinity Coll Dublin, Sch Dent Sci, Dublin, Ireland; [Renvert, Stefan] Univ Hong Kong, Fac Dent, Hong Kong, Peoples R China; [Soderlin, Maria K.] Lund Univ, Dept Clin Sci, Sect Rheumatol, Lund, Sweden</t>
  </si>
  <si>
    <t xml:space="preserve">Uppsala University; Linkoping University; University of Louisville; Jagiellonian University; University of Washington; University of Washington Seattle; University of Washington; University of Washington Seattle; Kristianstad University; Blekinge Institute Technology; Trinity College Dublin; University of Hong Kong; Lund University</t>
  </si>
  <si>
    <t xml:space="preserve">Svärd, A (corresponding author), Uppsala Univ, Ctr Clin Res Dalarna, Uppsala, Sweden.;Svärd, A (corresponding author), Linkoping Univ, Dept Biomed &amp; Clin Sci, Linkoping, Sweden.</t>
  </si>
  <si>
    <t xml:space="preserve">anna.svard@regiondalarna.se</t>
  </si>
  <si>
    <t xml:space="preserve">Sanmartin Berglund, Johan/HGB-0471-2022; Renvert, Stefan/AAM-2415-2020; Potempa, Jan/AAA-6850-2021; Kastbom, Alf/F-6137-2011</t>
  </si>
  <si>
    <t xml:space="preserve">Kastbom, Alf/0000-0001-7187-1477</t>
  </si>
  <si>
    <t xml:space="preserve">Eklund Foundation; Region Blekinge; Crafoord Foundation; Swedish Rheumatism Association; Center for Clinical Research Dalarna, Uppsala University, Uppsala, Sweden; US National Institutes of Health, NIDCR [DE026280]</t>
  </si>
  <si>
    <t xml:space="preserve">Eklund Foundation; Region Blekinge; Crafoord Foundation; Swedish Rheumatism Association; Center for Clinical Research Dalarna, Uppsala University, Uppsala, Sweden; US National Institutes of Health, NIDCR(United States Department of Health &amp; Human ServicesNational Institutes of Health (NIH) - USANIH National Institute of Dental &amp; Craniofacial Research (NIDCR))</t>
  </si>
  <si>
    <t xml:space="preserve">This work was supported by the Eklund Foundation (to SR), Region Blekinge (to MS), the Crafoord Foundation (to MS), the Swedish Rheumatism Association (to MS), and the Center for Clinical Research Dalarna, Uppsala University, Uppsala, Sweden (AS and KL). JP was supported by grant DE026280 from the US National Institutes of Health, NIDCR.</t>
  </si>
  <si>
    <t xml:space="preserve">1664-3224</t>
  </si>
  <si>
    <t xml:space="preserve">FRONT IMMUNOL</t>
  </si>
  <si>
    <t xml:space="preserve">Front. Immunol.</t>
  </si>
  <si>
    <t xml:space="preserve">MAY 30</t>
  </si>
  <si>
    <t xml:space="preserve">10.3389/fimmu.2023.1183194</t>
  </si>
  <si>
    <t xml:space="preserve">Immunology</t>
  </si>
  <si>
    <t xml:space="preserve">J0CX3</t>
  </si>
  <si>
    <t xml:space="preserve">WOS:001006380100001</t>
  </si>
  <si>
    <t xml:space="preserve">Izu, C; Mirolo, C; Börstler, J; Connamacher, H; Crosby, R; Glassey, R; Haldeman, G; Kiljunen, O; Kumar, AN; Liu, D; Luxton-Reilly, A; Matsumoto, S; de Oliveira, EC; Russell, S; Shah, A</t>
  </si>
  <si>
    <t xml:space="preserve">Izu, Cruz; Mirolo, Claudio; Borstler, Jurgen; Connamacher, Harold; Crosby, Ryan; Glassey, Richard; Haldeman, Georgiana; Kiljunen, Olli; Kumar, Amruth N.; Liu, David; Luxton-Reilly, Andrew; Matsumoto, Stephanos; de Oliveira, Eduardo Carneiro; Russell, Sean; Shah, Anshul</t>
  </si>
  <si>
    <t xml:space="preserve">Introducing Code Quality in the CS1 Classroom</t>
  </si>
  <si>
    <t xml:space="preserve">CS1; code quality; readability; style; refactoring</t>
  </si>
  <si>
    <t xml:space="preserve">Characterising code quality is a challenge that was addressed by Borstler et al.'s working group in 2017. As emerged from their study, educators, developers and students have different perceptions of the manifold aspects involved, and a major conclusion of that WG was that code quality should be discussed more thoroughly in educational programs [2, p. 70]. However, the lack of materials and the time constraints have slowed down progress in that regard. The goal of this working group is to propose manageable ways to address code quality in the CS1 classroom, with a particular focus on activities that help students become aware of and improve the quality of their code. To achieve this goal, we will (a) extract from the literature a comprehensive set of quality issues which will then be classified according to the appropriate strategies to fix them; and (b) circulate a survey to explore the instructors' views on code quality issues and the way they deal with (or ignore) them. Based on this work we aim to produce: (1) a taxonomy of code quality issues with associated examples, as well as (2) a sample set of teaching materials to introduce those issues to CS1 students.</t>
  </si>
  <si>
    <t xml:space="preserve">[Izu, Cruz] Univ Adelaide, Adelaide, SA, Australia; [Mirolo, Claudio] Univ Udine, Udine, Italy; [Borstler, Jurgen] Blekinge Inst Technol, Karlskrona, Sweden; [Connamacher, Harold] Case Western Reserve Univ, Cleveland, OH USA; [Crosby, Ryan] Univ Durham, Durham, England; [Glassey, Richard] KTH Royal Inst Technol, Stockholm, Sweden; [Haldeman, Georgiana] Colgate Univ, Hamilton, NY USA; [Kiljunen, Olli] Aalto Univ, Helsinki, Finland; [Kumar, Amruth N.] Ramapo Coll, Mahwah, NJ USA; [Liu, David] Univ Toronto, Toronto, ON, Canada; [Luxton-Reilly, Andrew] Univ Auckland, Auckland, New Zealand; [Matsumoto, Stephanos] Olin Coll Engn, Needham, MA USA; [de Oliveira, Eduardo Carneiro] Univ Utrecht, Utrecht, Netherlands; [Russell, Sean] Univ Coll Dublin, Dublin, Ireland; [Shah, Anshul] Univ Calif San Diego, San Diego, CA USA</t>
  </si>
  <si>
    <t xml:space="preserve">University of Adelaide; University of Udine; Blekinge Institute Technology; University System of Ohio; Case Western Reserve University; Durham University; Royal Institute of Technology; Colgate University; Aalto University; Ramapo College New Jersey (RCNJ); University of Toronto; University of Auckland; Franklin W. Olin College of Engineering; Utrecht University; University College Dublin; University of California System; University of California San Diego</t>
  </si>
  <si>
    <t xml:space="preserve">Izu, C (corresponding author), Univ Adelaide, Adelaide, SA, Australia.</t>
  </si>
  <si>
    <t xml:space="preserve">cruz.izu@adelaide.edu.au; claudio.mirolo@uniud.it; jurgen.borstler@bth.se; harold.connamacher@case.edu; ryan.crosby@durham.ac.uk; glassey@kth.se; ghaldeman@colgate.edu; olli.kiljunen@aalto.fi; amruth@ramapo.edu; david@cs.toronto.edu; andrew@cs.auckland.ac.nz; smatsumoto@olin.edu; e.carneirodeoliveira@uu.nl; sean.russell@ucd.ie; ayshah@ucsd.edu</t>
  </si>
  <si>
    <t xml:space="preserve">Izu, Cruz/H-5673-2013; Luxton-Reilly, Andrew/ABC-5342-2021; Kumar, Amruth/A-1162-2019</t>
  </si>
  <si>
    <t xml:space="preserve">Connamacher, Harold/0000-0002-7301-8450; Kumar, Amruth/0000-0002-1951-3995; Crosby, Ryan/0000-0002-3478-307X; MIROLO, Claudio/0000-0002-1462-8304; Carneiro Oliveira, Eduardo/0009-0004-5795-5219; Haldeman, Georgiana/0000-0001-6046-5924; Glassey, Richard/0000-0002-8996-0221; Izu, Cruz/0000-0002-7492-8886</t>
  </si>
  <si>
    <t xml:space="preserve">10.1145/3649405.3659535</t>
  </si>
  <si>
    <t xml:space="preserve">WOS:001265872800010</t>
  </si>
  <si>
    <t xml:space="preserve">Cowell, R; Davoudi, S; White, I; Blanco, H</t>
  </si>
  <si>
    <t xml:space="preserve">Davoudi, S; Cowell, R; White, I; Blanco, H</t>
  </si>
  <si>
    <t xml:space="preserve">Cowell, Richard; Davoudi, Simin; White, Iain; Blanco, Hilda</t>
  </si>
  <si>
    <t xml:space="preserve">Environmental governance</t>
  </si>
  <si>
    <t xml:space="preserve">ROUTLEDGE COMPANION TO ENVIRONMENTAL PLANNING</t>
  </si>
  <si>
    <t xml:space="preserve">Routledge Companions</t>
  </si>
  <si>
    <t xml:space="preserve">Editorial Material; Book Chapter</t>
  </si>
  <si>
    <t xml:space="preserve">[Cowell, Richard] Cardiff Univ, Sch Geog &amp; Planning, Environm Planning, Cardiff, Wales; [Davoudi, Simin] Newcastle Univ, Environm Policy &amp; Planning, Newcastle Upon Tyne, Tyne &amp; Wear, England; [Davoudi, Simin] Newcastle Univ, Sch Architecture Planning &amp; Landscape, Global Urban Res Unit GURU, Newcastle Upon Tyne, Tyne &amp; Wear, England; [Davoudi, Simin] Assoc European Sch Planning AESOP, Dortmund, Germany; [Davoudi, Simin] Royal Town Planning Inst, London, England; [Davoudi, Simin] Acad Social Sci, London, England; [Davoudi, Simin] Royal Soc Arts, London, England; [Davoudi, Simin] Univ Amsterdam, Amsterdam, Netherlands; [Davoudi, Simin] Univ Nijmegen, Nijmegen, Netherlands; [Davoudi, Simin] BTH, Karlshamn, Sweden; [Davoudi, Simin] Virginia Tech, Blacksburg, VA USA; [Davoudi, Simin] RMIT, Melbourne, Vic, Australia; [Davoudi, Simin] Univ Tampere, Tampere, Finland; [White, Iain] Univ Waikato, Environm Planning, Palmerston North, New Zealand; [Blanco, Hilda] Hunter Coll, Dept Urban Affairs, New York, NY USA; [Blanco, Hilda] Univ Washington, Dept Urban Design &amp; Planning, Seattle, WA 98195 USA; [Blanco, Hilda] Univ Southern Calif, Ctr Sustainable Cities, Los Angeles, CA 90007 USA</t>
  </si>
  <si>
    <t xml:space="preserve">Cardiff University; Newcastle University - UK; Newcastle University - UK; University of Amsterdam; Radboud University Nijmegen; Blekinge Institute Technology; Virginia Polytechnic Institute &amp; State University; Royal Melbourne Institute of Technology (RMIT); City University of New York (CUNY) System; Hunter College (CUNY); University of Washington; University of Washington Seattle; University of Southern California</t>
  </si>
  <si>
    <t xml:space="preserve">Cowell, R (corresponding author), Cardiff Univ, Sch Geog &amp; Planning, Environm Planning, Cardiff, Wales.</t>
  </si>
  <si>
    <t xml:space="preserve">White, Iain/N-8461-2014</t>
  </si>
  <si>
    <t xml:space="preserve">978-1-315-17978-0; 978-1-138-89480-8</t>
  </si>
  <si>
    <t xml:space="preserve">ROUTL COMPANIONS</t>
  </si>
  <si>
    <t xml:space="preserve">10.4324/9781315179780</t>
  </si>
  <si>
    <t xml:space="preserve">Environmental Sciences; Environmental Studies; Public Administration</t>
  </si>
  <si>
    <t xml:space="preserve">Book Citation Index – Social Sciences &amp; Humanities (BKCI-SSH); Book Citation Index – Science (BKCI-S)</t>
  </si>
  <si>
    <t xml:space="preserve">Environmental Sciences &amp; Ecology; Public Administration</t>
  </si>
  <si>
    <t xml:space="preserve">BQ3GR</t>
  </si>
  <si>
    <t xml:space="preserve">WOS:000584587200011</t>
  </si>
  <si>
    <t xml:space="preserve">Davoudi, Simin; Cowell, Richard; White, Iain; Blanco, Hilda</t>
  </si>
  <si>
    <t xml:space="preserve">Understanding 'the environment'</t>
  </si>
  <si>
    <t xml:space="preserve">[Davoudi, Simin] Newcastle Univ, Environm Policy &amp; Planning, Newcastle Upon Tyne, Tyne &amp; Wear, England; [Davoudi, Simin] Newcastle Univ, Sch Architecture Planning &amp; Landscape, Global Urban Res Unit GURU, Newcastle Upon Tyne, Tyne &amp; Wear, England; [Davoudi, Simin] Assoc European Sch Planning AESOP, Dortmund, Germany; [Davoudi, Simin] Royal Town Planning Inst, London, England; [Davoudi, Simin] Acad Social Sci, London, England; [Davoudi, Simin] Royal Soc Arts, London, England; [Davoudi, Simin] Univ Amsterdam, Amsterdam, Netherlands; [Davoudi, Simin] Univ Nijmegen, Nijmegen, Netherlands; [Davoudi, Simin] BTH, Karlshamn, Sweden; [Davoudi, Simin] Virginia Tech, Blacksburg, VA 24061 USA; [Davoudi, Simin] RMIT, Melbourne, Vic, Australia; [Davoudi, Simin] Univ Tampere, Tampere, Finland; [Cowell, Richard] Cardiff Univ, Sch Geog &amp; Planning, Environm Planning, Cardiff, Wales; [White, Iain] Univ Waikato, Environm Planning, Hamilton, New Zealand; [Blanco, Hilda] Hunter Coll, Dept Urban Affairs, New York, NY USA; [Blanco, Hilda] Univ Washington, Dept Urban Design &amp; Planning, Seattle, WA 98195 USA; [Blanco, Hilda] Univ Southern Calif, Ctr Sustainable Cities, Los Angeles, CA 90007 USA</t>
  </si>
  <si>
    <t xml:space="preserve">Newcastle University - UK; Newcastle University - UK; University of Amsterdam; Radboud University Nijmegen; Blekinge Institute Technology; Virginia Polytechnic Institute &amp; State University; Royal Melbourne Institute of Technology (RMIT); Cardiff University; University of Waikato; City University of New York (CUNY) System; Hunter College (CUNY); University of Washington; University of Washington Seattle; University of Southern California</t>
  </si>
  <si>
    <t xml:space="preserve">Davoudi, S (corresponding author), Newcastle Univ, Environm Policy &amp; Planning, Newcastle Upon Tyne, Tyne &amp; Wear, England.;Davoudi, S (corresponding author), Newcastle Univ, Sch Architecture Planning &amp; Landscape, Global Urban Res Unit GURU, Newcastle Upon Tyne, Tyne &amp; Wear, England.;Davoudi, S (corresponding author), Univ Amsterdam, Amsterdam, Netherlands.;Davoudi, S (corresponding author), Univ Nijmegen, Nijmegen, Netherlands.;Davoudi, S (corresponding author), BTH, Karlshamn, Sweden.;Davoudi, S (corresponding author), Virginia Tech, Blacksburg, VA 24061 USA.;Davoudi, S (corresponding author), RMIT, Melbourne, Vic, Australia.;Davoudi, S (corresponding author), Univ Tampere, Tampere, Finland.</t>
  </si>
  <si>
    <t xml:space="preserve">WOS:000584587200002</t>
  </si>
  <si>
    <t xml:space="preserve">White, I; Davoudi, S; Cowell, R; Blanco, H</t>
  </si>
  <si>
    <t xml:space="preserve">White, Iain; Davoudi, Simin; Cowell, Richard; Blanco, Hilda</t>
  </si>
  <si>
    <t xml:space="preserve">Critical environmental pressures and responses</t>
  </si>
  <si>
    <t xml:space="preserve">[White, Iain] Univ Waikato, Environm Planning, Hamilton, New Zealand; [Davoudi, Simin] Newcastle Univ, Environm Policy &amp; Planning, Newcastle Upon Tyne, Tyne &amp; Wear, England; [Davoudi, Simin] Newcastle Univ, Sch Architecture Planning &amp; Landscape, Global Urban Res Unit GURU, Newcastle Upon Tyne, Tyne &amp; Wear, England; [Davoudi, Simin] Assoc European Sch Planning AESOP, Dortmund, Germany; [Davoudi, Simin] Royal Town Planning Inst, London, England; [Davoudi, Simin] Acad Social Sci, London, England; [Davoudi, Simin] Royal Soc Arts, London, England; [Davoudi, Simin] Univ Amsterdam, Amsterdam, Netherlands; [Davoudi, Simin] Univ Nijmegen, Nijmegen, Netherlands; [Davoudi, Simin] BTH, Karlshamn, Sweden; [Davoudi, Simin] Virginia Tech, Blacksburg, VA USA; [Davoudi, Simin] RMIT Univ, Melbourne, Vic, Australia; [Davoudi, Simin] Univ Tampere, Tampere, Finland; [Cowell, Richard] Cardiff Univ, Sch Geog &amp; Planning, Environm Planning, Cardiff, Wales; [Blanco, Hilda] Hunter Coll, Dept Urban Affairs, New York, NY USA; [Blanco, Hilda] Univ Washington, Dept Urban Design &amp; Planning, Seattle, WA 98195 USA; [Blanco, Hilda] Univ Southern Calif, Ctr Sustainable Cities, Los Angeles, CA 90007 USA</t>
  </si>
  <si>
    <t xml:space="preserve">University of Waikato; Newcastle University - UK; Newcastle University - UK; University of Amsterdam; Radboud University Nijmegen; Blekinge Institute Technology; Virginia Polytechnic Institute &amp; State University; Royal Melbourne Institute of Technology (RMIT); Cardiff University; City University of New York (CUNY) System; Hunter College (CUNY); University of Washington; University of Washington Seattle; University of Southern California</t>
  </si>
  <si>
    <t xml:space="preserve">White, I (corresponding author), Univ Waikato, Environm Planning, Hamilton, New Zealand.</t>
  </si>
  <si>
    <t xml:space="preserve">WOS:000584587200023</t>
  </si>
  <si>
    <t xml:space="preserve">Environmental planning: meanings, governance, pressures, responses and approaches Introduction</t>
  </si>
  <si>
    <t xml:space="preserve">METABOLISM</t>
  </si>
  <si>
    <t xml:space="preserve">WOS:000584587200001</t>
  </si>
  <si>
    <t xml:space="preserve">Blanco, H; White, I; Cowell, R; Davoudi, S</t>
  </si>
  <si>
    <t xml:space="preserve">Blanco, Hilda; White, Iain; Cowell, Richard; Davoudi, Simin</t>
  </si>
  <si>
    <t xml:space="preserve">Methods and approaches to environmental planning</t>
  </si>
  <si>
    <t xml:space="preserve">[Blanco, Hilda] Hunter Coll, Dept Urban Affairs, New York, NY USA; [Blanco, Hilda] Univ Washington, Dept Urban Design &amp; Planning, Seattle, WA 98195 USA; [Blanco, Hilda] Univ Southern Calif, Ctr Sustainable Cities, Los Angeles, CA 90007 USA; [White, Iain] Univ Waikato, Environm Planning, Hamilton, New Zealand; [Cowell, Richard] Cardiff Univ, Sch Geog &amp; Planning, Environm Planning, Cardiff, Wales; [Davoudi, Simin] Newcastle Univ, Environm Policy &amp; Planning, Newcastle Upon Tyne, Tyne &amp; Wear, England; [Davoudi, Simin] Newcastle Univ, Sch Architecture Planning &amp; Landscape, Global Urban Res Unit GURU, Newcastle Upon Tyne, Tyne &amp; Wear, England; [Davoudi, Simin] Assoc European Schools Planning AESOP, Dortmund, Germany; [Davoudi, Simin] Royal Town Planning Inst, London, England; [Davoudi, Simin] Acad Social Sci, London, England; [Davoudi, Simin] Royal Soc Arts, London, England; [Davoudi, Simin] Univ Amsterdam, Amsterdam, Netherlands; [Davoudi, Simin] Univ Nijmegen, Nijmegen, Netherlands; [Davoudi, Simin] BTH, Karlshamn, Sweden; [Davoudi, Simin] Virginia Tech, Blacksburg, VA USA; [Davoudi, Simin] RMIT Univ, Melbourne, Vic, Australia; [Davoudi, Simin] Univ Tampere, Tampere, Finland</t>
  </si>
  <si>
    <t xml:space="preserve">City University of New York (CUNY) System; Hunter College (CUNY); University of Washington; University of Washington Seattle; University of Southern California; University of Waikato; Cardiff University; Newcastle University - UK; Newcastle University - UK; University of Amsterdam; Radboud University Nijmegen; Blekinge Institute Technology; Virginia Polytechnic Institute &amp; State University; Royal Melbourne Institute of Technology (RMIT)</t>
  </si>
  <si>
    <t xml:space="preserve">Blanco, H (corresponding author), Univ Southern Calif, Ctr Sustainable Cities, Los Angeles, CA 90007 USA.</t>
  </si>
  <si>
    <t xml:space="preserve">WOS:000584587200032</t>
  </si>
  <si>
    <t xml:space="preserve">Anh, ND; Khanna, D; Le, GH; Greer, D; Wang, XF; Zaina, LM; Matturro, G; Melegati, J; Guerra, E; Kettunen, P; Hyrynsalmi, S; Edison, H; Sales, A; Chanin, R; Rutitis, D; Kemell, KK; Aldaeej, A; Mikkonen, T; Garbajosa, J; Abrahamsson, P</t>
  </si>
  <si>
    <t xml:space="preserve">Anh, Nguyen-Duc; Khanna, Dron; Le, Giang Huong; Greer, Des; Wang, Xiaofeng; Zaina, Luciana Martinez; Matturro, Gerardo; Melegati, Jorge; Guerra, Eduardo; Kettunen, Petri; Hyrynsalmi, Sami; Edison, Henry; Sales, Afonso; Chanin, Rafael; Rutitis, Didzis; Kemell, Kai-Kristian; Aldaeej, Abdullah; Mikkonen, Tommi; Garbajosa, Juan; Abrahamsson, Pekka</t>
  </si>
  <si>
    <t xml:space="preserve">Work-from-home impacts on software project: A global study on software development practices and stakeholder perceptions</t>
  </si>
  <si>
    <t xml:space="preserve">SOFTWARE-PRACTICE &amp; EXPERIENCE</t>
  </si>
  <si>
    <t xml:space="preserve">COVID-19; empirical study; project management; software engineering; work-from-home</t>
  </si>
  <si>
    <t xml:space="preserve">COORDINATION; TELEWORKING; REQUIREMENTS; TECHNOLOGY; CHALLENGES; ENGINEERS; SPACE; TOOLS</t>
  </si>
  <si>
    <t xml:space="preserve">ContextThe COVID-19 pandemic has had a disruptive impact on how people work and collaborate across all global economic sectors, including software business. While remote working is not new for software engineers, forced WFH situations come with both limitations and opportunities. As the 'new normal' for working might be based on the current state of Work-from-home (WFH), it is useful to understand what has happened and learn from that.ObjectiveThis study aims to gain insights into how their WFH arrangement impacts project management and software engineering. We are also interested in exploring these impacts in different contexts, such as startups and established companies.MethodWe conducted a global-scale, cross-sectional survey during the spring and summer 2021. Our results are based on quantitative and qualitative analysis of 297 valid responses.ResultsWe characterize the profile of WFH in both spatial and temporal aspects, together with a set of common collaborative tools and coordination and control mechanisms. We revealed some areas of project management that are relatively more challenging during WFH situations, such as coordination, communication and project planning. We also revealed a mixed picture of the perceived impact of WFH on different software engineering activities.ConclusionWFH is a situational phenomenon which can have both negative and positive impact on software teams. For practitioners, we suggest a unified approach to consider the context of WFH, collaborative tools, associated coordination and control approaches and a process that resolve those aspects that are sensitive to physical interaction.</t>
  </si>
  <si>
    <t xml:space="preserve">[Anh, Nguyen-Duc] Norwegian Univ Sci &amp; Technol, Dept Comp Sci, Trondheim, Norway; [Khanna, Dron; Wang, Xiaofeng; Melegati, Jorge; Guerra, Eduardo] Free Univ Bozen Bolzano, Fac Comp Sci, Bolzano, Italy; [Le, Giang Huong] Oslo Metropolitan Univ, Fac Social Sci, Oslo, Norway; [Greer, Des] Queens Univ Belfast, Sch Elect Elect Engn &amp; Comp Sci, Belfast, North Ireland; [Zaina, Luciana Martinez] Univ Fed Sao Carlos, Dept Comp, Sao Carlos, Brazil; [Matturro, Gerardo] Univ ORT Uruguay, Dept Software Engn, Montevideo, Uruguay; [Kettunen, Petri; Kemell, Kai-Kristian] Univ Helsinki, Dept Comp Sci, Helsinki, Finland; [Hyrynsalmi, Sami] Univ Lappeenranta, Software Engn Dept, Lappeenranta, Finland; [Edison, Henry] Blekinge Inst Technol, Dept Software Engn, Karlskrona, Sweden; [Sales, Afonso; Chanin, Rafael] Pontificia Univ Catolica Rio Grande do Sul, Sch Technol, Porto Alegre, Brazil; [Rutitis, Didzis] BA Sch Business &amp; Finance, Sch Business &amp; Finance, Riga, Latvia; [Aldaeej, Abdullah] Imam Abdulrahman Bin Faisal Univ, Dept Management Informat Syst, Dammam, Saudi Arabia; [Mikkonen, Tommi] Univ Jyvaskyla, Fac Informat Technol, Jyvaskyla, Finland; [Garbajosa, Juan] Univ Politecn Madrid, Comp Syst Engn Sch ETSISI, Madrid, Spain; [Abrahamsson, Pekka] Tampere Univ, Fac Informat Technol &amp; Commun Sci, Tampere, Finland; [Anh, Nguyen-Duc] Univ South Eastern Norway, Dept Comp Sci, Trondheim, Norway; [Anh, Nguyen-Duc] Norwegian Univ Sci &amp; Technol, Trondheim, Norway</t>
  </si>
  <si>
    <t xml:space="preserve">Norwegian University of Science &amp; Technology (NTNU); Free University of Bozen-Bolzano; Oslo Metropolitan University (OsloMet); Queens University Belfast; Universidade Federal de Sao Carlos; University ORT Uruguay; University of Helsinki; Blekinge Institute Technology; Pontificia Universidade Catolica Do Rio Grande Do Sul; Imam Abdulrahman Bin Faisal University; University of Jyvaskyla; Universidad Politecnica de Madrid; Tampere University; Norwegian University of Science &amp; Technology (NTNU); University College of Southeast Norway; Norwegian University of Science &amp; Technology (NTNU)</t>
  </si>
  <si>
    <t xml:space="preserve">Anh, ND (corresponding author), Univ South Eastern Norway, Dept Comp Sci, Trondheim, Norway.;Anh, ND (corresponding author), Norwegian Univ Sci &amp; Technol, Trondheim, Norway.</t>
  </si>
  <si>
    <t xml:space="preserve">anh.nguyen.duc@usn.no</t>
  </si>
  <si>
    <t xml:space="preserve">Guerra, Eduardo/G-2476-2012; Nguyen-Duc, Anh/AAB-5189-2020; Melegati, Jorge/AAG-3925-2021; Aldaeej, Abdullah/KTI-5552-2024; Edison, Henry/AAA-9989-2020; Hyrynsalmi, Sami/U-6315-2017; Matturro, Gerardo/W-4866-2017; Garbajosa, Juan/B-5818-2012; Abrahamsson, Pekka/A-5559-2018; Rutitis, Didzis/AAD-5389-2019</t>
  </si>
  <si>
    <t xml:space="preserve">Garbajosa, Juan/0000-0003-0161-3485; Matturro, Gerardo/0000-0001-6432-1223; Mikkonen, Tommi/0000-0002-8540-9918; Greer, Des/0000-0001-6367-9274; Kettunen, Petri/0000-0002-2928-5885; Nguyen-Duc, Anh/0000-0002-7063-9200; Khanna, Dron/0000-0003-4760-5560; Hyrynsalmi, Sami/0000-0002-5073-3750; Abrahamsson, Pekka/0000-0002-4360-2226; Rutitis, Didzis/0000-0002-9621-6513</t>
  </si>
  <si>
    <t xml:space="preserve">0038-0644</t>
  </si>
  <si>
    <t xml:space="preserve">1097-024X</t>
  </si>
  <si>
    <t xml:space="preserve">SOFTWARE PRACT EXPER</t>
  </si>
  <si>
    <t xml:space="preserve">Softw.-Pract. Exp.</t>
  </si>
  <si>
    <t xml:space="preserve">10.1002/spe.3306</t>
  </si>
  <si>
    <t xml:space="preserve">NB0V3</t>
  </si>
  <si>
    <t xml:space="preserve">WOS:001131509800001</t>
  </si>
  <si>
    <t xml:space="preserve">Hussain, B; Haugen, HJ; Aass, AM; Sanz, M; Antonoglou, GN; Bouchard, P; Bozic, D; Eickholz, P; Jepsen, K; Jepsen, S; Karaca, EO; Kuru, BE; Nemcovsky, CE; Papapanou, PN; Pilloni, A; Renvert, S; Roccuzzo, M; Sanz-Esporrin, J; Spahr, A; Stavropoulos, A; Verket, A; Vrazic, D; Lyngstadaas, SP</t>
  </si>
  <si>
    <t xml:space="preserve">Hussain, Badra; Haugen, Havard Jostein; Aass, Anne Merete; Sanz, Mariano; Antonoglou, Georgios N.; Bouchard, Philippe; Bozic, Darko; Eickholz, Peter; Jepsen, Karin; Jepsen, Soeren; Karaca, Ebru Ozkan; Kuru, Bahar Eren; Nemcovsky, Carlos E.; Papapanou, Panos N.; Pilloni, Andrea; Renvert, Stefan; Roccuzzo, Mario; Sanz-Esporrin, Javier; Spahr, Axel; Stavropoulos, Andreas; Verket, Anders; Vrazic, Domagoj; Lyngstadaas, Stale Petter</t>
  </si>
  <si>
    <t xml:space="preserve">Peri-Implant Health and the Knowing-Doing Gap-A Digital Survey on Procedures and Therapies</t>
  </si>
  <si>
    <t xml:space="preserve">FRONTIERS IN DENTAL MEDICINE</t>
  </si>
  <si>
    <t xml:space="preserve">digital survey; peri-implantitis; implantology; peri-implant health management; implant surface cleaning; antibiotic resistance</t>
  </si>
  <si>
    <t xml:space="preserve">CONSENSUS REPORT; EUROPEAN WORKSHOP; ANTIBIOTIC-RESISTANCE; NONSURGICAL TREATMENT; SURGICAL-TREATMENT; COST-EFFECTIVENESS; FOLLOW-UP; DISEASES; PERIODONTITIS; MUCOSITIS</t>
  </si>
  <si>
    <t xml:space="preserve">Objectives: Peri-implant tissue maintenance and treatment is becoming a serious challenge in implantology. With increasing numbers of implants being placed, more cases of peri-implant mucositis and peri-implantitis is seen. A digital survey on peri-implant disease management was issued to experts in periodontology and implantology to identify the tools and procedures most commonly used today to treat peri-implant diseases and successfully manage peri-implant health. The primary aim was to assess whether there is consensus in the choice of treatment to manage peri-implant diseases and to prevent their recurrence once treated. The secondary aim was to obtain insight into future protocols and /or devices, and the research and development needed.Materials and Methods: Participants in this digital survey were professionals specialising in periodontology, oral surgery, and implant dentistry. The questionnaire included both a series of closed- and open-ended questions. A total of 16 countries participated. The survey was sent by e-mail to 70 individuals, 66 received the survey and 37 of receivers responded, two of the participants were excluded due to insufficient filling of the survey. In the end 35 respondents completed the survey.Results: Respondents agree that the efficacy of mechanical and chemical decontamination of implant surfaces needs to be improved and better documented. It is a common opinion that the current remedies, mostly adapted from periodontal practises, do not provide effective and reliable clinical outcomes when treating peri-implant ailments. There is a general agreement amongst experts that regularly scheduled (3-6-month intervals) maintenance treatments are essential for maintaining peri-implant health in patients experiencing implant complications. Respondents are also concerned about unnecessary use of systemic antibiotics for managing peri-implant health.Conclusion: Regardless of agreements in parts, there was no observed consensus on the most effective treatment options for treating peri-implantitis. The experts all agree it is an urgent need for well-designed, long-term follow-up randomised and controlled clinical trials comparing interventions to provide an evidence-based strategy for peri-implant health management.</t>
  </si>
  <si>
    <t xml:space="preserve">[Hussain, Badra; Haugen, Havard Jostein; Lyngstadaas, Stale Petter] Univ Oslo, Inst Clin Dent, Dept Biomat, Oslo, Norway; [Aass, Anne Merete; Sanz, Mariano; Verket, Anders] Univ Oslo, Inst Clin Dent, Dept Periodontol, Oslo, Norway; [Sanz, Mariano; Antonoglou, Georgios N.; Sanz-Esporrin, Javier] Univ Complutense Madrid, Fac Odontol, Etiol &amp; Therapy Periodontal &amp; Periimplant Dis ETE, Madrid, Spain; [Bouchard, Philippe] Rothschild Hosp, AP HP, Dept Periodontol, Serv Odontol, Paris, France; [Bouchard, Philippe] Univ Paris Garanciere, UFR Odontol, Paris, France; [Bouchard, Philippe] Univ Paris, Orofacial Pathol Imaging &amp; Biotherapies Lab, URP2496, Paris, France; [Bozic, Darko; Vrazic, Domagoj] Univ Zagreb, Sch Dent Med, Dept Periodontol, Zagreb, Croatia; [Eickholz, Peter] Goethe Univ Frankfurt, Ctr Dent &amp; Oral Med Carolinum, Dept Periodontol, Frankfurt, Germany; [Jepsen, Karin; Jepsen, Soeren] Univ Hosp Bonn, Ctr Dent &amp; Oral Med, Dept Periodontol Operat &amp; Prevent Dent, Bonn, Germany; [Karaca, Ebru Ozkan; Kuru, Bahar Eren] Yeditepe Univ, Fac Dent, Dept Periodontol, Istanbul, Turkey; [Nemcovsky, Carlos E.] Tel Aviv Univ, Sch Dent Med, Dept Periodontol &amp; Implant Dent, Tel Aviv, Israel; [Papapanou, Panos N.] Columbia Univ, Coll Dent Med, Div Periodont, Sect Oral Diagnost &amp; Rehabil Sci, New York, NY USA; [Pilloni, Andrea] Sapienza Univ Rome, Dept Dent &amp; Maxillofacial Surg, Sect Periodontol, Rome, Italy; [Renvert, Stefan] Kristianstad Univ, Dept Hlth Sci, Kristianstad, Sweden; [Renvert, Stefan] Blekinge Inst Technol, Dept Hlth, Karlskrona, Sweden; [Renvert, Stefan] Trinity Coll Dublin, Sch Dent Sci, Dublin, Ireland; [Renvert, Stefan] Univ Hong Kong, Fac Dent, Hong Kong, Peoples R China; [Roccuzzo, Mario] Univ Turin, Div Maxillofacial Surg, Turin, Italy; [Spahr, Axel] Univ Sydney, Fac Med &amp; Hlth, Dent Sch, Sydney, NSW, Australia; [Stavropoulos, Andreas] Univ Geneva, Univ Clin Dent Med CUMD, Div Regenerat Dent Med &amp; Periodontol, Geneva, Switzerland; [Stavropoulos, Andreas] Malmo Univ, Fac Odontol, Dept Periodontol, Malmo, Sweden</t>
  </si>
  <si>
    <t xml:space="preserve">University of Oslo; University of Oslo; Complutense University of Madrid; Assistance Publique Hopitaux Paris (APHP); Sorbonne Universite; Hopital Universitaire Rothschild - APHP; Universite Paris Cite; University of Zagreb; University of Zagreb, School of Dental Medicine; Goethe University Frankfurt; University of Bonn; Yeditepe University; Tel Aviv University; Columbia University; Sapienza University Rome; Kristianstad University; Blekinge Institute Technology; Trinity College Dublin; University of Hong Kong; University of Turin; University of Sydney; University of Geneva; Malmo University</t>
  </si>
  <si>
    <t xml:space="preserve">Lyngstadaas, SP (corresponding author), Univ Oslo, Inst Clin Dent, Dept Biomat, Oslo, Norway.</t>
  </si>
  <si>
    <t xml:space="preserve">spl@odont.uio.no</t>
  </si>
  <si>
    <t xml:space="preserve">Stavropoulos, Andreas/ABB-8691-2021; Vrazic, Domagoj/HTL-8741-2023; Nemcovsky, Carlos/AAB-2619-2020; Jepsen, Karin/AEV-9266-2022; Verket, Anders/AAD-5734-2020; BOUCHARD, Philippe/AAA-4431-2022; Bozic, Darko/ADR-3813-2022; Sanz-Esporrin, Javier/H-2025-2017; Renvert, Stefan/AAM-2415-2020; Eren Kuru, Bahar/HJZ-4627-2023; Sanz, Mariano/G-8244-2017; Haugen, Havard Jostein/H-3551-2014</t>
  </si>
  <si>
    <t xml:space="preserve">Nemcovsky, Carlos/0000-0002-5087-6145; Haugen, Havard Jostein/0000-0002-6690-7233; Kuru, Bahar/0000-0002-7752-9223</t>
  </si>
  <si>
    <t xml:space="preserve">This work was supported by a Project Establishing Support (PES) grant no. 328903 from the Research Council of Norway to SL.; Project Establishing Support (PES); Research Council of Norway; [328903]</t>
  </si>
  <si>
    <t xml:space="preserve">This work was supported by a Project Establishing Support (PES) grant no. 328903 from the Research Council of Norway to SL.; Project Establishing Support (PES); Research Council of Norway(Research Council of Norway);</t>
  </si>
  <si>
    <t xml:space="preserve">This work was supported by a Project Establishing Support (PES) grant no. 328903 from the Research Council of Norway to SL.</t>
  </si>
  <si>
    <t xml:space="preserve">2673-4915</t>
  </si>
  <si>
    <t xml:space="preserve">FRONT DENT MED</t>
  </si>
  <si>
    <t xml:space="preserve">OCT 25</t>
  </si>
  <si>
    <t xml:space="preserve">10.3389/fdmed.2021.726607</t>
  </si>
  <si>
    <t xml:space="preserve">Q6OO4</t>
  </si>
  <si>
    <t xml:space="preserve">WOS:001058700100001</t>
  </si>
  <si>
    <t xml:space="preserve">Boutry, C; Hastie, A; Diez-Domingo, J; Tinoco, JC; Yu, CJ; Andrews, C; Beytout, J; Caso, C; Cheng, HS; Cheong, HJ; Choo, EJ; Curiac, D; Di Paolo, E; Dionne, M; Eckermann, T; Esen, M; Ferguson, M; Ghesquiere, W; Hwang, SJ; Avelino-Silva, TJ; Kosina, P; Liu, CS; Markkula, J; Moeckesch, B; de Oliveira, CM; Park, DW; Pauksens, K; Pirrotta, P; Plassmann, G; Pretswell, C; Rombo, L; Salaun, B; Berglund, JS; Schenkenberger, I; Schwarz, T; Shi, M; Ukkonen, B; Zahaf, T; Zerbini, C; Schuind, A; Cunningham, AL</t>
  </si>
  <si>
    <t xml:space="preserve">Boutry, Celine; Hastie, Andrew; Diez-Domingo, Javier; Tinoco, Juan Carlos; Yu, Chong-Jen; Andrews, Charles; Beytout, Jean; Caso, Covadonga; Cheng, Huey-Shinn; Cheong, Hee Jin; Choo, Eun Ju; Curiac, Dan; Di Paolo, Emmanuel; Dionne, Marc; Eckermann, Tamara; Esen, Meral; Ferguson, Murdo; Ghesquiere, Wayne; Hwang, Shinn-Jang; Avelino-Silva, Thiago Junqueira; Kosina, Pavel; Liu, Chiu-Shong; Markkula, Jukka; Moeckesch, Beate; de Oliveira, Claudia Murta; Park, Dae Won; Pauksens, Karlis; Pirrotta, Paola; Plassmann, Georg; Pretswell, Carol; Rombo, Lars; Salaun, Bruno; Berglund, Johan Sanmartin; Schenkenberger, Isabelle; Schwarz, Tino; Shi, Meng; Ukkonen, Benita; Zahaf, Toufik; Zerbini, Cristiano; Schuind, Anne; Cunningham, Anthony L.</t>
  </si>
  <si>
    <t xml:space="preserve">Zoster-049 Study Grp</t>
  </si>
  <si>
    <t xml:space="preserve">The Adjuvanted Recombinant Zoster Vaccine Confers Long-Term Protection Against Herpes Zoster: Interim Results of an Extension Study of the Pivotal Phase 3 Clinical Trials ZOE-50 and ZOE-70</t>
  </si>
  <si>
    <t xml:space="preserve">CLINICAL INFECTIOUS DISEASES</t>
  </si>
  <si>
    <t xml:space="preserve">adjuvanted recombinant zoster vaccine; long-term efficacy; immune response persistence</t>
  </si>
  <si>
    <t xml:space="preserve">SUBUNIT VACCINE; EPIDEMIOLOGY; EFFICACY</t>
  </si>
  <si>
    <t xml:space="preserve">Efficacy against herpes zoster and immune responses to the adjuvanted recombinant zoster vaccine plateaued at high levels between 5.1 and 7.1 years (mean) post-vaccination, suggesting that its clinical benefit in older adults is sustained for at least 7 years post-vaccination. Background This ongoing follow-up study evaluated the persistence of efficacy and immune responses for 6 additional years in adults vaccinated with the glycoprotein E (gE)-based adjuvanted recombinant zoster vaccine (RZV) at age &gt;= 50 years in 2 pivotal efficacy trials (ZOE-50 and ZOE-70). The present interim analysis was performed after &gt;= 2 additional years of follow-up (between 5.1 and 7.1 years [mean] post-vaccination) and includes partial data for year (Y) 8 post-vaccination. Methods Annual assessments were performed for efficacy against herpes zoster (HZ) from Y6 post-vaccination and for anti-gE antibody concentrations and gE-specific CD4[2+] T-cell (expressing &gt;= 2 of 4 assessed activation markers) frequencies from Y5 post-vaccination. Results Of 7413 participants enrolled for the long-term efficacy assessment, 7277 (mean age at vaccination, 67.2 years), 813, and 108 were included in the cohorts evaluating efficacy, humoral immune responses, and cell-mediated immune responses, respectively. Efficacy of RZV against HZ through this interim analysis was 84.0% (95% confidence interval [CI], 75.9-89.8) from the start of this follow-up study and 90.9% (95% CI, 88.2-93.2) from vaccination in ZOE-50/70. Annual vaccine efficacy estimates were &gt;84% for each year since vaccination and remained stable through this interim analysis. Anti-gE antibody geometric mean concentrations and median frequencies of gE-specific CD4[2+] T cells reached a plateau at approximately 6-fold above pre-vaccination levels. Conclusions Efficacy against HZ and immune responses to RZV remained high, suggesting that the clinical benefit of RZV in older adults is sustained for at least 7 years post-vaccination.</t>
  </si>
  <si>
    <t xml:space="preserve">[Boutry, Celine] Aixial, Brussels, Belgium; [Boutry, Celine; Pirrotta, Paola; Zahaf, Toufik] GSK, Wavre, Belgium; [Hastie, Andrew; Shi, Meng; Schuind, Anne] GSK, Rockville, MD USA; [Diez-Domingo, Javier] FISABIO Fdn Fomento Invest Sanitaria &amp; Biomed Com, Valencia, Spain; [Tinoco, Juan Carlos] Hosp Gen Durango, Durango, Mexico; [Yu, Chong-Jen] Natl Taiwan Univ, Dept Internal Med, Coll Med, Taipei, Taiwan; [Yu, Chong-Jen] Natl Taiwan Univ Hosp, Taipei, Taiwan; [Andrews, Charles] Diagnost Res Grp, San Antonio, TX USA; [Beytout, Jean] CHU Clermont Ferrand, Serv CIC, Clermont Ferrand, France; [Caso, Covadonga] Hosp Clin San Carlos, Serv Prevenc, Madrid, Spain; [Cheng, Huey-Shinn] Linkou Chang Gung Mem Hosp, Taoyuan, Taiwan; [Cheong, Hee Jin] Korea Univ, Guro Hosp, Seoul, South Korea; [Choo, Eun Ju] SoonChunhyang Univ, Bucheon Hosp, Bucheon Si, South Korea; [Curiac, Dan] Sahlgrens Univ Hosp, Clin Trial Ctr, Gothenburg, Sweden; [Di Paolo, Emmanuel; Salaun, Bruno] GSK, Rixensart, Belgium; [Dionne, Marc] Univ Laval, CHU Quebec, Quebec City, PQ, Canada; [Eckermann, Tamara] Praxisgemeinschaft Heimeranpl, Munich, Germany; [Esen, Meral] Univ Klinikum Tubingen, Inst Trop Med, Tubingen, Germany; [Ferguson, Murdo] Colchester Res Grp, Truro, NS, Canada; [Ghesquiere, Wayne] PerCuro Clin Res Ltd, UBC, Isl Hlth Author, Div Infect Dis, Victoria, BC, Canada; [Hwang, Shinn-Jang] Taipei Vet Gen Hosp, Taipei, Taiwan; [Hwang, Shinn-Jang] Natl Yang Ming Univ, Sch Med, Taipei, Taiwan; [Avelino-Silva, Thiago Junqueira] Univ Sao Paulo, Fac Med, Hosp Clin HCFMUSP, Serv Geriatria,Lab Invest Med Envelhecimento LIM, Sao Paulo, Brazil; [Kosina, Pavel] Dept Infect Dis, Hradec Kralove, Czech Republic; [Liu, Chiu-Shong] China Med Univ Hosp, Occupat Med &amp; Family Med, Taichung, Taiwan; [Markkula, Jukka] Tampere Univ, Vaccine Res Ctr, Pori Vaccine Res Clin, Pori, Finland; [de Oliveira, Claudia Murta] Santa Casa de Misericordia Belo Horizonte, Ambulatorio Pesquisa Clin, Belo Horizonte, MG, Brazil; [Park, Dae Won] Korea Univ, Ansan Hosp, Ansan, South Korea; [Pauksens, Karlis] Akad Sjukhuset, Infekt Kliniken, Uppsala, Sweden; [Plassmann, Georg] UHZ Klin Forsch, Essen, Germany; [Pretswell, Carol] Synexus Lancashire Clin Res Ctr, Chorley, England; [Rombo, Lars] Clin Res Ctr, Eskilstuna, Sweden; [Berglund, Johan Sanmartin] Blekinge Inst Technol, Dept Hlth, Karlstrona, Sweden; [Schenkenberger, Isabelle] KFB Klin Forsch Berlin, Berlin, Germany; [Schwarz, Tino] Standort Juliusspital, Inst Lab Med &amp; Vaccinat Ctr, Klinikum Wurzburg Mitte, Wurzburg, Germany; [Ukkonen, Benita] Tampere Univ, Vaccine Res Ctr, Espoo Vaccine Res Clin, Espoo, Finland; [Zerbini, Cristiano] CEPIC, Ctr Paulista Invest Clin, Sao Paulo, Brazil; [Cunningham, Anthony L.] Westmead Inst Med Res, Westmead, NSW, Australia; [Cunningham, Anthony L.] Univ Sydney, Sydney, NSW, Australia; [Schuind, Anne] PATH, Washington, DC USA</t>
  </si>
  <si>
    <t xml:space="preserve">GlaxoSmithKline; GlaxoSmithKline; National Taiwan University; National Taiwan University; National Taiwan University Hospital; Institut National de la Sante et de la Recherche Medicale (Inserm); CHU Clermont Ferrand; Hospital Clinico San Carlos; Chang Gung Memorial Hospital; Korea University; Korea University Medicine (KU Medicine); Soonchunhyang University; Sahlgrenska University Hospital; GlaxoSmithKline; Laval University; Laval University Hospital; Eberhard Karls University of Tubingen; Eberhard Karls University Hospital; Vancouver Island Health Authority; University of British Columbia; Taipei Veterans General Hospital; National Yang Ming Chiao Tung University; Universidade de Sao Paulo; China Medical University Taiwan; China Medical University Hospital - Taiwan; Tampere University; Korea University; Korea University Medicine (KU Medicine); Uppsala University; Uppsala University Hospital; Blekinge Institute Technology; Tampere University; University of Sydney; Westmead Institute for Medical Research; University of Sydney</t>
  </si>
  <si>
    <t xml:space="preserve">Hastie, A (corresponding author), 14200 Shady Grove Rd, Rockville, MD 20850 USA.</t>
  </si>
  <si>
    <t xml:space="preserve">andrew.x.hastie@gsk.com</t>
  </si>
  <si>
    <t xml:space="preserve">de Freitas Zerbini, Cristiano/G-7566-2012; Kim, Hyunho/GQH-5608-2022; DIEZ DOMINGO, JAVIER/IRZ-7330-2023; Kosina, Pavel/N-7474-2017; Sanmartin Berglund, Johan/HGB-0471-2022; Hsu, Chih-Cheng/E-3849-2010; J. Avelino-Silva, Thiago/J-8794-2013; Cunningham, Anthony Lawrence/B-7011-2013</t>
  </si>
  <si>
    <t xml:space="preserve">Zerbini, Cristiano/0000-0001-6269-2354; Yu, Chong-Jen/0000-0001-5664-9392; Park, Dae Won/0000-0002-7653-686X; J. Avelino-Silva, Thiago/0000-0001-9347-0519; Cheong, Hee Jin/0000-0002-2532-1463; Diez-Domingo, Javier/0000-0003-1008-3922; Cunningham, Anthony Lawrence/0000-0002-6744-5667</t>
  </si>
  <si>
    <t xml:space="preserve">OXFORD UNIV PRESS INC</t>
  </si>
  <si>
    <t xml:space="preserve">CARY</t>
  </si>
  <si>
    <t xml:space="preserve">JOURNALS DEPT, 2001 EVANS RD, CARY, NC 27513 USA</t>
  </si>
  <si>
    <t xml:space="preserve">1058-4838</t>
  </si>
  <si>
    <t xml:space="preserve">1537-6591</t>
  </si>
  <si>
    <t xml:space="preserve">CLIN INFECT DIS</t>
  </si>
  <si>
    <t xml:space="preserve">Clin. Infect. Dis.</t>
  </si>
  <si>
    <t xml:space="preserve">APR 28</t>
  </si>
  <si>
    <t xml:space="preserve">10.1093/cid/ciab629</t>
  </si>
  <si>
    <t xml:space="preserve">Immunology; Infectious Diseases; Microbiology</t>
  </si>
  <si>
    <t xml:space="preserve">0V3PY</t>
  </si>
  <si>
    <t xml:space="preserve">WOS:000756453800001</t>
  </si>
</sst>
</file>

<file path=xl/styles.xml><?xml version="1.0" encoding="utf-8"?>
<styleSheet xmlns="http://schemas.openxmlformats.org/spreadsheetml/2006/main">
  <numFmts count="1">
    <numFmt numFmtId="164" formatCode="General"/>
  </numFmts>
  <fonts count="4">
    <font>
      <sz val="10"/>
      <name val="Arial"/>
      <family val="0"/>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1028"/>
  <sheetViews>
    <sheetView showFormulas="false" showGridLines="true" showRowColHeaders="true" showZeros="true" rightToLeft="false" tabSelected="true" showOutlineSymbols="true" defaultGridColor="true" view="normal" topLeftCell="A1002" colorId="64" zoomScale="100" zoomScaleNormal="100" zoomScalePageLayoutView="100" workbookViewId="0">
      <selection pane="topLeft" activeCell="N1014" activeCellId="0" sqref="N1014"/>
    </sheetView>
  </sheetViews>
  <sheetFormatPr defaultColWidth="9.0546875" defaultRowHeight="12.75" zeroHeight="false" outlineLevelRow="0" outlineLevelCol="0"/>
  <sheetData>
    <row r="1" customFormat="false" ht="12.7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ustomFormat="false" ht="12.75" hidden="false" customHeight="false" outlineLevel="0" collapsed="false">
      <c r="A2" s="1" t="s">
        <v>72</v>
      </c>
      <c r="B2" s="1" t="s">
        <v>73</v>
      </c>
      <c r="C2" s="1"/>
      <c r="D2" s="1"/>
      <c r="E2" s="1" t="s">
        <v>74</v>
      </c>
      <c r="F2" s="1" t="s">
        <v>75</v>
      </c>
      <c r="G2" s="1"/>
      <c r="H2" s="1"/>
      <c r="I2" s="1" t="s">
        <v>76</v>
      </c>
      <c r="J2" s="1" t="s">
        <v>77</v>
      </c>
      <c r="K2" s="1"/>
      <c r="L2" s="1"/>
      <c r="M2" s="1" t="s">
        <v>78</v>
      </c>
      <c r="N2" s="1" t="s">
        <v>79</v>
      </c>
      <c r="O2" s="1" t="s">
        <v>80</v>
      </c>
      <c r="P2" s="1" t="s">
        <v>81</v>
      </c>
      <c r="Q2" s="1" t="s">
        <v>82</v>
      </c>
      <c r="R2" s="1"/>
      <c r="S2" s="1"/>
      <c r="T2" s="1" t="s">
        <v>83</v>
      </c>
      <c r="U2" s="1"/>
      <c r="V2" s="1" t="s">
        <v>84</v>
      </c>
      <c r="W2" s="1" t="s">
        <v>85</v>
      </c>
      <c r="X2" s="1" t="s">
        <v>86</v>
      </c>
      <c r="Y2" s="1" t="s">
        <v>87</v>
      </c>
      <c r="Z2" s="1" t="s">
        <v>88</v>
      </c>
      <c r="AA2" s="1" t="s">
        <v>89</v>
      </c>
      <c r="AB2" s="1" t="s">
        <v>90</v>
      </c>
      <c r="AC2" s="1" t="s">
        <v>91</v>
      </c>
      <c r="AD2" s="1" t="s">
        <v>92</v>
      </c>
      <c r="AE2" s="1" t="s">
        <v>93</v>
      </c>
      <c r="AF2" s="1"/>
      <c r="AG2" s="1" t="n">
        <v>20</v>
      </c>
      <c r="AH2" s="1" t="n">
        <v>0</v>
      </c>
      <c r="AI2" s="1" t="n">
        <v>0</v>
      </c>
      <c r="AJ2" s="1" t="n">
        <v>0</v>
      </c>
      <c r="AK2" s="1" t="n">
        <v>0</v>
      </c>
      <c r="AL2" s="1" t="s">
        <v>94</v>
      </c>
      <c r="AM2" s="1" t="s">
        <v>95</v>
      </c>
      <c r="AN2" s="1" t="s">
        <v>96</v>
      </c>
      <c r="AO2" s="1"/>
      <c r="AP2" s="1"/>
      <c r="AQ2" s="1" t="s">
        <v>97</v>
      </c>
      <c r="AR2" s="1"/>
      <c r="AS2" s="1"/>
      <c r="AT2" s="1"/>
      <c r="AU2" s="1" t="n">
        <v>2024</v>
      </c>
      <c r="AV2" s="1"/>
      <c r="AW2" s="1"/>
      <c r="AX2" s="1"/>
      <c r="AY2" s="1"/>
      <c r="AZ2" s="1"/>
      <c r="BA2" s="1"/>
      <c r="BB2" s="1" t="n">
        <v>22</v>
      </c>
      <c r="BC2" s="1" t="n">
        <v>27</v>
      </c>
      <c r="BD2" s="1"/>
      <c r="BE2" s="1" t="s">
        <v>98</v>
      </c>
      <c r="BF2" s="1" t="str">
        <f aca="false">HYPERLINK("http://dx.doi.org/10.1145/3657547.3657562","http://dx.doi.org/10.1145/3657547.3657562")</f>
        <v>http://dx.doi.org/10.1145/3657547.3657562</v>
      </c>
      <c r="BG2" s="1"/>
      <c r="BH2" s="1"/>
      <c r="BI2" s="1" t="n">
        <v>6</v>
      </c>
      <c r="BJ2" s="1" t="s">
        <v>99</v>
      </c>
      <c r="BK2" s="1" t="s">
        <v>100</v>
      </c>
      <c r="BL2" s="1" t="s">
        <v>101</v>
      </c>
      <c r="BM2" s="1" t="s">
        <v>102</v>
      </c>
      <c r="BN2" s="1"/>
      <c r="BO2" s="1"/>
      <c r="BP2" s="1"/>
      <c r="BQ2" s="1"/>
      <c r="BR2" s="1" t="s">
        <v>103</v>
      </c>
      <c r="BS2" s="1" t="s">
        <v>104</v>
      </c>
      <c r="BT2" s="1" t="str">
        <f aca="false">HYPERLINK("https%3A%2F%2Fwww.webofscience.com%2Fwos%2Fwoscc%2Ffull-record%2FWOS:001263811200004","View Full Record in Web of Science")</f>
        <v>View Full Record in Web of Science</v>
      </c>
    </row>
    <row r="3" customFormat="false" ht="12.75" hidden="false" customHeight="false" outlineLevel="0" collapsed="false">
      <c r="A3" s="1" t="s">
        <v>72</v>
      </c>
      <c r="B3" s="1" t="s">
        <v>105</v>
      </c>
      <c r="C3" s="1"/>
      <c r="D3" s="1"/>
      <c r="E3" s="1" t="s">
        <v>106</v>
      </c>
      <c r="F3" s="1" t="s">
        <v>107</v>
      </c>
      <c r="G3" s="1"/>
      <c r="H3" s="1"/>
      <c r="I3" s="1" t="s">
        <v>108</v>
      </c>
      <c r="J3" s="1" t="s">
        <v>109</v>
      </c>
      <c r="K3" s="1" t="s">
        <v>110</v>
      </c>
      <c r="L3" s="1"/>
      <c r="M3" s="1" t="s">
        <v>78</v>
      </c>
      <c r="N3" s="1" t="s">
        <v>79</v>
      </c>
      <c r="O3" s="1" t="s">
        <v>111</v>
      </c>
      <c r="P3" s="1" t="s">
        <v>112</v>
      </c>
      <c r="Q3" s="1" t="s">
        <v>113</v>
      </c>
      <c r="R3" s="1" t="s">
        <v>114</v>
      </c>
      <c r="S3" s="1"/>
      <c r="T3" s="1" t="s">
        <v>115</v>
      </c>
      <c r="U3" s="1" t="s">
        <v>116</v>
      </c>
      <c r="V3" s="1" t="s">
        <v>117</v>
      </c>
      <c r="W3" s="1" t="s">
        <v>118</v>
      </c>
      <c r="X3" s="1" t="s">
        <v>86</v>
      </c>
      <c r="Y3" s="1" t="s">
        <v>119</v>
      </c>
      <c r="Z3" s="1" t="s">
        <v>120</v>
      </c>
      <c r="AA3" s="1" t="s">
        <v>121</v>
      </c>
      <c r="AB3" s="1"/>
      <c r="AC3" s="1"/>
      <c r="AD3" s="1"/>
      <c r="AE3" s="1"/>
      <c r="AF3" s="1"/>
      <c r="AG3" s="1" t="n">
        <v>39</v>
      </c>
      <c r="AH3" s="1" t="n">
        <v>0</v>
      </c>
      <c r="AI3" s="1" t="n">
        <v>0</v>
      </c>
      <c r="AJ3" s="1" t="n">
        <v>2</v>
      </c>
      <c r="AK3" s="1" t="n">
        <v>2</v>
      </c>
      <c r="AL3" s="1" t="s">
        <v>106</v>
      </c>
      <c r="AM3" s="1" t="s">
        <v>95</v>
      </c>
      <c r="AN3" s="1" t="s">
        <v>122</v>
      </c>
      <c r="AO3" s="1" t="s">
        <v>123</v>
      </c>
      <c r="AP3" s="1"/>
      <c r="AQ3" s="1" t="s">
        <v>124</v>
      </c>
      <c r="AR3" s="1" t="s">
        <v>125</v>
      </c>
      <c r="AS3" s="1"/>
      <c r="AT3" s="1"/>
      <c r="AU3" s="1" t="n">
        <v>2024</v>
      </c>
      <c r="AV3" s="1"/>
      <c r="AW3" s="1"/>
      <c r="AX3" s="1"/>
      <c r="AY3" s="1"/>
      <c r="AZ3" s="1"/>
      <c r="BA3" s="1"/>
      <c r="BB3" s="1"/>
      <c r="BC3" s="1"/>
      <c r="BD3" s="1"/>
      <c r="BE3" s="1" t="s">
        <v>126</v>
      </c>
      <c r="BF3" s="1" t="str">
        <f aca="false">HYPERLINK("http://dx.doi.org/10.1109/EDUCON60312.2024.10578615","http://dx.doi.org/10.1109/EDUCON60312.2024.10578615")</f>
        <v>http://dx.doi.org/10.1109/EDUCON60312.2024.10578615</v>
      </c>
      <c r="BG3" s="1"/>
      <c r="BH3" s="1"/>
      <c r="BI3" s="1" t="n">
        <v>9</v>
      </c>
      <c r="BJ3" s="1" t="s">
        <v>127</v>
      </c>
      <c r="BK3" s="1" t="s">
        <v>100</v>
      </c>
      <c r="BL3" s="1" t="s">
        <v>128</v>
      </c>
      <c r="BM3" s="1" t="s">
        <v>129</v>
      </c>
      <c r="BN3" s="1"/>
      <c r="BO3" s="1"/>
      <c r="BP3" s="1"/>
      <c r="BQ3" s="1"/>
      <c r="BR3" s="1" t="s">
        <v>103</v>
      </c>
      <c r="BS3" s="1" t="s">
        <v>130</v>
      </c>
      <c r="BT3" s="1" t="str">
        <f aca="false">HYPERLINK("https%3A%2F%2Fwww.webofscience.com%2Fwos%2Fwoscc%2Ffull-record%2FWOS:001289091100058","View Full Record in Web of Science")</f>
        <v>View Full Record in Web of Science</v>
      </c>
    </row>
    <row r="4" customFormat="false" ht="12.75" hidden="false" customHeight="false" outlineLevel="0" collapsed="false">
      <c r="A4" s="1" t="s">
        <v>72</v>
      </c>
      <c r="B4" s="1" t="s">
        <v>131</v>
      </c>
      <c r="C4" s="1"/>
      <c r="D4" s="1"/>
      <c r="E4" s="1" t="s">
        <v>106</v>
      </c>
      <c r="F4" s="1" t="s">
        <v>132</v>
      </c>
      <c r="G4" s="1"/>
      <c r="H4" s="1"/>
      <c r="I4" s="1" t="s">
        <v>133</v>
      </c>
      <c r="J4" s="1" t="s">
        <v>134</v>
      </c>
      <c r="K4" s="1" t="s">
        <v>135</v>
      </c>
      <c r="L4" s="1"/>
      <c r="M4" s="1" t="s">
        <v>78</v>
      </c>
      <c r="N4" s="1" t="s">
        <v>79</v>
      </c>
      <c r="O4" s="1" t="s">
        <v>136</v>
      </c>
      <c r="P4" s="1" t="s">
        <v>137</v>
      </c>
      <c r="Q4" s="1" t="s">
        <v>138</v>
      </c>
      <c r="R4" s="1" t="s">
        <v>139</v>
      </c>
      <c r="S4" s="1"/>
      <c r="T4" s="1" t="s">
        <v>140</v>
      </c>
      <c r="U4" s="1"/>
      <c r="V4" s="1" t="s">
        <v>141</v>
      </c>
      <c r="W4" s="1" t="s">
        <v>142</v>
      </c>
      <c r="X4" s="1" t="s">
        <v>86</v>
      </c>
      <c r="Y4" s="1" t="s">
        <v>143</v>
      </c>
      <c r="Z4" s="1" t="s">
        <v>144</v>
      </c>
      <c r="AA4" s="1" t="s">
        <v>145</v>
      </c>
      <c r="AB4" s="1"/>
      <c r="AC4" s="1" t="s">
        <v>146</v>
      </c>
      <c r="AD4" s="1" t="s">
        <v>147</v>
      </c>
      <c r="AE4" s="1" t="s">
        <v>148</v>
      </c>
      <c r="AF4" s="1"/>
      <c r="AG4" s="1" t="n">
        <v>25</v>
      </c>
      <c r="AH4" s="1" t="n">
        <v>0</v>
      </c>
      <c r="AI4" s="1" t="n">
        <v>0</v>
      </c>
      <c r="AJ4" s="1" t="n">
        <v>1</v>
      </c>
      <c r="AK4" s="1" t="n">
        <v>1</v>
      </c>
      <c r="AL4" s="1" t="s">
        <v>106</v>
      </c>
      <c r="AM4" s="1" t="s">
        <v>95</v>
      </c>
      <c r="AN4" s="1" t="s">
        <v>122</v>
      </c>
      <c r="AO4" s="1" t="s">
        <v>149</v>
      </c>
      <c r="AP4" s="1"/>
      <c r="AQ4" s="1" t="s">
        <v>150</v>
      </c>
      <c r="AR4" s="1" t="s">
        <v>151</v>
      </c>
      <c r="AS4" s="1"/>
      <c r="AT4" s="1"/>
      <c r="AU4" s="1" t="n">
        <v>2024</v>
      </c>
      <c r="AV4" s="1"/>
      <c r="AW4" s="1"/>
      <c r="AX4" s="1"/>
      <c r="AY4" s="1"/>
      <c r="AZ4" s="1"/>
      <c r="BA4" s="1"/>
      <c r="BB4" s="1" t="n">
        <v>54</v>
      </c>
      <c r="BC4" s="1" t="n">
        <v>59</v>
      </c>
      <c r="BD4" s="1"/>
      <c r="BE4" s="1" t="s">
        <v>152</v>
      </c>
      <c r="BF4" s="1" t="str">
        <f aca="false">HYPERLINK("http://dx.doi.org/10.1109/ICCE62051.2024.10634673","http://dx.doi.org/10.1109/ICCE62051.2024.10634673")</f>
        <v>http://dx.doi.org/10.1109/ICCE62051.2024.10634673</v>
      </c>
      <c r="BG4" s="1"/>
      <c r="BH4" s="1"/>
      <c r="BI4" s="1" t="n">
        <v>6</v>
      </c>
      <c r="BJ4" s="1" t="s">
        <v>153</v>
      </c>
      <c r="BK4" s="1" t="s">
        <v>100</v>
      </c>
      <c r="BL4" s="1" t="s">
        <v>154</v>
      </c>
      <c r="BM4" s="1" t="s">
        <v>155</v>
      </c>
      <c r="BN4" s="1"/>
      <c r="BO4" s="1"/>
      <c r="BP4" s="1"/>
      <c r="BQ4" s="1"/>
      <c r="BR4" s="1" t="s">
        <v>103</v>
      </c>
      <c r="BS4" s="1" t="s">
        <v>156</v>
      </c>
      <c r="BT4" s="1" t="str">
        <f aca="false">HYPERLINK("https%3A%2F%2Fwww.webofscience.com%2Fwos%2Fwoscc%2Ffull-record%2FWOS:001327716100010","View Full Record in Web of Science")</f>
        <v>View Full Record in Web of Science</v>
      </c>
    </row>
    <row r="5" customFormat="false" ht="12.75" hidden="false" customHeight="false" outlineLevel="0" collapsed="false">
      <c r="A5" s="1" t="s">
        <v>72</v>
      </c>
      <c r="B5" s="1" t="s">
        <v>157</v>
      </c>
      <c r="C5" s="1"/>
      <c r="D5" s="1"/>
      <c r="E5" s="1" t="s">
        <v>106</v>
      </c>
      <c r="F5" s="1" t="s">
        <v>158</v>
      </c>
      <c r="G5" s="1"/>
      <c r="H5" s="1"/>
      <c r="I5" s="1" t="s">
        <v>159</v>
      </c>
      <c r="J5" s="1" t="s">
        <v>160</v>
      </c>
      <c r="K5" s="1"/>
      <c r="L5" s="1"/>
      <c r="M5" s="1" t="s">
        <v>78</v>
      </c>
      <c r="N5" s="1" t="s">
        <v>79</v>
      </c>
      <c r="O5" s="1" t="s">
        <v>161</v>
      </c>
      <c r="P5" s="1" t="s">
        <v>162</v>
      </c>
      <c r="Q5" s="1" t="s">
        <v>82</v>
      </c>
      <c r="R5" s="1" t="s">
        <v>163</v>
      </c>
      <c r="S5" s="1"/>
      <c r="T5" s="1" t="s">
        <v>164</v>
      </c>
      <c r="U5" s="1"/>
      <c r="V5" s="1" t="s">
        <v>165</v>
      </c>
      <c r="W5" s="1" t="s">
        <v>166</v>
      </c>
      <c r="X5" s="1" t="s">
        <v>86</v>
      </c>
      <c r="Y5" s="1" t="s">
        <v>167</v>
      </c>
      <c r="Z5" s="1" t="s">
        <v>168</v>
      </c>
      <c r="AA5" s="1"/>
      <c r="AB5" s="1" t="s">
        <v>169</v>
      </c>
      <c r="AC5" s="1" t="s">
        <v>170</v>
      </c>
      <c r="AD5" s="1" t="s">
        <v>170</v>
      </c>
      <c r="AE5" s="1" t="s">
        <v>171</v>
      </c>
      <c r="AF5" s="1"/>
      <c r="AG5" s="1" t="n">
        <v>19</v>
      </c>
      <c r="AH5" s="1" t="n">
        <v>1</v>
      </c>
      <c r="AI5" s="1" t="n">
        <v>1</v>
      </c>
      <c r="AJ5" s="1" t="n">
        <v>0</v>
      </c>
      <c r="AK5" s="1" t="n">
        <v>0</v>
      </c>
      <c r="AL5" s="1" t="s">
        <v>172</v>
      </c>
      <c r="AM5" s="1" t="s">
        <v>173</v>
      </c>
      <c r="AN5" s="1" t="s">
        <v>174</v>
      </c>
      <c r="AO5" s="1"/>
      <c r="AP5" s="1"/>
      <c r="AQ5" s="1" t="s">
        <v>175</v>
      </c>
      <c r="AR5" s="1"/>
      <c r="AS5" s="1"/>
      <c r="AT5" s="1"/>
      <c r="AU5" s="1" t="n">
        <v>2023</v>
      </c>
      <c r="AV5" s="1"/>
      <c r="AW5" s="1"/>
      <c r="AX5" s="1"/>
      <c r="AY5" s="1"/>
      <c r="AZ5" s="1"/>
      <c r="BA5" s="1"/>
      <c r="BB5" s="1" t="n">
        <v>13</v>
      </c>
      <c r="BC5" s="1" t="n">
        <v>15</v>
      </c>
      <c r="BD5" s="1"/>
      <c r="BE5" s="1" t="s">
        <v>176</v>
      </c>
      <c r="BF5" s="1" t="str">
        <f aca="false">HYPERLINK("http://dx.doi.org/10.1109/NLBSE59153.2023.00010","http://dx.doi.org/10.1109/NLBSE59153.2023.00010")</f>
        <v>http://dx.doi.org/10.1109/NLBSE59153.2023.00010</v>
      </c>
      <c r="BG5" s="1"/>
      <c r="BH5" s="1"/>
      <c r="BI5" s="1" t="n">
        <v>3</v>
      </c>
      <c r="BJ5" s="1" t="s">
        <v>177</v>
      </c>
      <c r="BK5" s="1" t="s">
        <v>100</v>
      </c>
      <c r="BL5" s="1" t="s">
        <v>101</v>
      </c>
      <c r="BM5" s="1" t="s">
        <v>178</v>
      </c>
      <c r="BN5" s="1"/>
      <c r="BO5" s="1" t="s">
        <v>179</v>
      </c>
      <c r="BP5" s="1"/>
      <c r="BQ5" s="1"/>
      <c r="BR5" s="1" t="s">
        <v>103</v>
      </c>
      <c r="BS5" s="1" t="s">
        <v>180</v>
      </c>
      <c r="BT5" s="1" t="str">
        <f aca="false">HYPERLINK("https%3A%2F%2Fwww.webofscience.com%2Fwos%2Fwoscc%2Ffull-record%2FWOS:001039169700004","View Full Record in Web of Science")</f>
        <v>View Full Record in Web of Science</v>
      </c>
    </row>
    <row r="6" customFormat="false" ht="12.75" hidden="false" customHeight="false" outlineLevel="0" collapsed="false">
      <c r="A6" s="1" t="s">
        <v>181</v>
      </c>
      <c r="B6" s="1" t="s">
        <v>182</v>
      </c>
      <c r="C6" s="1"/>
      <c r="D6" s="1"/>
      <c r="E6" s="1"/>
      <c r="F6" s="1" t="s">
        <v>183</v>
      </c>
      <c r="G6" s="1"/>
      <c r="H6" s="1"/>
      <c r="I6" s="1" t="s">
        <v>184</v>
      </c>
      <c r="J6" s="1" t="s">
        <v>185</v>
      </c>
      <c r="K6" s="1"/>
      <c r="L6" s="1"/>
      <c r="M6" s="1" t="s">
        <v>78</v>
      </c>
      <c r="N6" s="1" t="s">
        <v>186</v>
      </c>
      <c r="O6" s="1"/>
      <c r="P6" s="1"/>
      <c r="Q6" s="1"/>
      <c r="R6" s="1"/>
      <c r="S6" s="1"/>
      <c r="T6" s="1" t="s">
        <v>187</v>
      </c>
      <c r="U6" s="1" t="s">
        <v>188</v>
      </c>
      <c r="V6" s="1" t="s">
        <v>189</v>
      </c>
      <c r="W6" s="1" t="s">
        <v>190</v>
      </c>
      <c r="X6" s="1" t="s">
        <v>86</v>
      </c>
      <c r="Y6" s="1" t="s">
        <v>191</v>
      </c>
      <c r="Z6" s="1" t="s">
        <v>192</v>
      </c>
      <c r="AA6" s="1" t="s">
        <v>193</v>
      </c>
      <c r="AB6" s="1" t="s">
        <v>194</v>
      </c>
      <c r="AC6" s="1"/>
      <c r="AD6" s="1"/>
      <c r="AE6" s="1"/>
      <c r="AF6" s="1"/>
      <c r="AG6" s="1" t="n">
        <v>11</v>
      </c>
      <c r="AH6" s="1" t="n">
        <v>0</v>
      </c>
      <c r="AI6" s="1" t="n">
        <v>0</v>
      </c>
      <c r="AJ6" s="1" t="n">
        <v>3</v>
      </c>
      <c r="AK6" s="1" t="n">
        <v>7</v>
      </c>
      <c r="AL6" s="1" t="s">
        <v>195</v>
      </c>
      <c r="AM6" s="1" t="s">
        <v>196</v>
      </c>
      <c r="AN6" s="1" t="s">
        <v>197</v>
      </c>
      <c r="AO6" s="1" t="s">
        <v>198</v>
      </c>
      <c r="AP6" s="1" t="s">
        <v>199</v>
      </c>
      <c r="AQ6" s="1"/>
      <c r="AR6" s="1" t="s">
        <v>200</v>
      </c>
      <c r="AS6" s="1" t="s">
        <v>201</v>
      </c>
      <c r="AT6" s="1"/>
      <c r="AU6" s="1" t="n">
        <v>2022</v>
      </c>
      <c r="AV6" s="1" t="n">
        <v>19</v>
      </c>
      <c r="AW6" s="1"/>
      <c r="AX6" s="1"/>
      <c r="AY6" s="1"/>
      <c r="AZ6" s="1"/>
      <c r="BA6" s="1"/>
      <c r="BB6" s="1"/>
      <c r="BC6" s="1"/>
      <c r="BD6" s="1" t="n">
        <v>4503605</v>
      </c>
      <c r="BE6" s="1" t="s">
        <v>202</v>
      </c>
      <c r="BF6" s="1" t="str">
        <f aca="false">HYPERLINK("http://dx.doi.org/10.1109/LGRS.2022.3141845","http://dx.doi.org/10.1109/LGRS.2022.3141845")</f>
        <v>http://dx.doi.org/10.1109/LGRS.2022.3141845</v>
      </c>
      <c r="BG6" s="1"/>
      <c r="BH6" s="1"/>
      <c r="BI6" s="1" t="n">
        <v>5</v>
      </c>
      <c r="BJ6" s="1" t="s">
        <v>203</v>
      </c>
      <c r="BK6" s="1" t="s">
        <v>204</v>
      </c>
      <c r="BL6" s="1" t="s">
        <v>205</v>
      </c>
      <c r="BM6" s="1" t="s">
        <v>206</v>
      </c>
      <c r="BN6" s="1"/>
      <c r="BO6" s="1" t="s">
        <v>207</v>
      </c>
      <c r="BP6" s="1"/>
      <c r="BQ6" s="1"/>
      <c r="BR6" s="1" t="s">
        <v>103</v>
      </c>
      <c r="BS6" s="1" t="s">
        <v>208</v>
      </c>
      <c r="BT6" s="1" t="str">
        <f aca="false">HYPERLINK("https%3A%2F%2Fwww.webofscience.com%2Fwos%2Fwoscc%2Ffull-record%2FWOS:000747448500006","View Full Record in Web of Science")</f>
        <v>View Full Record in Web of Science</v>
      </c>
    </row>
    <row r="7" customFormat="false" ht="12.75" hidden="false" customHeight="false" outlineLevel="0" collapsed="false">
      <c r="A7" s="1" t="s">
        <v>72</v>
      </c>
      <c r="B7" s="1" t="s">
        <v>209</v>
      </c>
      <c r="C7" s="1"/>
      <c r="D7" s="1" t="s">
        <v>210</v>
      </c>
      <c r="E7" s="1" t="s">
        <v>106</v>
      </c>
      <c r="F7" s="1" t="s">
        <v>211</v>
      </c>
      <c r="G7" s="1"/>
      <c r="H7" s="1"/>
      <c r="I7" s="1" t="s">
        <v>212</v>
      </c>
      <c r="J7" s="1" t="s">
        <v>213</v>
      </c>
      <c r="K7" s="1"/>
      <c r="L7" s="1"/>
      <c r="M7" s="1" t="s">
        <v>78</v>
      </c>
      <c r="N7" s="1" t="s">
        <v>79</v>
      </c>
      <c r="O7" s="1" t="s">
        <v>214</v>
      </c>
      <c r="P7" s="1" t="s">
        <v>215</v>
      </c>
      <c r="Q7" s="1" t="s">
        <v>216</v>
      </c>
      <c r="R7" s="1" t="s">
        <v>106</v>
      </c>
      <c r="S7" s="1"/>
      <c r="T7" s="1" t="s">
        <v>217</v>
      </c>
      <c r="U7" s="1"/>
      <c r="V7" s="1" t="s">
        <v>218</v>
      </c>
      <c r="W7" s="1" t="s">
        <v>219</v>
      </c>
      <c r="X7" s="1" t="s">
        <v>86</v>
      </c>
      <c r="Y7" s="1" t="s">
        <v>220</v>
      </c>
      <c r="Z7" s="1" t="s">
        <v>221</v>
      </c>
      <c r="AA7" s="1" t="s">
        <v>222</v>
      </c>
      <c r="AB7" s="1"/>
      <c r="AC7" s="1"/>
      <c r="AD7" s="1"/>
      <c r="AE7" s="1"/>
      <c r="AF7" s="1"/>
      <c r="AG7" s="1" t="n">
        <v>16</v>
      </c>
      <c r="AH7" s="1" t="n">
        <v>0</v>
      </c>
      <c r="AI7" s="1" t="n">
        <v>0</v>
      </c>
      <c r="AJ7" s="1" t="n">
        <v>0</v>
      </c>
      <c r="AK7" s="1" t="n">
        <v>2</v>
      </c>
      <c r="AL7" s="1" t="s">
        <v>106</v>
      </c>
      <c r="AM7" s="1" t="s">
        <v>95</v>
      </c>
      <c r="AN7" s="1" t="s">
        <v>122</v>
      </c>
      <c r="AO7" s="1"/>
      <c r="AP7" s="1"/>
      <c r="AQ7" s="1" t="s">
        <v>223</v>
      </c>
      <c r="AR7" s="1"/>
      <c r="AS7" s="1"/>
      <c r="AT7" s="1"/>
      <c r="AU7" s="1" t="n">
        <v>2022</v>
      </c>
      <c r="AV7" s="1"/>
      <c r="AW7" s="1"/>
      <c r="AX7" s="1"/>
      <c r="AY7" s="1"/>
      <c r="AZ7" s="1"/>
      <c r="BA7" s="1"/>
      <c r="BB7" s="1"/>
      <c r="BC7" s="1"/>
      <c r="BD7" s="1"/>
      <c r="BE7" s="1" t="s">
        <v>224</v>
      </c>
      <c r="BF7" s="1" t="str">
        <f aca="false">HYPERLINK("http://dx.doi.org/10.1109/GEM56474.2022.10017610","http://dx.doi.org/10.1109/GEM56474.2022.10017610")</f>
        <v>http://dx.doi.org/10.1109/GEM56474.2022.10017610</v>
      </c>
      <c r="BG7" s="1"/>
      <c r="BH7" s="1"/>
      <c r="BI7" s="1" t="n">
        <v>6</v>
      </c>
      <c r="BJ7" s="1" t="s">
        <v>225</v>
      </c>
      <c r="BK7" s="1" t="s">
        <v>100</v>
      </c>
      <c r="BL7" s="1" t="s">
        <v>101</v>
      </c>
      <c r="BM7" s="1" t="s">
        <v>226</v>
      </c>
      <c r="BN7" s="1"/>
      <c r="BO7" s="1" t="s">
        <v>227</v>
      </c>
      <c r="BP7" s="1"/>
      <c r="BQ7" s="1"/>
      <c r="BR7" s="1" t="s">
        <v>103</v>
      </c>
      <c r="BS7" s="1" t="s">
        <v>228</v>
      </c>
      <c r="BT7" s="1" t="str">
        <f aca="false">HYPERLINK("https%3A%2F%2Fwww.webofscience.com%2Fwos%2Fwoscc%2Ffull-record%2FWOS:000926890300011","View Full Record in Web of Science")</f>
        <v>View Full Record in Web of Science</v>
      </c>
    </row>
    <row r="8" customFormat="false" ht="12.75" hidden="false" customHeight="false" outlineLevel="0" collapsed="false">
      <c r="A8" s="1" t="s">
        <v>181</v>
      </c>
      <c r="B8" s="1" t="s">
        <v>229</v>
      </c>
      <c r="C8" s="1"/>
      <c r="D8" s="1"/>
      <c r="E8" s="1"/>
      <c r="F8" s="1" t="s">
        <v>230</v>
      </c>
      <c r="G8" s="1"/>
      <c r="H8" s="1"/>
      <c r="I8" s="1" t="s">
        <v>231</v>
      </c>
      <c r="J8" s="1" t="s">
        <v>232</v>
      </c>
      <c r="K8" s="1"/>
      <c r="L8" s="1"/>
      <c r="M8" s="1" t="s">
        <v>78</v>
      </c>
      <c r="N8" s="1" t="s">
        <v>186</v>
      </c>
      <c r="O8" s="1"/>
      <c r="P8" s="1"/>
      <c r="Q8" s="1"/>
      <c r="R8" s="1"/>
      <c r="S8" s="1"/>
      <c r="T8" s="1" t="s">
        <v>233</v>
      </c>
      <c r="U8" s="1" t="s">
        <v>234</v>
      </c>
      <c r="V8" s="1" t="s">
        <v>235</v>
      </c>
      <c r="W8" s="1" t="s">
        <v>236</v>
      </c>
      <c r="X8" s="1" t="s">
        <v>86</v>
      </c>
      <c r="Y8" s="1" t="s">
        <v>237</v>
      </c>
      <c r="Z8" s="1" t="s">
        <v>238</v>
      </c>
      <c r="AA8" s="1" t="s">
        <v>239</v>
      </c>
      <c r="AB8" s="1" t="s">
        <v>240</v>
      </c>
      <c r="AC8" s="1" t="s">
        <v>241</v>
      </c>
      <c r="AD8" s="1" t="s">
        <v>242</v>
      </c>
      <c r="AE8" s="1" t="s">
        <v>243</v>
      </c>
      <c r="AF8" s="1"/>
      <c r="AG8" s="1" t="n">
        <v>52</v>
      </c>
      <c r="AH8" s="1" t="n">
        <v>1</v>
      </c>
      <c r="AI8" s="1" t="n">
        <v>1</v>
      </c>
      <c r="AJ8" s="1" t="n">
        <v>2</v>
      </c>
      <c r="AK8" s="1" t="n">
        <v>5</v>
      </c>
      <c r="AL8" s="1" t="s">
        <v>244</v>
      </c>
      <c r="AM8" s="1" t="s">
        <v>245</v>
      </c>
      <c r="AN8" s="1" t="s">
        <v>246</v>
      </c>
      <c r="AO8" s="1" t="s">
        <v>247</v>
      </c>
      <c r="AP8" s="1" t="s">
        <v>248</v>
      </c>
      <c r="AQ8" s="1"/>
      <c r="AR8" s="1" t="s">
        <v>249</v>
      </c>
      <c r="AS8" s="1" t="s">
        <v>250</v>
      </c>
      <c r="AT8" s="1"/>
      <c r="AU8" s="1" t="n">
        <v>2023</v>
      </c>
      <c r="AV8" s="1" t="n">
        <v>17</v>
      </c>
      <c r="AW8" s="1" t="n">
        <v>1</v>
      </c>
      <c r="AX8" s="1"/>
      <c r="AY8" s="1"/>
      <c r="AZ8" s="1"/>
      <c r="BA8" s="1"/>
      <c r="BB8" s="1"/>
      <c r="BC8" s="1"/>
      <c r="BD8" s="1" t="n">
        <v>230105</v>
      </c>
      <c r="BE8" s="1" t="s">
        <v>251</v>
      </c>
      <c r="BF8" s="1" t="str">
        <f aca="false">HYPERLINK("http://dx.doi.org/10.37190/e-Inf230105","http://dx.doi.org/10.37190/e-Inf230105")</f>
        <v>http://dx.doi.org/10.37190/e-Inf230105</v>
      </c>
      <c r="BG8" s="1"/>
      <c r="BH8" s="1"/>
      <c r="BI8" s="1" t="n">
        <v>42</v>
      </c>
      <c r="BJ8" s="1" t="s">
        <v>252</v>
      </c>
      <c r="BK8" s="1" t="s">
        <v>253</v>
      </c>
      <c r="BL8" s="1" t="s">
        <v>101</v>
      </c>
      <c r="BM8" s="1" t="s">
        <v>254</v>
      </c>
      <c r="BN8" s="1"/>
      <c r="BO8" s="1" t="s">
        <v>255</v>
      </c>
      <c r="BP8" s="1"/>
      <c r="BQ8" s="1"/>
      <c r="BR8" s="1" t="s">
        <v>103</v>
      </c>
      <c r="BS8" s="1" t="s">
        <v>256</v>
      </c>
      <c r="BT8" s="1" t="str">
        <f aca="false">HYPERLINK("https%3A%2F%2Fwww.webofscience.com%2Fwos%2Fwoscc%2Ffull-record%2FWOS:000944209900001","View Full Record in Web of Science")</f>
        <v>View Full Record in Web of Science</v>
      </c>
    </row>
    <row r="9" customFormat="false" ht="12.75" hidden="false" customHeight="false" outlineLevel="0" collapsed="false">
      <c r="A9" s="1" t="s">
        <v>181</v>
      </c>
      <c r="B9" s="1" t="s">
        <v>257</v>
      </c>
      <c r="C9" s="1"/>
      <c r="D9" s="1"/>
      <c r="E9" s="1"/>
      <c r="F9" s="1" t="s">
        <v>258</v>
      </c>
      <c r="G9" s="1"/>
      <c r="H9" s="1"/>
      <c r="I9" s="1" t="s">
        <v>259</v>
      </c>
      <c r="J9" s="1" t="s">
        <v>260</v>
      </c>
      <c r="K9" s="1"/>
      <c r="L9" s="1"/>
      <c r="M9" s="1" t="s">
        <v>78</v>
      </c>
      <c r="N9" s="1" t="s">
        <v>186</v>
      </c>
      <c r="O9" s="1"/>
      <c r="P9" s="1"/>
      <c r="Q9" s="1"/>
      <c r="R9" s="1"/>
      <c r="S9" s="1"/>
      <c r="T9" s="1" t="s">
        <v>261</v>
      </c>
      <c r="U9" s="1"/>
      <c r="V9" s="1" t="s">
        <v>262</v>
      </c>
      <c r="W9" s="1" t="s">
        <v>263</v>
      </c>
      <c r="X9" s="1" t="s">
        <v>86</v>
      </c>
      <c r="Y9" s="1" t="s">
        <v>264</v>
      </c>
      <c r="Z9" s="1" t="s">
        <v>265</v>
      </c>
      <c r="AA9" s="1" t="s">
        <v>266</v>
      </c>
      <c r="AB9" s="1" t="s">
        <v>267</v>
      </c>
      <c r="AC9" s="1" t="s">
        <v>268</v>
      </c>
      <c r="AD9" s="1" t="s">
        <v>268</v>
      </c>
      <c r="AE9" s="1" t="s">
        <v>269</v>
      </c>
      <c r="AF9" s="1"/>
      <c r="AG9" s="1" t="n">
        <v>12</v>
      </c>
      <c r="AH9" s="1" t="n">
        <v>1</v>
      </c>
      <c r="AI9" s="1" t="n">
        <v>1</v>
      </c>
      <c r="AJ9" s="1" t="n">
        <v>0</v>
      </c>
      <c r="AK9" s="1" t="n">
        <v>0</v>
      </c>
      <c r="AL9" s="1" t="s">
        <v>270</v>
      </c>
      <c r="AM9" s="1" t="s">
        <v>271</v>
      </c>
      <c r="AN9" s="1" t="s">
        <v>272</v>
      </c>
      <c r="AO9" s="1" t="s">
        <v>273</v>
      </c>
      <c r="AP9" s="1" t="s">
        <v>274</v>
      </c>
      <c r="AQ9" s="1"/>
      <c r="AR9" s="1" t="s">
        <v>275</v>
      </c>
      <c r="AS9" s="1" t="s">
        <v>276</v>
      </c>
      <c r="AT9" s="1" t="s">
        <v>277</v>
      </c>
      <c r="AU9" s="1" t="n">
        <v>2024</v>
      </c>
      <c r="AV9" s="1" t="n">
        <v>65</v>
      </c>
      <c r="AW9" s="1" t="n">
        <v>1</v>
      </c>
      <c r="AX9" s="1"/>
      <c r="AY9" s="1"/>
      <c r="AZ9" s="1"/>
      <c r="BA9" s="1"/>
      <c r="BB9" s="1" t="n">
        <v>13</v>
      </c>
      <c r="BC9" s="1" t="n">
        <v>21</v>
      </c>
      <c r="BD9" s="1"/>
      <c r="BE9" s="1" t="s">
        <v>278</v>
      </c>
      <c r="BF9" s="1" t="str">
        <f aca="false">HYPERLINK("http://dx.doi.org/10.1007/s13366-022-00673-9","http://dx.doi.org/10.1007/s13366-022-00673-9")</f>
        <v>http://dx.doi.org/10.1007/s13366-022-00673-9</v>
      </c>
      <c r="BG9" s="1"/>
      <c r="BH9" s="1" t="s">
        <v>279</v>
      </c>
      <c r="BI9" s="1" t="n">
        <v>9</v>
      </c>
      <c r="BJ9" s="1" t="s">
        <v>280</v>
      </c>
      <c r="BK9" s="1" t="s">
        <v>253</v>
      </c>
      <c r="BL9" s="1" t="s">
        <v>280</v>
      </c>
      <c r="BM9" s="1" t="s">
        <v>281</v>
      </c>
      <c r="BN9" s="1"/>
      <c r="BO9" s="1" t="s">
        <v>282</v>
      </c>
      <c r="BP9" s="1"/>
      <c r="BQ9" s="1"/>
      <c r="BR9" s="1" t="s">
        <v>103</v>
      </c>
      <c r="BS9" s="1" t="s">
        <v>283</v>
      </c>
      <c r="BT9" s="1" t="str">
        <f aca="false">HYPERLINK("https%3A%2F%2Fwww.webofscience.com%2Fwos%2Fwoscc%2Ffull-record%2FWOS:000886883200001","View Full Record in Web of Science")</f>
        <v>View Full Record in Web of Science</v>
      </c>
    </row>
    <row r="10" customFormat="false" ht="12.75" hidden="false" customHeight="false" outlineLevel="0" collapsed="false">
      <c r="A10" s="1" t="s">
        <v>72</v>
      </c>
      <c r="B10" s="1" t="s">
        <v>284</v>
      </c>
      <c r="C10" s="1"/>
      <c r="D10" s="1" t="s">
        <v>285</v>
      </c>
      <c r="E10" s="1"/>
      <c r="F10" s="1" t="s">
        <v>286</v>
      </c>
      <c r="G10" s="1"/>
      <c r="H10" s="1"/>
      <c r="I10" s="1" t="s">
        <v>287</v>
      </c>
      <c r="J10" s="1" t="s">
        <v>288</v>
      </c>
      <c r="K10" s="1" t="s">
        <v>289</v>
      </c>
      <c r="L10" s="1"/>
      <c r="M10" s="1" t="s">
        <v>78</v>
      </c>
      <c r="N10" s="1" t="s">
        <v>79</v>
      </c>
      <c r="O10" s="1" t="s">
        <v>290</v>
      </c>
      <c r="P10" s="1" t="s">
        <v>291</v>
      </c>
      <c r="Q10" s="1" t="s">
        <v>292</v>
      </c>
      <c r="R10" s="1" t="s">
        <v>293</v>
      </c>
      <c r="S10" s="1"/>
      <c r="T10" s="1" t="s">
        <v>294</v>
      </c>
      <c r="U10" s="1" t="s">
        <v>295</v>
      </c>
      <c r="V10" s="1" t="s">
        <v>296</v>
      </c>
      <c r="W10" s="1" t="s">
        <v>297</v>
      </c>
      <c r="X10" s="1" t="s">
        <v>86</v>
      </c>
      <c r="Y10" s="1" t="s">
        <v>298</v>
      </c>
      <c r="Z10" s="1" t="s">
        <v>299</v>
      </c>
      <c r="AA10" s="1"/>
      <c r="AB10" s="1"/>
      <c r="AC10" s="1" t="s">
        <v>300</v>
      </c>
      <c r="AD10" s="1" t="s">
        <v>300</v>
      </c>
      <c r="AE10" s="1" t="s">
        <v>301</v>
      </c>
      <c r="AF10" s="1"/>
      <c r="AG10" s="1" t="n">
        <v>28</v>
      </c>
      <c r="AH10" s="1" t="n">
        <v>2</v>
      </c>
      <c r="AI10" s="1" t="n">
        <v>2</v>
      </c>
      <c r="AJ10" s="1" t="n">
        <v>0</v>
      </c>
      <c r="AK10" s="1" t="n">
        <v>0</v>
      </c>
      <c r="AL10" s="1" t="s">
        <v>302</v>
      </c>
      <c r="AM10" s="1" t="s">
        <v>303</v>
      </c>
      <c r="AN10" s="1" t="s">
        <v>304</v>
      </c>
      <c r="AO10" s="1" t="s">
        <v>305</v>
      </c>
      <c r="AP10" s="1" t="s">
        <v>306</v>
      </c>
      <c r="AQ10" s="1" t="s">
        <v>307</v>
      </c>
      <c r="AR10" s="1" t="s">
        <v>308</v>
      </c>
      <c r="AS10" s="1"/>
      <c r="AT10" s="1"/>
      <c r="AU10" s="1" t="n">
        <v>2022</v>
      </c>
      <c r="AV10" s="1" t="n">
        <v>662</v>
      </c>
      <c r="AW10" s="1"/>
      <c r="AX10" s="1"/>
      <c r="AY10" s="1"/>
      <c r="AZ10" s="1"/>
      <c r="BA10" s="1"/>
      <c r="BB10" s="1" t="n">
        <v>592</v>
      </c>
      <c r="BC10" s="1" t="n">
        <v>602</v>
      </c>
      <c r="BD10" s="1"/>
      <c r="BE10" s="1" t="s">
        <v>309</v>
      </c>
      <c r="BF10" s="1" t="str">
        <f aca="false">HYPERLINK("http://dx.doi.org/10.1007/978-3-031-14844-6_47","http://dx.doi.org/10.1007/978-3-031-14844-6_47")</f>
        <v>http://dx.doi.org/10.1007/978-3-031-14844-6_47</v>
      </c>
      <c r="BG10" s="1"/>
      <c r="BH10" s="1"/>
      <c r="BI10" s="1" t="n">
        <v>11</v>
      </c>
      <c r="BJ10" s="1" t="s">
        <v>310</v>
      </c>
      <c r="BK10" s="1" t="s">
        <v>100</v>
      </c>
      <c r="BL10" s="1" t="s">
        <v>311</v>
      </c>
      <c r="BM10" s="1" t="s">
        <v>312</v>
      </c>
      <c r="BN10" s="1"/>
      <c r="BO10" s="1"/>
      <c r="BP10" s="1"/>
      <c r="BQ10" s="1"/>
      <c r="BR10" s="1" t="s">
        <v>103</v>
      </c>
      <c r="BS10" s="1" t="s">
        <v>313</v>
      </c>
      <c r="BT10" s="1" t="str">
        <f aca="false">HYPERLINK("https%3A%2F%2Fwww.webofscience.com%2Fwos%2Fwoscc%2Ffull-record%2FWOS:001359443000047","View Full Record in Web of Science")</f>
        <v>View Full Record in Web of Science</v>
      </c>
    </row>
    <row r="11" customFormat="false" ht="12.75" hidden="false" customHeight="false" outlineLevel="0" collapsed="false">
      <c r="A11" s="1" t="s">
        <v>72</v>
      </c>
      <c r="B11" s="1" t="s">
        <v>314</v>
      </c>
      <c r="C11" s="1"/>
      <c r="D11" s="1"/>
      <c r="E11" s="1" t="s">
        <v>106</v>
      </c>
      <c r="F11" s="1" t="s">
        <v>315</v>
      </c>
      <c r="G11" s="1"/>
      <c r="H11" s="1"/>
      <c r="I11" s="1" t="s">
        <v>316</v>
      </c>
      <c r="J11" s="1" t="s">
        <v>317</v>
      </c>
      <c r="K11" s="1"/>
      <c r="L11" s="1"/>
      <c r="M11" s="1" t="s">
        <v>78</v>
      </c>
      <c r="N11" s="1" t="s">
        <v>79</v>
      </c>
      <c r="O11" s="1" t="s">
        <v>318</v>
      </c>
      <c r="P11" s="1" t="s">
        <v>319</v>
      </c>
      <c r="Q11" s="1" t="s">
        <v>320</v>
      </c>
      <c r="R11" s="1" t="s">
        <v>321</v>
      </c>
      <c r="S11" s="1"/>
      <c r="T11" s="1" t="s">
        <v>322</v>
      </c>
      <c r="U11" s="1"/>
      <c r="V11" s="1" t="s">
        <v>323</v>
      </c>
      <c r="W11" s="1" t="s">
        <v>324</v>
      </c>
      <c r="X11" s="1" t="s">
        <v>86</v>
      </c>
      <c r="Y11" s="1" t="s">
        <v>325</v>
      </c>
      <c r="Z11" s="1" t="s">
        <v>326</v>
      </c>
      <c r="AA11" s="1"/>
      <c r="AB11" s="1" t="s">
        <v>169</v>
      </c>
      <c r="AC11" s="1"/>
      <c r="AD11" s="1"/>
      <c r="AE11" s="1"/>
      <c r="AF11" s="1"/>
      <c r="AG11" s="1" t="n">
        <v>23</v>
      </c>
      <c r="AH11" s="1" t="n">
        <v>0</v>
      </c>
      <c r="AI11" s="1" t="n">
        <v>0</v>
      </c>
      <c r="AJ11" s="1" t="n">
        <v>1</v>
      </c>
      <c r="AK11" s="1" t="n">
        <v>2</v>
      </c>
      <c r="AL11" s="1" t="s">
        <v>172</v>
      </c>
      <c r="AM11" s="1" t="s">
        <v>173</v>
      </c>
      <c r="AN11" s="1" t="s">
        <v>174</v>
      </c>
      <c r="AO11" s="1"/>
      <c r="AP11" s="1"/>
      <c r="AQ11" s="1" t="s">
        <v>327</v>
      </c>
      <c r="AR11" s="1"/>
      <c r="AS11" s="1"/>
      <c r="AT11" s="1"/>
      <c r="AU11" s="1" t="n">
        <v>2022</v>
      </c>
      <c r="AV11" s="1"/>
      <c r="AW11" s="1"/>
      <c r="AX11" s="1"/>
      <c r="AY11" s="1"/>
      <c r="AZ11" s="1"/>
      <c r="BA11" s="1"/>
      <c r="BB11" s="1" t="n">
        <v>547</v>
      </c>
      <c r="BC11" s="1" t="n">
        <v>553</v>
      </c>
      <c r="BD11" s="1"/>
      <c r="BE11" s="1" t="s">
        <v>328</v>
      </c>
      <c r="BF11" s="1" t="str">
        <f aca="false">HYPERLINK("http://dx.doi.org/10.1109/APSEC57359.2022.00076","http://dx.doi.org/10.1109/APSEC57359.2022.00076")</f>
        <v>http://dx.doi.org/10.1109/APSEC57359.2022.00076</v>
      </c>
      <c r="BG11" s="1"/>
      <c r="BH11" s="1"/>
      <c r="BI11" s="1" t="n">
        <v>7</v>
      </c>
      <c r="BJ11" s="1" t="s">
        <v>252</v>
      </c>
      <c r="BK11" s="1" t="s">
        <v>100</v>
      </c>
      <c r="BL11" s="1" t="s">
        <v>101</v>
      </c>
      <c r="BM11" s="1" t="s">
        <v>329</v>
      </c>
      <c r="BN11" s="1"/>
      <c r="BO11" s="1" t="s">
        <v>179</v>
      </c>
      <c r="BP11" s="1"/>
      <c r="BQ11" s="1"/>
      <c r="BR11" s="1" t="s">
        <v>103</v>
      </c>
      <c r="BS11" s="1" t="s">
        <v>330</v>
      </c>
      <c r="BT11" s="1" t="str">
        <f aca="false">HYPERLINK("https%3A%2F%2Fwww.webofscience.com%2Fwos%2Fwoscc%2Ffull-record%2FWOS:000972671800064","View Full Record in Web of Science")</f>
        <v>View Full Record in Web of Science</v>
      </c>
    </row>
    <row r="12" customFormat="false" ht="12.75" hidden="false" customHeight="false" outlineLevel="0" collapsed="false">
      <c r="A12" s="1" t="s">
        <v>72</v>
      </c>
      <c r="B12" s="1" t="s">
        <v>331</v>
      </c>
      <c r="C12" s="1"/>
      <c r="D12" s="1"/>
      <c r="E12" s="1" t="s">
        <v>106</v>
      </c>
      <c r="F12" s="1" t="s">
        <v>332</v>
      </c>
      <c r="G12" s="1"/>
      <c r="H12" s="1"/>
      <c r="I12" s="1" t="s">
        <v>333</v>
      </c>
      <c r="J12" s="1" t="s">
        <v>334</v>
      </c>
      <c r="K12" s="1"/>
      <c r="L12" s="1"/>
      <c r="M12" s="1" t="s">
        <v>78</v>
      </c>
      <c r="N12" s="1" t="s">
        <v>79</v>
      </c>
      <c r="O12" s="1" t="s">
        <v>335</v>
      </c>
      <c r="P12" s="1" t="s">
        <v>336</v>
      </c>
      <c r="Q12" s="1" t="s">
        <v>337</v>
      </c>
      <c r="R12" s="1" t="s">
        <v>338</v>
      </c>
      <c r="S12" s="1"/>
      <c r="T12" s="1" t="s">
        <v>339</v>
      </c>
      <c r="U12" s="1"/>
      <c r="V12" s="1" t="s">
        <v>340</v>
      </c>
      <c r="W12" s="1" t="s">
        <v>341</v>
      </c>
      <c r="X12" s="1" t="s">
        <v>86</v>
      </c>
      <c r="Y12" s="1" t="s">
        <v>342</v>
      </c>
      <c r="Z12" s="1" t="s">
        <v>343</v>
      </c>
      <c r="AA12" s="1" t="s">
        <v>193</v>
      </c>
      <c r="AB12" s="1" t="s">
        <v>194</v>
      </c>
      <c r="AC12" s="1" t="s">
        <v>344</v>
      </c>
      <c r="AD12" s="1" t="s">
        <v>344</v>
      </c>
      <c r="AE12" s="1" t="s">
        <v>345</v>
      </c>
      <c r="AF12" s="1"/>
      <c r="AG12" s="1" t="n">
        <v>9</v>
      </c>
      <c r="AH12" s="1" t="n">
        <v>0</v>
      </c>
      <c r="AI12" s="1" t="n">
        <v>0</v>
      </c>
      <c r="AJ12" s="1" t="n">
        <v>0</v>
      </c>
      <c r="AK12" s="1" t="n">
        <v>1</v>
      </c>
      <c r="AL12" s="1" t="s">
        <v>106</v>
      </c>
      <c r="AM12" s="1" t="s">
        <v>95</v>
      </c>
      <c r="AN12" s="1" t="s">
        <v>122</v>
      </c>
      <c r="AO12" s="1"/>
      <c r="AP12" s="1"/>
      <c r="AQ12" s="1" t="s">
        <v>346</v>
      </c>
      <c r="AR12" s="1"/>
      <c r="AS12" s="1"/>
      <c r="AT12" s="1"/>
      <c r="AU12" s="1" t="n">
        <v>2021</v>
      </c>
      <c r="AV12" s="1"/>
      <c r="AW12" s="1"/>
      <c r="AX12" s="1"/>
      <c r="AY12" s="1"/>
      <c r="AZ12" s="1"/>
      <c r="BA12" s="1"/>
      <c r="BB12" s="1"/>
      <c r="BC12" s="1"/>
      <c r="BD12" s="1"/>
      <c r="BE12" s="1" t="s">
        <v>347</v>
      </c>
      <c r="BF12" s="1" t="str">
        <f aca="false">HYPERLINK("http://dx.doi.org/10.1109/IWMTS51331.2021.9486824","http://dx.doi.org/10.1109/IWMTS51331.2021.9486824")</f>
        <v>http://dx.doi.org/10.1109/IWMTS51331.2021.9486824</v>
      </c>
      <c r="BG12" s="1"/>
      <c r="BH12" s="1"/>
      <c r="BI12" s="1" t="n">
        <v>5</v>
      </c>
      <c r="BJ12" s="1" t="s">
        <v>348</v>
      </c>
      <c r="BK12" s="1" t="s">
        <v>100</v>
      </c>
      <c r="BL12" s="1" t="s">
        <v>349</v>
      </c>
      <c r="BM12" s="1" t="s">
        <v>350</v>
      </c>
      <c r="BN12" s="1"/>
      <c r="BO12" s="1" t="s">
        <v>227</v>
      </c>
      <c r="BP12" s="1"/>
      <c r="BQ12" s="1"/>
      <c r="BR12" s="1" t="s">
        <v>103</v>
      </c>
      <c r="BS12" s="1" t="s">
        <v>351</v>
      </c>
      <c r="BT12" s="1" t="str">
        <f aca="false">HYPERLINK("https%3A%2F%2Fwww.webofscience.com%2Fwos%2Fwoscc%2Ffull-record%2FWOS:000713452400014","View Full Record in Web of Science")</f>
        <v>View Full Record in Web of Science</v>
      </c>
    </row>
    <row r="13" customFormat="false" ht="12.75" hidden="false" customHeight="false" outlineLevel="0" collapsed="false">
      <c r="A13" s="1" t="s">
        <v>181</v>
      </c>
      <c r="B13" s="1" t="s">
        <v>352</v>
      </c>
      <c r="C13" s="1"/>
      <c r="D13" s="1"/>
      <c r="E13" s="1"/>
      <c r="F13" s="1" t="s">
        <v>353</v>
      </c>
      <c r="G13" s="1"/>
      <c r="H13" s="1"/>
      <c r="I13" s="1" t="s">
        <v>354</v>
      </c>
      <c r="J13" s="1" t="s">
        <v>355</v>
      </c>
      <c r="K13" s="1"/>
      <c r="L13" s="1"/>
      <c r="M13" s="1" t="s">
        <v>78</v>
      </c>
      <c r="N13" s="1" t="s">
        <v>186</v>
      </c>
      <c r="O13" s="1"/>
      <c r="P13" s="1"/>
      <c r="Q13" s="1"/>
      <c r="R13" s="1"/>
      <c r="S13" s="1"/>
      <c r="T13" s="1" t="s">
        <v>356</v>
      </c>
      <c r="U13" s="1" t="s">
        <v>357</v>
      </c>
      <c r="V13" s="1" t="s">
        <v>358</v>
      </c>
      <c r="W13" s="1" t="s">
        <v>359</v>
      </c>
      <c r="X13" s="1" t="s">
        <v>86</v>
      </c>
      <c r="Y13" s="1" t="s">
        <v>360</v>
      </c>
      <c r="Z13" s="1" t="s">
        <v>361</v>
      </c>
      <c r="AA13" s="1" t="s">
        <v>362</v>
      </c>
      <c r="AB13" s="1" t="s">
        <v>363</v>
      </c>
      <c r="AC13" s="1" t="s">
        <v>364</v>
      </c>
      <c r="AD13" s="1" t="s">
        <v>365</v>
      </c>
      <c r="AE13" s="1" t="s">
        <v>366</v>
      </c>
      <c r="AF13" s="1"/>
      <c r="AG13" s="1" t="n">
        <v>41</v>
      </c>
      <c r="AH13" s="1" t="n">
        <v>4</v>
      </c>
      <c r="AI13" s="1" t="n">
        <v>4</v>
      </c>
      <c r="AJ13" s="1" t="n">
        <v>0</v>
      </c>
      <c r="AK13" s="1" t="n">
        <v>4</v>
      </c>
      <c r="AL13" s="1" t="s">
        <v>367</v>
      </c>
      <c r="AM13" s="1" t="s">
        <v>368</v>
      </c>
      <c r="AN13" s="1" t="s">
        <v>369</v>
      </c>
      <c r="AO13" s="1"/>
      <c r="AP13" s="1" t="s">
        <v>370</v>
      </c>
      <c r="AQ13" s="1"/>
      <c r="AR13" s="1" t="s">
        <v>355</v>
      </c>
      <c r="AS13" s="1" t="s">
        <v>371</v>
      </c>
      <c r="AT13" s="1" t="s">
        <v>372</v>
      </c>
      <c r="AU13" s="1" t="n">
        <v>2020</v>
      </c>
      <c r="AV13" s="1" t="n">
        <v>13</v>
      </c>
      <c r="AW13" s="1" t="n">
        <v>12</v>
      </c>
      <c r="AX13" s="1"/>
      <c r="AY13" s="1"/>
      <c r="AZ13" s="1"/>
      <c r="BA13" s="1"/>
      <c r="BB13" s="1"/>
      <c r="BC13" s="1"/>
      <c r="BD13" s="1" t="n">
        <v>332</v>
      </c>
      <c r="BE13" s="1" t="s">
        <v>373</v>
      </c>
      <c r="BF13" s="1" t="str">
        <f aca="false">HYPERLINK("http://dx.doi.org/10.3390/a13120332","http://dx.doi.org/10.3390/a13120332")</f>
        <v>http://dx.doi.org/10.3390/a13120332</v>
      </c>
      <c r="BG13" s="1"/>
      <c r="BH13" s="1"/>
      <c r="BI13" s="1" t="n">
        <v>30</v>
      </c>
      <c r="BJ13" s="1" t="s">
        <v>374</v>
      </c>
      <c r="BK13" s="1" t="s">
        <v>253</v>
      </c>
      <c r="BL13" s="1" t="s">
        <v>101</v>
      </c>
      <c r="BM13" s="1" t="s">
        <v>375</v>
      </c>
      <c r="BN13" s="1"/>
      <c r="BO13" s="1" t="s">
        <v>376</v>
      </c>
      <c r="BP13" s="1"/>
      <c r="BQ13" s="1"/>
      <c r="BR13" s="1" t="s">
        <v>103</v>
      </c>
      <c r="BS13" s="1" t="s">
        <v>377</v>
      </c>
      <c r="BT13" s="1" t="str">
        <f aca="false">HYPERLINK("https%3A%2F%2Fwww.webofscience.com%2Fwos%2Fwoscc%2Ffull-record%2FWOS:000601873200001","View Full Record in Web of Science")</f>
        <v>View Full Record in Web of Science</v>
      </c>
    </row>
    <row r="14" customFormat="false" ht="12.75" hidden="false" customHeight="false" outlineLevel="0" collapsed="false">
      <c r="A14" s="1" t="s">
        <v>181</v>
      </c>
      <c r="B14" s="1" t="s">
        <v>378</v>
      </c>
      <c r="C14" s="1"/>
      <c r="D14" s="1"/>
      <c r="E14" s="1"/>
      <c r="F14" s="1" t="s">
        <v>379</v>
      </c>
      <c r="G14" s="1"/>
      <c r="H14" s="1"/>
      <c r="I14" s="1" t="s">
        <v>380</v>
      </c>
      <c r="J14" s="1" t="s">
        <v>381</v>
      </c>
      <c r="K14" s="1"/>
      <c r="L14" s="1"/>
      <c r="M14" s="1" t="s">
        <v>78</v>
      </c>
      <c r="N14" s="1" t="s">
        <v>186</v>
      </c>
      <c r="O14" s="1"/>
      <c r="P14" s="1"/>
      <c r="Q14" s="1"/>
      <c r="R14" s="1"/>
      <c r="S14" s="1"/>
      <c r="T14" s="1" t="s">
        <v>382</v>
      </c>
      <c r="U14" s="1" t="s">
        <v>383</v>
      </c>
      <c r="V14" s="1" t="s">
        <v>384</v>
      </c>
      <c r="W14" s="1" t="s">
        <v>385</v>
      </c>
      <c r="X14" s="1" t="s">
        <v>86</v>
      </c>
      <c r="Y14" s="1" t="s">
        <v>386</v>
      </c>
      <c r="Z14" s="1" t="s">
        <v>387</v>
      </c>
      <c r="AA14" s="1" t="s">
        <v>388</v>
      </c>
      <c r="AB14" s="1" t="s">
        <v>389</v>
      </c>
      <c r="AC14" s="1" t="s">
        <v>390</v>
      </c>
      <c r="AD14" s="1" t="s">
        <v>391</v>
      </c>
      <c r="AE14" s="1" t="s">
        <v>392</v>
      </c>
      <c r="AF14" s="1"/>
      <c r="AG14" s="1" t="n">
        <v>46</v>
      </c>
      <c r="AH14" s="1" t="n">
        <v>18</v>
      </c>
      <c r="AI14" s="1" t="n">
        <v>18</v>
      </c>
      <c r="AJ14" s="1" t="n">
        <v>3</v>
      </c>
      <c r="AK14" s="1" t="n">
        <v>29</v>
      </c>
      <c r="AL14" s="1" t="s">
        <v>367</v>
      </c>
      <c r="AM14" s="1" t="s">
        <v>368</v>
      </c>
      <c r="AN14" s="1" t="s">
        <v>369</v>
      </c>
      <c r="AO14" s="1"/>
      <c r="AP14" s="1" t="s">
        <v>393</v>
      </c>
      <c r="AQ14" s="1"/>
      <c r="AR14" s="1" t="s">
        <v>394</v>
      </c>
      <c r="AS14" s="1" t="s">
        <v>395</v>
      </c>
      <c r="AT14" s="1" t="s">
        <v>372</v>
      </c>
      <c r="AU14" s="1" t="n">
        <v>2020</v>
      </c>
      <c r="AV14" s="1" t="n">
        <v>12</v>
      </c>
      <c r="AW14" s="1" t="n">
        <v>24</v>
      </c>
      <c r="AX14" s="1"/>
      <c r="AY14" s="1"/>
      <c r="AZ14" s="1"/>
      <c r="BA14" s="1"/>
      <c r="BB14" s="1"/>
      <c r="BC14" s="1"/>
      <c r="BD14" s="1" t="n">
        <v>10531</v>
      </c>
      <c r="BE14" s="1" t="s">
        <v>396</v>
      </c>
      <c r="BF14" s="1" t="str">
        <f aca="false">HYPERLINK("http://dx.doi.org/10.3390/su122410531","http://dx.doi.org/10.3390/su122410531")</f>
        <v>http://dx.doi.org/10.3390/su122410531</v>
      </c>
      <c r="BG14" s="1"/>
      <c r="BH14" s="1"/>
      <c r="BI14" s="1" t="n">
        <v>20</v>
      </c>
      <c r="BJ14" s="1" t="s">
        <v>397</v>
      </c>
      <c r="BK14" s="1" t="s">
        <v>398</v>
      </c>
      <c r="BL14" s="1" t="s">
        <v>399</v>
      </c>
      <c r="BM14" s="1" t="s">
        <v>400</v>
      </c>
      <c r="BN14" s="1"/>
      <c r="BO14" s="1" t="s">
        <v>401</v>
      </c>
      <c r="BP14" s="1"/>
      <c r="BQ14" s="1"/>
      <c r="BR14" s="1" t="s">
        <v>103</v>
      </c>
      <c r="BS14" s="1" t="s">
        <v>402</v>
      </c>
      <c r="BT14" s="1" t="str">
        <f aca="false">HYPERLINK("https%3A%2F%2Fwww.webofscience.com%2Fwos%2Fwoscc%2Ffull-record%2FWOS:000603287000001","View Full Record in Web of Science")</f>
        <v>View Full Record in Web of Science</v>
      </c>
    </row>
    <row r="15" customFormat="false" ht="12.75" hidden="false" customHeight="false" outlineLevel="0" collapsed="false">
      <c r="A15" s="1" t="s">
        <v>181</v>
      </c>
      <c r="B15" s="1" t="s">
        <v>403</v>
      </c>
      <c r="C15" s="1"/>
      <c r="D15" s="1"/>
      <c r="E15" s="1"/>
      <c r="F15" s="1" t="s">
        <v>404</v>
      </c>
      <c r="G15" s="1"/>
      <c r="H15" s="1"/>
      <c r="I15" s="1" t="s">
        <v>405</v>
      </c>
      <c r="J15" s="1" t="s">
        <v>406</v>
      </c>
      <c r="K15" s="1"/>
      <c r="L15" s="1"/>
      <c r="M15" s="1" t="s">
        <v>78</v>
      </c>
      <c r="N15" s="1" t="s">
        <v>186</v>
      </c>
      <c r="O15" s="1"/>
      <c r="P15" s="1"/>
      <c r="Q15" s="1"/>
      <c r="R15" s="1"/>
      <c r="S15" s="1"/>
      <c r="T15" s="1" t="s">
        <v>407</v>
      </c>
      <c r="U15" s="1" t="s">
        <v>408</v>
      </c>
      <c r="V15" s="1" t="s">
        <v>409</v>
      </c>
      <c r="W15" s="1" t="s">
        <v>410</v>
      </c>
      <c r="X15" s="1" t="s">
        <v>86</v>
      </c>
      <c r="Y15" s="1" t="s">
        <v>411</v>
      </c>
      <c r="Z15" s="1" t="s">
        <v>412</v>
      </c>
      <c r="AA15" s="1" t="s">
        <v>413</v>
      </c>
      <c r="AB15" s="1" t="s">
        <v>414</v>
      </c>
      <c r="AC15" s="1" t="s">
        <v>415</v>
      </c>
      <c r="AD15" s="1" t="s">
        <v>416</v>
      </c>
      <c r="AE15" s="1" t="s">
        <v>417</v>
      </c>
      <c r="AF15" s="1"/>
      <c r="AG15" s="1" t="n">
        <v>45</v>
      </c>
      <c r="AH15" s="1" t="n">
        <v>18</v>
      </c>
      <c r="AI15" s="1" t="n">
        <v>19</v>
      </c>
      <c r="AJ15" s="1" t="n">
        <v>10</v>
      </c>
      <c r="AK15" s="1" t="n">
        <v>40</v>
      </c>
      <c r="AL15" s="1" t="s">
        <v>367</v>
      </c>
      <c r="AM15" s="1" t="s">
        <v>368</v>
      </c>
      <c r="AN15" s="1" t="s">
        <v>369</v>
      </c>
      <c r="AO15" s="1"/>
      <c r="AP15" s="1" t="s">
        <v>418</v>
      </c>
      <c r="AQ15" s="1"/>
      <c r="AR15" s="1" t="s">
        <v>419</v>
      </c>
      <c r="AS15" s="1" t="s">
        <v>420</v>
      </c>
      <c r="AT15" s="1" t="s">
        <v>421</v>
      </c>
      <c r="AU15" s="1" t="n">
        <v>2020</v>
      </c>
      <c r="AV15" s="1" t="n">
        <v>17</v>
      </c>
      <c r="AW15" s="1" t="n">
        <v>8</v>
      </c>
      <c r="AX15" s="1"/>
      <c r="AY15" s="1"/>
      <c r="AZ15" s="1"/>
      <c r="BA15" s="1"/>
      <c r="BB15" s="1"/>
      <c r="BC15" s="1"/>
      <c r="BD15" s="1" t="n">
        <v>2650</v>
      </c>
      <c r="BE15" s="1" t="s">
        <v>422</v>
      </c>
      <c r="BF15" s="1" t="str">
        <f aca="false">HYPERLINK("http://dx.doi.org/10.3390/ijerph17082650","http://dx.doi.org/10.3390/ijerph17082650")</f>
        <v>http://dx.doi.org/10.3390/ijerph17082650</v>
      </c>
      <c r="BG15" s="1"/>
      <c r="BH15" s="1"/>
      <c r="BI15" s="1" t="n">
        <v>12</v>
      </c>
      <c r="BJ15" s="1" t="s">
        <v>423</v>
      </c>
      <c r="BK15" s="1" t="s">
        <v>398</v>
      </c>
      <c r="BL15" s="1" t="s">
        <v>424</v>
      </c>
      <c r="BM15" s="1" t="s">
        <v>425</v>
      </c>
      <c r="BN15" s="1" t="n">
        <v>32294911</v>
      </c>
      <c r="BO15" s="1" t="s">
        <v>401</v>
      </c>
      <c r="BP15" s="1"/>
      <c r="BQ15" s="1"/>
      <c r="BR15" s="1" t="s">
        <v>103</v>
      </c>
      <c r="BS15" s="1" t="s">
        <v>426</v>
      </c>
      <c r="BT15" s="1" t="str">
        <f aca="false">HYPERLINK("https%3A%2F%2Fwww.webofscience.com%2Fwos%2Fwoscc%2Ffull-record%2FWOS:000535744100035","View Full Record in Web of Science")</f>
        <v>View Full Record in Web of Science</v>
      </c>
    </row>
    <row r="16" customFormat="false" ht="12.75" hidden="false" customHeight="false" outlineLevel="0" collapsed="false">
      <c r="A16" s="1" t="s">
        <v>72</v>
      </c>
      <c r="B16" s="1" t="s">
        <v>427</v>
      </c>
      <c r="C16" s="1"/>
      <c r="D16" s="1"/>
      <c r="E16" s="1" t="s">
        <v>428</v>
      </c>
      <c r="F16" s="1" t="s">
        <v>429</v>
      </c>
      <c r="G16" s="1"/>
      <c r="H16" s="1"/>
      <c r="I16" s="1" t="s">
        <v>430</v>
      </c>
      <c r="J16" s="1" t="s">
        <v>431</v>
      </c>
      <c r="K16" s="1"/>
      <c r="L16" s="1"/>
      <c r="M16" s="1" t="s">
        <v>78</v>
      </c>
      <c r="N16" s="1" t="s">
        <v>79</v>
      </c>
      <c r="O16" s="1" t="s">
        <v>432</v>
      </c>
      <c r="P16" s="1" t="s">
        <v>433</v>
      </c>
      <c r="Q16" s="1" t="s">
        <v>292</v>
      </c>
      <c r="R16" s="1" t="s">
        <v>163</v>
      </c>
      <c r="S16" s="1"/>
      <c r="T16" s="1" t="s">
        <v>434</v>
      </c>
      <c r="U16" s="1"/>
      <c r="V16" s="1" t="s">
        <v>435</v>
      </c>
      <c r="W16" s="1" t="s">
        <v>436</v>
      </c>
      <c r="X16" s="1" t="s">
        <v>86</v>
      </c>
      <c r="Y16" s="1" t="s">
        <v>437</v>
      </c>
      <c r="Z16" s="1" t="s">
        <v>438</v>
      </c>
      <c r="AA16" s="1"/>
      <c r="AB16" s="1" t="s">
        <v>439</v>
      </c>
      <c r="AC16" s="1"/>
      <c r="AD16" s="1"/>
      <c r="AE16" s="1"/>
      <c r="AF16" s="1"/>
      <c r="AG16" s="1" t="n">
        <v>16</v>
      </c>
      <c r="AH16" s="1" t="n">
        <v>0</v>
      </c>
      <c r="AI16" s="1" t="n">
        <v>0</v>
      </c>
      <c r="AJ16" s="1" t="n">
        <v>0</v>
      </c>
      <c r="AK16" s="1" t="n">
        <v>0</v>
      </c>
      <c r="AL16" s="1" t="s">
        <v>94</v>
      </c>
      <c r="AM16" s="1" t="s">
        <v>95</v>
      </c>
      <c r="AN16" s="1" t="s">
        <v>96</v>
      </c>
      <c r="AO16" s="1"/>
      <c r="AP16" s="1"/>
      <c r="AQ16" s="1" t="s">
        <v>440</v>
      </c>
      <c r="AR16" s="1"/>
      <c r="AS16" s="1"/>
      <c r="AT16" s="1"/>
      <c r="AU16" s="1" t="n">
        <v>2024</v>
      </c>
      <c r="AV16" s="1"/>
      <c r="AW16" s="1"/>
      <c r="AX16" s="1"/>
      <c r="AY16" s="1"/>
      <c r="AZ16" s="1"/>
      <c r="BA16" s="1"/>
      <c r="BB16" s="1" t="n">
        <v>264</v>
      </c>
      <c r="BC16" s="1" t="n">
        <v>266</v>
      </c>
      <c r="BD16" s="1"/>
      <c r="BE16" s="1" t="s">
        <v>441</v>
      </c>
      <c r="BF16" s="1" t="str">
        <f aca="false">HYPERLINK("http://dx.doi.org/10.1145/3644815.3644975","http://dx.doi.org/10.1145/3644815.3644975")</f>
        <v>http://dx.doi.org/10.1145/3644815.3644975</v>
      </c>
      <c r="BG16" s="1"/>
      <c r="BH16" s="1"/>
      <c r="BI16" s="1" t="n">
        <v>3</v>
      </c>
      <c r="BJ16" s="1" t="s">
        <v>442</v>
      </c>
      <c r="BK16" s="1" t="s">
        <v>100</v>
      </c>
      <c r="BL16" s="1" t="s">
        <v>101</v>
      </c>
      <c r="BM16" s="1" t="s">
        <v>443</v>
      </c>
      <c r="BN16" s="1"/>
      <c r="BO16" s="1" t="s">
        <v>444</v>
      </c>
      <c r="BP16" s="1"/>
      <c r="BQ16" s="1"/>
      <c r="BR16" s="1" t="s">
        <v>103</v>
      </c>
      <c r="BS16" s="1" t="s">
        <v>445</v>
      </c>
      <c r="BT16" s="1" t="str">
        <f aca="false">HYPERLINK("https%3A%2F%2Fwww.webofscience.com%2Fwos%2Fwoscc%2Ffull-record%2FWOS:001251227200037","View Full Record in Web of Science")</f>
        <v>View Full Record in Web of Science</v>
      </c>
    </row>
    <row r="17" customFormat="false" ht="12.75" hidden="false" customHeight="false" outlineLevel="0" collapsed="false">
      <c r="A17" s="1" t="s">
        <v>72</v>
      </c>
      <c r="B17" s="1" t="s">
        <v>446</v>
      </c>
      <c r="C17" s="1"/>
      <c r="D17" s="1" t="s">
        <v>285</v>
      </c>
      <c r="E17" s="1"/>
      <c r="F17" s="1" t="s">
        <v>447</v>
      </c>
      <c r="G17" s="1"/>
      <c r="H17" s="1"/>
      <c r="I17" s="1" t="s">
        <v>448</v>
      </c>
      <c r="J17" s="1" t="s">
        <v>288</v>
      </c>
      <c r="K17" s="1" t="s">
        <v>289</v>
      </c>
      <c r="L17" s="1"/>
      <c r="M17" s="1" t="s">
        <v>78</v>
      </c>
      <c r="N17" s="1" t="s">
        <v>79</v>
      </c>
      <c r="O17" s="1" t="s">
        <v>290</v>
      </c>
      <c r="P17" s="1" t="s">
        <v>291</v>
      </c>
      <c r="Q17" s="1" t="s">
        <v>292</v>
      </c>
      <c r="R17" s="1" t="s">
        <v>293</v>
      </c>
      <c r="S17" s="1"/>
      <c r="T17" s="1" t="s">
        <v>449</v>
      </c>
      <c r="U17" s="1" t="s">
        <v>450</v>
      </c>
      <c r="V17" s="1" t="s">
        <v>451</v>
      </c>
      <c r="W17" s="1" t="s">
        <v>452</v>
      </c>
      <c r="X17" s="1" t="s">
        <v>86</v>
      </c>
      <c r="Y17" s="1" t="s">
        <v>453</v>
      </c>
      <c r="Z17" s="1" t="s">
        <v>454</v>
      </c>
      <c r="AA17" s="1" t="s">
        <v>455</v>
      </c>
      <c r="AB17" s="1"/>
      <c r="AC17" s="1" t="s">
        <v>456</v>
      </c>
      <c r="AD17" s="1" t="s">
        <v>457</v>
      </c>
      <c r="AE17" s="1" t="s">
        <v>458</v>
      </c>
      <c r="AF17" s="1"/>
      <c r="AG17" s="1" t="n">
        <v>23</v>
      </c>
      <c r="AH17" s="1" t="n">
        <v>1</v>
      </c>
      <c r="AI17" s="1" t="n">
        <v>1</v>
      </c>
      <c r="AJ17" s="1" t="n">
        <v>0</v>
      </c>
      <c r="AK17" s="1" t="n">
        <v>0</v>
      </c>
      <c r="AL17" s="1" t="s">
        <v>302</v>
      </c>
      <c r="AM17" s="1" t="s">
        <v>303</v>
      </c>
      <c r="AN17" s="1" t="s">
        <v>304</v>
      </c>
      <c r="AO17" s="1" t="s">
        <v>305</v>
      </c>
      <c r="AP17" s="1" t="s">
        <v>306</v>
      </c>
      <c r="AQ17" s="1" t="s">
        <v>307</v>
      </c>
      <c r="AR17" s="1" t="s">
        <v>308</v>
      </c>
      <c r="AS17" s="1"/>
      <c r="AT17" s="1"/>
      <c r="AU17" s="1" t="n">
        <v>2022</v>
      </c>
      <c r="AV17" s="1" t="n">
        <v>662</v>
      </c>
      <c r="AW17" s="1"/>
      <c r="AX17" s="1"/>
      <c r="AY17" s="1"/>
      <c r="AZ17" s="1"/>
      <c r="BA17" s="1"/>
      <c r="BB17" s="1" t="n">
        <v>623</v>
      </c>
      <c r="BC17" s="1" t="n">
        <v>630</v>
      </c>
      <c r="BD17" s="1"/>
      <c r="BE17" s="1" t="s">
        <v>459</v>
      </c>
      <c r="BF17" s="1" t="str">
        <f aca="false">HYPERLINK("http://dx.doi.org/10.1007/978-3-031-14844-6_50","http://dx.doi.org/10.1007/978-3-031-14844-6_50")</f>
        <v>http://dx.doi.org/10.1007/978-3-031-14844-6_50</v>
      </c>
      <c r="BG17" s="1"/>
      <c r="BH17" s="1"/>
      <c r="BI17" s="1" t="n">
        <v>8</v>
      </c>
      <c r="BJ17" s="1" t="s">
        <v>310</v>
      </c>
      <c r="BK17" s="1" t="s">
        <v>100</v>
      </c>
      <c r="BL17" s="1" t="s">
        <v>311</v>
      </c>
      <c r="BM17" s="1" t="s">
        <v>312</v>
      </c>
      <c r="BN17" s="1"/>
      <c r="BO17" s="1"/>
      <c r="BP17" s="1"/>
      <c r="BQ17" s="1"/>
      <c r="BR17" s="1" t="s">
        <v>103</v>
      </c>
      <c r="BS17" s="1" t="s">
        <v>460</v>
      </c>
      <c r="BT17" s="1" t="str">
        <f aca="false">HYPERLINK("https%3A%2F%2Fwww.webofscience.com%2Fwos%2Fwoscc%2Ffull-record%2FWOS:001359443000050","View Full Record in Web of Science")</f>
        <v>View Full Record in Web of Science</v>
      </c>
    </row>
    <row r="18" customFormat="false" ht="12.75" hidden="false" customHeight="false" outlineLevel="0" collapsed="false">
      <c r="A18" s="1" t="s">
        <v>181</v>
      </c>
      <c r="B18" s="1" t="s">
        <v>461</v>
      </c>
      <c r="C18" s="1"/>
      <c r="D18" s="1"/>
      <c r="E18" s="1"/>
      <c r="F18" s="1" t="s">
        <v>462</v>
      </c>
      <c r="G18" s="1"/>
      <c r="H18" s="1"/>
      <c r="I18" s="1" t="s">
        <v>463</v>
      </c>
      <c r="J18" s="1" t="s">
        <v>381</v>
      </c>
      <c r="K18" s="1"/>
      <c r="L18" s="1"/>
      <c r="M18" s="1" t="s">
        <v>78</v>
      </c>
      <c r="N18" s="1" t="s">
        <v>186</v>
      </c>
      <c r="O18" s="1"/>
      <c r="P18" s="1"/>
      <c r="Q18" s="1"/>
      <c r="R18" s="1"/>
      <c r="S18" s="1"/>
      <c r="T18" s="1" t="s">
        <v>464</v>
      </c>
      <c r="U18" s="1" t="s">
        <v>465</v>
      </c>
      <c r="V18" s="1" t="s">
        <v>466</v>
      </c>
      <c r="W18" s="1" t="s">
        <v>467</v>
      </c>
      <c r="X18" s="1" t="s">
        <v>86</v>
      </c>
      <c r="Y18" s="1" t="s">
        <v>468</v>
      </c>
      <c r="Z18" s="1" t="s">
        <v>469</v>
      </c>
      <c r="AA18" s="1" t="s">
        <v>470</v>
      </c>
      <c r="AB18" s="1" t="s">
        <v>471</v>
      </c>
      <c r="AC18" s="1" t="s">
        <v>472</v>
      </c>
      <c r="AD18" s="1" t="s">
        <v>472</v>
      </c>
      <c r="AE18" s="1" t="s">
        <v>473</v>
      </c>
      <c r="AF18" s="1"/>
      <c r="AG18" s="1" t="n">
        <v>56</v>
      </c>
      <c r="AH18" s="1" t="n">
        <v>1</v>
      </c>
      <c r="AI18" s="1" t="n">
        <v>1</v>
      </c>
      <c r="AJ18" s="1" t="n">
        <v>2</v>
      </c>
      <c r="AK18" s="1" t="n">
        <v>19</v>
      </c>
      <c r="AL18" s="1" t="s">
        <v>367</v>
      </c>
      <c r="AM18" s="1" t="s">
        <v>368</v>
      </c>
      <c r="AN18" s="1" t="s">
        <v>369</v>
      </c>
      <c r="AO18" s="1"/>
      <c r="AP18" s="1" t="s">
        <v>393</v>
      </c>
      <c r="AQ18" s="1"/>
      <c r="AR18" s="1" t="s">
        <v>394</v>
      </c>
      <c r="AS18" s="1" t="s">
        <v>395</v>
      </c>
      <c r="AT18" s="1" t="s">
        <v>474</v>
      </c>
      <c r="AU18" s="1" t="n">
        <v>2020</v>
      </c>
      <c r="AV18" s="1" t="n">
        <v>12</v>
      </c>
      <c r="AW18" s="1" t="n">
        <v>17</v>
      </c>
      <c r="AX18" s="1"/>
      <c r="AY18" s="1"/>
      <c r="AZ18" s="1"/>
      <c r="BA18" s="1"/>
      <c r="BB18" s="1"/>
      <c r="BC18" s="1"/>
      <c r="BD18" s="1" t="n">
        <v>6928</v>
      </c>
      <c r="BE18" s="1" t="s">
        <v>475</v>
      </c>
      <c r="BF18" s="1" t="str">
        <f aca="false">HYPERLINK("http://dx.doi.org/10.3390/su12176928","http://dx.doi.org/10.3390/su12176928")</f>
        <v>http://dx.doi.org/10.3390/su12176928</v>
      </c>
      <c r="BG18" s="1"/>
      <c r="BH18" s="1"/>
      <c r="BI18" s="1" t="n">
        <v>26</v>
      </c>
      <c r="BJ18" s="1" t="s">
        <v>397</v>
      </c>
      <c r="BK18" s="1" t="s">
        <v>398</v>
      </c>
      <c r="BL18" s="1" t="s">
        <v>399</v>
      </c>
      <c r="BM18" s="1" t="s">
        <v>476</v>
      </c>
      <c r="BN18" s="1"/>
      <c r="BO18" s="1" t="s">
        <v>376</v>
      </c>
      <c r="BP18" s="1"/>
      <c r="BQ18" s="1"/>
      <c r="BR18" s="1" t="s">
        <v>103</v>
      </c>
      <c r="BS18" s="1" t="s">
        <v>477</v>
      </c>
      <c r="BT18" s="1" t="str">
        <f aca="false">HYPERLINK("https%3A%2F%2Fwww.webofscience.com%2Fwos%2Fwoscc%2Ffull-record%2FWOS:000571061800001","View Full Record in Web of Science")</f>
        <v>View Full Record in Web of Science</v>
      </c>
    </row>
    <row r="19" customFormat="false" ht="12.75" hidden="false" customHeight="false" outlineLevel="0" collapsed="false">
      <c r="A19" s="1" t="s">
        <v>181</v>
      </c>
      <c r="B19" s="1" t="s">
        <v>478</v>
      </c>
      <c r="C19" s="1"/>
      <c r="D19" s="1"/>
      <c r="E19" s="1"/>
      <c r="F19" s="1" t="s">
        <v>479</v>
      </c>
      <c r="G19" s="1"/>
      <c r="H19" s="1"/>
      <c r="I19" s="1" t="s">
        <v>480</v>
      </c>
      <c r="J19" s="1" t="s">
        <v>381</v>
      </c>
      <c r="K19" s="1"/>
      <c r="L19" s="1"/>
      <c r="M19" s="1" t="s">
        <v>78</v>
      </c>
      <c r="N19" s="1" t="s">
        <v>186</v>
      </c>
      <c r="O19" s="1"/>
      <c r="P19" s="1"/>
      <c r="Q19" s="1"/>
      <c r="R19" s="1"/>
      <c r="S19" s="1"/>
      <c r="T19" s="1" t="s">
        <v>481</v>
      </c>
      <c r="U19" s="1" t="s">
        <v>482</v>
      </c>
      <c r="V19" s="1" t="s">
        <v>483</v>
      </c>
      <c r="W19" s="1" t="s">
        <v>484</v>
      </c>
      <c r="X19" s="1" t="s">
        <v>86</v>
      </c>
      <c r="Y19" s="1" t="s">
        <v>485</v>
      </c>
      <c r="Z19" s="1" t="s">
        <v>486</v>
      </c>
      <c r="AA19" s="1"/>
      <c r="AB19" s="1" t="s">
        <v>487</v>
      </c>
      <c r="AC19" s="1" t="s">
        <v>488</v>
      </c>
      <c r="AD19" s="1" t="s">
        <v>488</v>
      </c>
      <c r="AE19" s="1" t="s">
        <v>489</v>
      </c>
      <c r="AF19" s="1"/>
      <c r="AG19" s="1" t="n">
        <v>23</v>
      </c>
      <c r="AH19" s="1" t="n">
        <v>3</v>
      </c>
      <c r="AI19" s="1" t="n">
        <v>3</v>
      </c>
      <c r="AJ19" s="1" t="n">
        <v>0</v>
      </c>
      <c r="AK19" s="1" t="n">
        <v>5</v>
      </c>
      <c r="AL19" s="1" t="s">
        <v>367</v>
      </c>
      <c r="AM19" s="1" t="s">
        <v>368</v>
      </c>
      <c r="AN19" s="1" t="s">
        <v>369</v>
      </c>
      <c r="AO19" s="1"/>
      <c r="AP19" s="1" t="s">
        <v>393</v>
      </c>
      <c r="AQ19" s="1"/>
      <c r="AR19" s="1" t="s">
        <v>394</v>
      </c>
      <c r="AS19" s="1" t="s">
        <v>395</v>
      </c>
      <c r="AT19" s="1" t="s">
        <v>474</v>
      </c>
      <c r="AU19" s="1" t="n">
        <v>2020</v>
      </c>
      <c r="AV19" s="1" t="n">
        <v>12</v>
      </c>
      <c r="AW19" s="1" t="n">
        <v>17</v>
      </c>
      <c r="AX19" s="1"/>
      <c r="AY19" s="1"/>
      <c r="AZ19" s="1"/>
      <c r="BA19" s="1"/>
      <c r="BB19" s="1"/>
      <c r="BC19" s="1"/>
      <c r="BD19" s="1" t="n">
        <v>7046</v>
      </c>
      <c r="BE19" s="1" t="s">
        <v>490</v>
      </c>
      <c r="BF19" s="1" t="str">
        <f aca="false">HYPERLINK("http://dx.doi.org/10.3390/su12177046","http://dx.doi.org/10.3390/su12177046")</f>
        <v>http://dx.doi.org/10.3390/su12177046</v>
      </c>
      <c r="BG19" s="1"/>
      <c r="BH19" s="1"/>
      <c r="BI19" s="1" t="n">
        <v>21</v>
      </c>
      <c r="BJ19" s="1" t="s">
        <v>397</v>
      </c>
      <c r="BK19" s="1" t="s">
        <v>398</v>
      </c>
      <c r="BL19" s="1" t="s">
        <v>399</v>
      </c>
      <c r="BM19" s="1" t="s">
        <v>491</v>
      </c>
      <c r="BN19" s="1"/>
      <c r="BO19" s="1" t="s">
        <v>401</v>
      </c>
      <c r="BP19" s="1"/>
      <c r="BQ19" s="1"/>
      <c r="BR19" s="1" t="s">
        <v>103</v>
      </c>
      <c r="BS19" s="1" t="s">
        <v>492</v>
      </c>
      <c r="BT19" s="1" t="str">
        <f aca="false">HYPERLINK("https%3A%2F%2Fwww.webofscience.com%2Fwos%2Fwoscc%2Ffull-record%2FWOS:000571103700001","View Full Record in Web of Science")</f>
        <v>View Full Record in Web of Science</v>
      </c>
    </row>
    <row r="20" customFormat="false" ht="12.75" hidden="false" customHeight="false" outlineLevel="0" collapsed="false">
      <c r="A20" s="1" t="s">
        <v>72</v>
      </c>
      <c r="B20" s="1" t="s">
        <v>493</v>
      </c>
      <c r="C20" s="1"/>
      <c r="D20" s="1" t="s">
        <v>494</v>
      </c>
      <c r="E20" s="1"/>
      <c r="F20" s="1" t="s">
        <v>495</v>
      </c>
      <c r="G20" s="1"/>
      <c r="H20" s="1"/>
      <c r="I20" s="1" t="s">
        <v>496</v>
      </c>
      <c r="J20" s="1" t="s">
        <v>497</v>
      </c>
      <c r="K20" s="1" t="s">
        <v>498</v>
      </c>
      <c r="L20" s="1"/>
      <c r="M20" s="1" t="s">
        <v>78</v>
      </c>
      <c r="N20" s="1" t="s">
        <v>79</v>
      </c>
      <c r="O20" s="1" t="s">
        <v>499</v>
      </c>
      <c r="P20" s="1" t="s">
        <v>500</v>
      </c>
      <c r="Q20" s="1" t="s">
        <v>501</v>
      </c>
      <c r="R20" s="1"/>
      <c r="S20" s="1"/>
      <c r="T20" s="1" t="s">
        <v>502</v>
      </c>
      <c r="U20" s="1"/>
      <c r="V20" s="1" t="s">
        <v>503</v>
      </c>
      <c r="W20" s="1" t="s">
        <v>504</v>
      </c>
      <c r="X20" s="1" t="s">
        <v>86</v>
      </c>
      <c r="Y20" s="1" t="s">
        <v>505</v>
      </c>
      <c r="Z20" s="1" t="s">
        <v>506</v>
      </c>
      <c r="AA20" s="1" t="s">
        <v>507</v>
      </c>
      <c r="AB20" s="1" t="s">
        <v>508</v>
      </c>
      <c r="AC20" s="1" t="s">
        <v>509</v>
      </c>
      <c r="AD20" s="1" t="s">
        <v>510</v>
      </c>
      <c r="AE20" s="1" t="s">
        <v>511</v>
      </c>
      <c r="AF20" s="1"/>
      <c r="AG20" s="1" t="n">
        <v>20</v>
      </c>
      <c r="AH20" s="1" t="n">
        <v>0</v>
      </c>
      <c r="AI20" s="1" t="n">
        <v>0</v>
      </c>
      <c r="AJ20" s="1" t="n">
        <v>0</v>
      </c>
      <c r="AK20" s="1" t="n">
        <v>0</v>
      </c>
      <c r="AL20" s="1" t="s">
        <v>302</v>
      </c>
      <c r="AM20" s="1" t="s">
        <v>303</v>
      </c>
      <c r="AN20" s="1" t="s">
        <v>304</v>
      </c>
      <c r="AO20" s="1" t="s">
        <v>512</v>
      </c>
      <c r="AP20" s="1" t="s">
        <v>513</v>
      </c>
      <c r="AQ20" s="1" t="s">
        <v>514</v>
      </c>
      <c r="AR20" s="1" t="s">
        <v>515</v>
      </c>
      <c r="AS20" s="1"/>
      <c r="AT20" s="1"/>
      <c r="AU20" s="1" t="n">
        <v>2023</v>
      </c>
      <c r="AV20" s="1" t="n">
        <v>472</v>
      </c>
      <c r="AW20" s="1"/>
      <c r="AX20" s="1"/>
      <c r="AY20" s="1"/>
      <c r="AZ20" s="1"/>
      <c r="BA20" s="1"/>
      <c r="BB20" s="1" t="n">
        <v>17</v>
      </c>
      <c r="BC20" s="1" t="n">
        <v>37</v>
      </c>
      <c r="BD20" s="1"/>
      <c r="BE20" s="1" t="s">
        <v>516</v>
      </c>
      <c r="BF20" s="1" t="str">
        <f aca="false">HYPERLINK("http://dx.doi.org/10.1007/978-3-031-31488-9_2","http://dx.doi.org/10.1007/978-3-031-31488-9_2")</f>
        <v>http://dx.doi.org/10.1007/978-3-031-31488-9_2</v>
      </c>
      <c r="BG20" s="1"/>
      <c r="BH20" s="1"/>
      <c r="BI20" s="1" t="n">
        <v>21</v>
      </c>
      <c r="BJ20" s="1" t="s">
        <v>517</v>
      </c>
      <c r="BK20" s="1" t="s">
        <v>100</v>
      </c>
      <c r="BL20" s="1" t="s">
        <v>101</v>
      </c>
      <c r="BM20" s="1" t="s">
        <v>518</v>
      </c>
      <c r="BN20" s="1"/>
      <c r="BO20" s="1"/>
      <c r="BP20" s="1"/>
      <c r="BQ20" s="1"/>
      <c r="BR20" s="1" t="s">
        <v>103</v>
      </c>
      <c r="BS20" s="1" t="s">
        <v>519</v>
      </c>
      <c r="BT20" s="1" t="str">
        <f aca="false">HYPERLINK("https%3A%2F%2Fwww.webofscience.com%2Fwos%2Fwoscc%2Ffull-record%2FWOS:001269092500002","View Full Record in Web of Science")</f>
        <v>View Full Record in Web of Science</v>
      </c>
    </row>
    <row r="21" customFormat="false" ht="12.75" hidden="false" customHeight="false" outlineLevel="0" collapsed="false">
      <c r="A21" s="1" t="s">
        <v>181</v>
      </c>
      <c r="B21" s="1" t="s">
        <v>520</v>
      </c>
      <c r="C21" s="1"/>
      <c r="D21" s="1"/>
      <c r="E21" s="1"/>
      <c r="F21" s="1" t="s">
        <v>521</v>
      </c>
      <c r="G21" s="1"/>
      <c r="H21" s="1"/>
      <c r="I21" s="1" t="s">
        <v>522</v>
      </c>
      <c r="J21" s="1" t="s">
        <v>523</v>
      </c>
      <c r="K21" s="1"/>
      <c r="L21" s="1"/>
      <c r="M21" s="1" t="s">
        <v>78</v>
      </c>
      <c r="N21" s="1" t="s">
        <v>186</v>
      </c>
      <c r="O21" s="1"/>
      <c r="P21" s="1"/>
      <c r="Q21" s="1"/>
      <c r="R21" s="1"/>
      <c r="S21" s="1"/>
      <c r="T21" s="1" t="s">
        <v>524</v>
      </c>
      <c r="U21" s="1"/>
      <c r="V21" s="1" t="s">
        <v>525</v>
      </c>
      <c r="W21" s="1" t="s">
        <v>526</v>
      </c>
      <c r="X21" s="1" t="s">
        <v>86</v>
      </c>
      <c r="Y21" s="1" t="s">
        <v>527</v>
      </c>
      <c r="Z21" s="1" t="s">
        <v>528</v>
      </c>
      <c r="AA21" s="1" t="s">
        <v>529</v>
      </c>
      <c r="AB21" s="1" t="s">
        <v>530</v>
      </c>
      <c r="AC21" s="1" t="s">
        <v>531</v>
      </c>
      <c r="AD21" s="1" t="s">
        <v>532</v>
      </c>
      <c r="AE21" s="1" t="s">
        <v>533</v>
      </c>
      <c r="AF21" s="1"/>
      <c r="AG21" s="1" t="n">
        <v>25</v>
      </c>
      <c r="AH21" s="1" t="n">
        <v>0</v>
      </c>
      <c r="AI21" s="1" t="n">
        <v>0</v>
      </c>
      <c r="AJ21" s="1" t="n">
        <v>0</v>
      </c>
      <c r="AK21" s="1" t="n">
        <v>1</v>
      </c>
      <c r="AL21" s="1" t="s">
        <v>367</v>
      </c>
      <c r="AM21" s="1" t="s">
        <v>368</v>
      </c>
      <c r="AN21" s="1" t="s">
        <v>369</v>
      </c>
      <c r="AO21" s="1"/>
      <c r="AP21" s="1" t="s">
        <v>534</v>
      </c>
      <c r="AQ21" s="1"/>
      <c r="AR21" s="1" t="s">
        <v>535</v>
      </c>
      <c r="AS21" s="1" t="s">
        <v>536</v>
      </c>
      <c r="AT21" s="1" t="s">
        <v>537</v>
      </c>
      <c r="AU21" s="1" t="n">
        <v>2022</v>
      </c>
      <c r="AV21" s="1" t="n">
        <v>12</v>
      </c>
      <c r="AW21" s="1" t="n">
        <v>3</v>
      </c>
      <c r="AX21" s="1"/>
      <c r="AY21" s="1"/>
      <c r="AZ21" s="1"/>
      <c r="BA21" s="1"/>
      <c r="BB21" s="1"/>
      <c r="BC21" s="1"/>
      <c r="BD21" s="1" t="n">
        <v>1733</v>
      </c>
      <c r="BE21" s="1" t="s">
        <v>538</v>
      </c>
      <c r="BF21" s="1" t="str">
        <f aca="false">HYPERLINK("http://dx.doi.org/10.3390/app12031733","http://dx.doi.org/10.3390/app12031733")</f>
        <v>http://dx.doi.org/10.3390/app12031733</v>
      </c>
      <c r="BG21" s="1"/>
      <c r="BH21" s="1"/>
      <c r="BI21" s="1" t="n">
        <v>22</v>
      </c>
      <c r="BJ21" s="1" t="s">
        <v>539</v>
      </c>
      <c r="BK21" s="1" t="s">
        <v>204</v>
      </c>
      <c r="BL21" s="1" t="s">
        <v>540</v>
      </c>
      <c r="BM21" s="1" t="s">
        <v>541</v>
      </c>
      <c r="BN21" s="1"/>
      <c r="BO21" s="1" t="s">
        <v>542</v>
      </c>
      <c r="BP21" s="1"/>
      <c r="BQ21" s="1"/>
      <c r="BR21" s="1" t="s">
        <v>103</v>
      </c>
      <c r="BS21" s="1" t="s">
        <v>543</v>
      </c>
      <c r="BT21" s="1" t="str">
        <f aca="false">HYPERLINK("https%3A%2F%2Fwww.webofscience.com%2Fwos%2Fwoscc%2Ffull-record%2FWOS:000757411400001","View Full Record in Web of Science")</f>
        <v>View Full Record in Web of Science</v>
      </c>
    </row>
    <row r="22" customFormat="false" ht="12.75" hidden="false" customHeight="false" outlineLevel="0" collapsed="false">
      <c r="A22" s="1" t="s">
        <v>72</v>
      </c>
      <c r="B22" s="1" t="s">
        <v>544</v>
      </c>
      <c r="C22" s="1"/>
      <c r="D22" s="1" t="s">
        <v>545</v>
      </c>
      <c r="E22" s="1"/>
      <c r="F22" s="1" t="s">
        <v>546</v>
      </c>
      <c r="G22" s="1"/>
      <c r="H22" s="1"/>
      <c r="I22" s="1" t="s">
        <v>547</v>
      </c>
      <c r="J22" s="1" t="s">
        <v>548</v>
      </c>
      <c r="K22" s="1"/>
      <c r="L22" s="1"/>
      <c r="M22" s="1" t="s">
        <v>78</v>
      </c>
      <c r="N22" s="1" t="s">
        <v>79</v>
      </c>
      <c r="O22" s="1" t="s">
        <v>549</v>
      </c>
      <c r="P22" s="1" t="s">
        <v>550</v>
      </c>
      <c r="Q22" s="1" t="s">
        <v>320</v>
      </c>
      <c r="R22" s="1" t="s">
        <v>551</v>
      </c>
      <c r="S22" s="1"/>
      <c r="T22" s="1" t="s">
        <v>552</v>
      </c>
      <c r="U22" s="1"/>
      <c r="V22" s="1" t="s">
        <v>553</v>
      </c>
      <c r="W22" s="1" t="s">
        <v>554</v>
      </c>
      <c r="X22" s="1" t="s">
        <v>86</v>
      </c>
      <c r="Y22" s="1" t="s">
        <v>555</v>
      </c>
      <c r="Z22" s="1" t="s">
        <v>556</v>
      </c>
      <c r="AA22" s="1" t="s">
        <v>557</v>
      </c>
      <c r="AB22" s="1"/>
      <c r="AC22" s="1" t="s">
        <v>531</v>
      </c>
      <c r="AD22" s="1" t="s">
        <v>532</v>
      </c>
      <c r="AE22" s="1" t="s">
        <v>558</v>
      </c>
      <c r="AF22" s="1"/>
      <c r="AG22" s="1" t="n">
        <v>23</v>
      </c>
      <c r="AH22" s="1" t="n">
        <v>1</v>
      </c>
      <c r="AI22" s="1" t="n">
        <v>1</v>
      </c>
      <c r="AJ22" s="1" t="n">
        <v>0</v>
      </c>
      <c r="AK22" s="1" t="n">
        <v>0</v>
      </c>
      <c r="AL22" s="1" t="s">
        <v>106</v>
      </c>
      <c r="AM22" s="1" t="s">
        <v>95</v>
      </c>
      <c r="AN22" s="1" t="s">
        <v>122</v>
      </c>
      <c r="AO22" s="1"/>
      <c r="AP22" s="1"/>
      <c r="AQ22" s="1" t="s">
        <v>559</v>
      </c>
      <c r="AR22" s="1"/>
      <c r="AS22" s="1"/>
      <c r="AT22" s="1"/>
      <c r="AU22" s="1" t="n">
        <v>2021</v>
      </c>
      <c r="AV22" s="1"/>
      <c r="AW22" s="1"/>
      <c r="AX22" s="1"/>
      <c r="AY22" s="1"/>
      <c r="AZ22" s="1"/>
      <c r="BA22" s="1"/>
      <c r="BB22" s="1"/>
      <c r="BC22" s="1"/>
      <c r="BD22" s="1"/>
      <c r="BE22" s="1" t="s">
        <v>560</v>
      </c>
      <c r="BF22" s="1" t="str">
        <f aca="false">HYPERLINK("http://dx.doi.org/10.1109/ICSPCS53099.2021.9660331","http://dx.doi.org/10.1109/ICSPCS53099.2021.9660331")</f>
        <v>http://dx.doi.org/10.1109/ICSPCS53099.2021.9660331</v>
      </c>
      <c r="BG22" s="1"/>
      <c r="BH22" s="1"/>
      <c r="BI22" s="1" t="n">
        <v>10</v>
      </c>
      <c r="BJ22" s="1" t="s">
        <v>561</v>
      </c>
      <c r="BK22" s="1" t="s">
        <v>100</v>
      </c>
      <c r="BL22" s="1" t="s">
        <v>311</v>
      </c>
      <c r="BM22" s="1" t="s">
        <v>562</v>
      </c>
      <c r="BN22" s="1"/>
      <c r="BO22" s="1" t="s">
        <v>179</v>
      </c>
      <c r="BP22" s="1"/>
      <c r="BQ22" s="1"/>
      <c r="BR22" s="1" t="s">
        <v>103</v>
      </c>
      <c r="BS22" s="1" t="s">
        <v>563</v>
      </c>
      <c r="BT22" s="1" t="str">
        <f aca="false">HYPERLINK("https%3A%2F%2Fwww.webofscience.com%2Fwos%2Fwoscc%2Ffull-record%2FWOS:000802223300039","View Full Record in Web of Science")</f>
        <v>View Full Record in Web of Science</v>
      </c>
    </row>
    <row r="23" customFormat="false" ht="12.75" hidden="false" customHeight="false" outlineLevel="0" collapsed="false">
      <c r="A23" s="1" t="s">
        <v>72</v>
      </c>
      <c r="B23" s="1" t="s">
        <v>564</v>
      </c>
      <c r="C23" s="1"/>
      <c r="D23" s="1"/>
      <c r="E23" s="1" t="s">
        <v>106</v>
      </c>
      <c r="F23" s="1" t="s">
        <v>565</v>
      </c>
      <c r="G23" s="1"/>
      <c r="H23" s="1"/>
      <c r="I23" s="1" t="s">
        <v>566</v>
      </c>
      <c r="J23" s="1" t="s">
        <v>567</v>
      </c>
      <c r="K23" s="1" t="s">
        <v>568</v>
      </c>
      <c r="L23" s="1"/>
      <c r="M23" s="1" t="s">
        <v>78</v>
      </c>
      <c r="N23" s="1" t="s">
        <v>79</v>
      </c>
      <c r="O23" s="1" t="s">
        <v>569</v>
      </c>
      <c r="P23" s="1" t="s">
        <v>570</v>
      </c>
      <c r="Q23" s="1" t="s">
        <v>571</v>
      </c>
      <c r="R23" s="1" t="s">
        <v>572</v>
      </c>
      <c r="S23" s="1"/>
      <c r="T23" s="1" t="s">
        <v>573</v>
      </c>
      <c r="U23" s="1"/>
      <c r="V23" s="1" t="s">
        <v>574</v>
      </c>
      <c r="W23" s="1" t="s">
        <v>575</v>
      </c>
      <c r="X23" s="1" t="s">
        <v>86</v>
      </c>
      <c r="Y23" s="1" t="s">
        <v>576</v>
      </c>
      <c r="Z23" s="1" t="s">
        <v>577</v>
      </c>
      <c r="AA23" s="1" t="s">
        <v>578</v>
      </c>
      <c r="AB23" s="1"/>
      <c r="AC23" s="1"/>
      <c r="AD23" s="1"/>
      <c r="AE23" s="1"/>
      <c r="AF23" s="1"/>
      <c r="AG23" s="1" t="n">
        <v>14</v>
      </c>
      <c r="AH23" s="1" t="n">
        <v>0</v>
      </c>
      <c r="AI23" s="1" t="n">
        <v>0</v>
      </c>
      <c r="AJ23" s="1" t="n">
        <v>0</v>
      </c>
      <c r="AK23" s="1" t="n">
        <v>2</v>
      </c>
      <c r="AL23" s="1" t="s">
        <v>106</v>
      </c>
      <c r="AM23" s="1" t="s">
        <v>95</v>
      </c>
      <c r="AN23" s="1" t="s">
        <v>122</v>
      </c>
      <c r="AO23" s="1"/>
      <c r="AP23" s="1"/>
      <c r="AQ23" s="1" t="s">
        <v>579</v>
      </c>
      <c r="AR23" s="1" t="s">
        <v>580</v>
      </c>
      <c r="AS23" s="1"/>
      <c r="AT23" s="1"/>
      <c r="AU23" s="1" t="n">
        <v>2021</v>
      </c>
      <c r="AV23" s="1"/>
      <c r="AW23" s="1"/>
      <c r="AX23" s="1"/>
      <c r="AY23" s="1"/>
      <c r="AZ23" s="1"/>
      <c r="BA23" s="1"/>
      <c r="BB23" s="1" t="n">
        <v>74</v>
      </c>
      <c r="BC23" s="1" t="n">
        <v>77</v>
      </c>
      <c r="BD23" s="1"/>
      <c r="BE23" s="1"/>
      <c r="BF23" s="1"/>
      <c r="BG23" s="1"/>
      <c r="BH23" s="1"/>
      <c r="BI23" s="1" t="n">
        <v>4</v>
      </c>
      <c r="BJ23" s="1" t="s">
        <v>581</v>
      </c>
      <c r="BK23" s="1" t="s">
        <v>100</v>
      </c>
      <c r="BL23" s="1" t="s">
        <v>582</v>
      </c>
      <c r="BM23" s="1" t="s">
        <v>583</v>
      </c>
      <c r="BN23" s="1"/>
      <c r="BO23" s="1"/>
      <c r="BP23" s="1"/>
      <c r="BQ23" s="1"/>
      <c r="BR23" s="1" t="s">
        <v>103</v>
      </c>
      <c r="BS23" s="1" t="s">
        <v>584</v>
      </c>
      <c r="BT23" s="1" t="str">
        <f aca="false">HYPERLINK("https%3A%2F%2Fwww.webofscience.com%2Fwos%2Fwoscc%2Ffull-record%2FWOS:000838709300018","View Full Record in Web of Science")</f>
        <v>View Full Record in Web of Science</v>
      </c>
    </row>
    <row r="24" customFormat="false" ht="12.75" hidden="false" customHeight="false" outlineLevel="0" collapsed="false">
      <c r="A24" s="1" t="s">
        <v>181</v>
      </c>
      <c r="B24" s="1" t="s">
        <v>585</v>
      </c>
      <c r="C24" s="1"/>
      <c r="D24" s="1"/>
      <c r="E24" s="1"/>
      <c r="F24" s="1" t="s">
        <v>586</v>
      </c>
      <c r="G24" s="1"/>
      <c r="H24" s="1"/>
      <c r="I24" s="1" t="s">
        <v>587</v>
      </c>
      <c r="J24" s="1" t="s">
        <v>588</v>
      </c>
      <c r="K24" s="1"/>
      <c r="L24" s="1"/>
      <c r="M24" s="1" t="s">
        <v>78</v>
      </c>
      <c r="N24" s="1" t="s">
        <v>186</v>
      </c>
      <c r="O24" s="1"/>
      <c r="P24" s="1"/>
      <c r="Q24" s="1"/>
      <c r="R24" s="1"/>
      <c r="S24" s="1"/>
      <c r="T24" s="1" t="s">
        <v>589</v>
      </c>
      <c r="U24" s="1" t="s">
        <v>590</v>
      </c>
      <c r="V24" s="1" t="s">
        <v>591</v>
      </c>
      <c r="W24" s="1" t="s">
        <v>592</v>
      </c>
      <c r="X24" s="1" t="s">
        <v>86</v>
      </c>
      <c r="Y24" s="1" t="s">
        <v>593</v>
      </c>
      <c r="Z24" s="1" t="s">
        <v>594</v>
      </c>
      <c r="AA24" s="1" t="s">
        <v>595</v>
      </c>
      <c r="AB24" s="1" t="s">
        <v>596</v>
      </c>
      <c r="AC24" s="1" t="s">
        <v>597</v>
      </c>
      <c r="AD24" s="1" t="s">
        <v>598</v>
      </c>
      <c r="AE24" s="1" t="s">
        <v>599</v>
      </c>
      <c r="AF24" s="1"/>
      <c r="AG24" s="1" t="n">
        <v>76</v>
      </c>
      <c r="AH24" s="1" t="n">
        <v>4</v>
      </c>
      <c r="AI24" s="1" t="n">
        <v>4</v>
      </c>
      <c r="AJ24" s="1" t="n">
        <v>0</v>
      </c>
      <c r="AK24" s="1" t="n">
        <v>13</v>
      </c>
      <c r="AL24" s="1" t="s">
        <v>600</v>
      </c>
      <c r="AM24" s="1" t="s">
        <v>601</v>
      </c>
      <c r="AN24" s="1" t="s">
        <v>602</v>
      </c>
      <c r="AO24" s="1" t="s">
        <v>603</v>
      </c>
      <c r="AP24" s="1" t="s">
        <v>604</v>
      </c>
      <c r="AQ24" s="1"/>
      <c r="AR24" s="1" t="s">
        <v>605</v>
      </c>
      <c r="AS24" s="1" t="s">
        <v>606</v>
      </c>
      <c r="AT24" s="1" t="s">
        <v>474</v>
      </c>
      <c r="AU24" s="1" t="n">
        <v>2021</v>
      </c>
      <c r="AV24" s="1" t="n">
        <v>35</v>
      </c>
      <c r="AW24" s="1" t="n">
        <v>3</v>
      </c>
      <c r="AX24" s="1"/>
      <c r="AY24" s="1"/>
      <c r="AZ24" s="1"/>
      <c r="BA24" s="1"/>
      <c r="BB24" s="1" t="n">
        <v>1006</v>
      </c>
      <c r="BC24" s="1" t="n">
        <v>1024</v>
      </c>
      <c r="BD24" s="1"/>
      <c r="BE24" s="1" t="s">
        <v>607</v>
      </c>
      <c r="BF24" s="1" t="str">
        <f aca="false">HYPERLINK("http://dx.doi.org/10.1111/scs.12928","http://dx.doi.org/10.1111/scs.12928")</f>
        <v>http://dx.doi.org/10.1111/scs.12928</v>
      </c>
      <c r="BG24" s="1"/>
      <c r="BH24" s="1" t="s">
        <v>608</v>
      </c>
      <c r="BI24" s="1" t="n">
        <v>19</v>
      </c>
      <c r="BJ24" s="1" t="s">
        <v>609</v>
      </c>
      <c r="BK24" s="1" t="s">
        <v>610</v>
      </c>
      <c r="BL24" s="1" t="s">
        <v>609</v>
      </c>
      <c r="BM24" s="1" t="s">
        <v>611</v>
      </c>
      <c r="BN24" s="1" t="n">
        <v>33145836</v>
      </c>
      <c r="BO24" s="1" t="s">
        <v>612</v>
      </c>
      <c r="BP24" s="1"/>
      <c r="BQ24" s="1"/>
      <c r="BR24" s="1" t="s">
        <v>103</v>
      </c>
      <c r="BS24" s="1" t="s">
        <v>613</v>
      </c>
      <c r="BT24" s="1" t="str">
        <f aca="false">HYPERLINK("https%3A%2F%2Fwww.webofscience.com%2Fwos%2Fwoscc%2Ffull-record%2FWOS:000585679000001","View Full Record in Web of Science")</f>
        <v>View Full Record in Web of Science</v>
      </c>
    </row>
    <row r="25" customFormat="false" ht="12.75" hidden="false" customHeight="false" outlineLevel="0" collapsed="false">
      <c r="A25" s="1" t="s">
        <v>181</v>
      </c>
      <c r="B25" s="1" t="s">
        <v>614</v>
      </c>
      <c r="C25" s="1"/>
      <c r="D25" s="1"/>
      <c r="E25" s="1"/>
      <c r="F25" s="1" t="s">
        <v>615</v>
      </c>
      <c r="G25" s="1"/>
      <c r="H25" s="1"/>
      <c r="I25" s="1" t="s">
        <v>616</v>
      </c>
      <c r="J25" s="1" t="s">
        <v>617</v>
      </c>
      <c r="K25" s="1"/>
      <c r="L25" s="1"/>
      <c r="M25" s="1" t="s">
        <v>78</v>
      </c>
      <c r="N25" s="1" t="s">
        <v>618</v>
      </c>
      <c r="O25" s="1"/>
      <c r="P25" s="1"/>
      <c r="Q25" s="1"/>
      <c r="R25" s="1"/>
      <c r="S25" s="1"/>
      <c r="T25" s="1" t="s">
        <v>619</v>
      </c>
      <c r="U25" s="1" t="s">
        <v>620</v>
      </c>
      <c r="V25" s="1" t="s">
        <v>621</v>
      </c>
      <c r="W25" s="1" t="s">
        <v>622</v>
      </c>
      <c r="X25" s="1" t="s">
        <v>86</v>
      </c>
      <c r="Y25" s="1" t="s">
        <v>623</v>
      </c>
      <c r="Z25" s="1" t="s">
        <v>624</v>
      </c>
      <c r="AA25" s="1" t="s">
        <v>625</v>
      </c>
      <c r="AB25" s="1" t="s">
        <v>626</v>
      </c>
      <c r="AC25" s="1" t="s">
        <v>627</v>
      </c>
      <c r="AD25" s="1" t="s">
        <v>628</v>
      </c>
      <c r="AE25" s="1" t="s">
        <v>629</v>
      </c>
      <c r="AF25" s="1"/>
      <c r="AG25" s="1" t="n">
        <v>132</v>
      </c>
      <c r="AH25" s="1" t="n">
        <v>0</v>
      </c>
      <c r="AI25" s="1" t="n">
        <v>0</v>
      </c>
      <c r="AJ25" s="1" t="n">
        <v>2</v>
      </c>
      <c r="AK25" s="1" t="n">
        <v>7</v>
      </c>
      <c r="AL25" s="1" t="s">
        <v>630</v>
      </c>
      <c r="AM25" s="1" t="s">
        <v>631</v>
      </c>
      <c r="AN25" s="1" t="s">
        <v>632</v>
      </c>
      <c r="AO25" s="1" t="s">
        <v>633</v>
      </c>
      <c r="AP25" s="1"/>
      <c r="AQ25" s="1"/>
      <c r="AR25" s="1" t="s">
        <v>634</v>
      </c>
      <c r="AS25" s="1" t="s">
        <v>635</v>
      </c>
      <c r="AT25" s="1" t="s">
        <v>636</v>
      </c>
      <c r="AU25" s="1" t="n">
        <v>2024</v>
      </c>
      <c r="AV25" s="1" t="n">
        <v>10</v>
      </c>
      <c r="AW25" s="1"/>
      <c r="AX25" s="1"/>
      <c r="AY25" s="1"/>
      <c r="AZ25" s="1"/>
      <c r="BA25" s="1"/>
      <c r="BB25" s="1"/>
      <c r="BC25" s="1"/>
      <c r="BD25" s="1" t="s">
        <v>637</v>
      </c>
      <c r="BE25" s="1" t="s">
        <v>638</v>
      </c>
      <c r="BF25" s="1" t="str">
        <f aca="false">HYPERLINK("http://dx.doi.org/10.1017/dsj.2024.5","http://dx.doi.org/10.1017/dsj.2024.5")</f>
        <v>http://dx.doi.org/10.1017/dsj.2024.5</v>
      </c>
      <c r="BG25" s="1"/>
      <c r="BH25" s="1"/>
      <c r="BI25" s="1" t="n">
        <v>38</v>
      </c>
      <c r="BJ25" s="1" t="s">
        <v>639</v>
      </c>
      <c r="BK25" s="1" t="s">
        <v>253</v>
      </c>
      <c r="BL25" s="1" t="s">
        <v>640</v>
      </c>
      <c r="BM25" s="1" t="s">
        <v>641</v>
      </c>
      <c r="BN25" s="1"/>
      <c r="BO25" s="1" t="s">
        <v>642</v>
      </c>
      <c r="BP25" s="1"/>
      <c r="BQ25" s="1"/>
      <c r="BR25" s="1" t="s">
        <v>103</v>
      </c>
      <c r="BS25" s="1" t="s">
        <v>643</v>
      </c>
      <c r="BT25" s="1" t="str">
        <f aca="false">HYPERLINK("https%3A%2F%2Fwww.webofscience.com%2Fwos%2Fwoscc%2Ffull-record%2FWOS:001192359400001","View Full Record in Web of Science")</f>
        <v>View Full Record in Web of Science</v>
      </c>
    </row>
    <row r="26" customFormat="false" ht="12.75" hidden="false" customHeight="false" outlineLevel="0" collapsed="false">
      <c r="A26" s="1" t="s">
        <v>181</v>
      </c>
      <c r="B26" s="1" t="s">
        <v>644</v>
      </c>
      <c r="C26" s="1"/>
      <c r="D26" s="1"/>
      <c r="E26" s="1"/>
      <c r="F26" s="1" t="s">
        <v>645</v>
      </c>
      <c r="G26" s="1"/>
      <c r="H26" s="1"/>
      <c r="I26" s="1" t="s">
        <v>646</v>
      </c>
      <c r="J26" s="1" t="s">
        <v>647</v>
      </c>
      <c r="K26" s="1"/>
      <c r="L26" s="1"/>
      <c r="M26" s="1" t="s">
        <v>78</v>
      </c>
      <c r="N26" s="1" t="s">
        <v>186</v>
      </c>
      <c r="O26" s="1"/>
      <c r="P26" s="1"/>
      <c r="Q26" s="1"/>
      <c r="R26" s="1"/>
      <c r="S26" s="1"/>
      <c r="T26" s="1" t="s">
        <v>648</v>
      </c>
      <c r="U26" s="1" t="s">
        <v>649</v>
      </c>
      <c r="V26" s="1" t="s">
        <v>650</v>
      </c>
      <c r="W26" s="1" t="s">
        <v>651</v>
      </c>
      <c r="X26" s="1" t="s">
        <v>86</v>
      </c>
      <c r="Y26" s="1" t="s">
        <v>652</v>
      </c>
      <c r="Z26" s="1"/>
      <c r="AA26" s="1"/>
      <c r="AB26" s="1"/>
      <c r="AC26" s="1" t="s">
        <v>653</v>
      </c>
      <c r="AD26" s="1" t="s">
        <v>654</v>
      </c>
      <c r="AE26" s="1" t="s">
        <v>655</v>
      </c>
      <c r="AF26" s="1"/>
      <c r="AG26" s="1" t="n">
        <v>51</v>
      </c>
      <c r="AH26" s="1" t="n">
        <v>0</v>
      </c>
      <c r="AI26" s="1" t="n">
        <v>0</v>
      </c>
      <c r="AJ26" s="1" t="n">
        <v>1</v>
      </c>
      <c r="AK26" s="1" t="n">
        <v>5</v>
      </c>
      <c r="AL26" s="1" t="s">
        <v>656</v>
      </c>
      <c r="AM26" s="1" t="s">
        <v>657</v>
      </c>
      <c r="AN26" s="1" t="s">
        <v>658</v>
      </c>
      <c r="AO26" s="1" t="s">
        <v>659</v>
      </c>
      <c r="AP26" s="1" t="s">
        <v>660</v>
      </c>
      <c r="AQ26" s="1"/>
      <c r="AR26" s="1" t="s">
        <v>661</v>
      </c>
      <c r="AS26" s="1" t="s">
        <v>662</v>
      </c>
      <c r="AT26" s="1"/>
      <c r="AU26" s="1" t="n">
        <v>2023</v>
      </c>
      <c r="AV26" s="1" t="n">
        <v>12</v>
      </c>
      <c r="AW26" s="1" t="n">
        <v>3</v>
      </c>
      <c r="AX26" s="1"/>
      <c r="AY26" s="1"/>
      <c r="AZ26" s="1"/>
      <c r="BA26" s="1"/>
      <c r="BB26" s="1" t="n">
        <v>152</v>
      </c>
      <c r="BC26" s="1" t="n">
        <v>164</v>
      </c>
      <c r="BD26" s="1"/>
      <c r="BE26" s="1" t="s">
        <v>663</v>
      </c>
      <c r="BF26" s="1" t="str">
        <f aca="false">HYPERLINK("http://dx.doi.org/10.14207/ejsd.2023.v12n3p152","http://dx.doi.org/10.14207/ejsd.2023.v12n3p152")</f>
        <v>http://dx.doi.org/10.14207/ejsd.2023.v12n3p152</v>
      </c>
      <c r="BG26" s="1"/>
      <c r="BH26" s="1"/>
      <c r="BI26" s="1" t="n">
        <v>13</v>
      </c>
      <c r="BJ26" s="1" t="s">
        <v>664</v>
      </c>
      <c r="BK26" s="1" t="s">
        <v>253</v>
      </c>
      <c r="BL26" s="1" t="s">
        <v>665</v>
      </c>
      <c r="BM26" s="1" t="s">
        <v>666</v>
      </c>
      <c r="BN26" s="1"/>
      <c r="BO26" s="1" t="s">
        <v>401</v>
      </c>
      <c r="BP26" s="1"/>
      <c r="BQ26" s="1"/>
      <c r="BR26" s="1" t="s">
        <v>103</v>
      </c>
      <c r="BS26" s="1" t="s">
        <v>667</v>
      </c>
      <c r="BT26" s="1" t="str">
        <f aca="false">HYPERLINK("https%3A%2F%2Fwww.webofscience.com%2Fwos%2Fwoscc%2Ffull-record%2FWOS:001115004400016","View Full Record in Web of Science")</f>
        <v>View Full Record in Web of Science</v>
      </c>
    </row>
    <row r="27" customFormat="false" ht="12.75" hidden="false" customHeight="false" outlineLevel="0" collapsed="false">
      <c r="A27" s="1" t="s">
        <v>181</v>
      </c>
      <c r="B27" s="1" t="s">
        <v>668</v>
      </c>
      <c r="C27" s="1"/>
      <c r="D27" s="1"/>
      <c r="E27" s="1"/>
      <c r="F27" s="1" t="s">
        <v>669</v>
      </c>
      <c r="G27" s="1"/>
      <c r="H27" s="1"/>
      <c r="I27" s="1" t="s">
        <v>670</v>
      </c>
      <c r="J27" s="1" t="s">
        <v>671</v>
      </c>
      <c r="K27" s="1"/>
      <c r="L27" s="1"/>
      <c r="M27" s="1" t="s">
        <v>78</v>
      </c>
      <c r="N27" s="1" t="s">
        <v>186</v>
      </c>
      <c r="O27" s="1"/>
      <c r="P27" s="1"/>
      <c r="Q27" s="1"/>
      <c r="R27" s="1"/>
      <c r="S27" s="1"/>
      <c r="T27" s="1"/>
      <c r="U27" s="1" t="s">
        <v>672</v>
      </c>
      <c r="V27" s="1" t="s">
        <v>673</v>
      </c>
      <c r="W27" s="1" t="s">
        <v>674</v>
      </c>
      <c r="X27" s="1" t="s">
        <v>86</v>
      </c>
      <c r="Y27" s="1" t="s">
        <v>675</v>
      </c>
      <c r="Z27" s="1" t="s">
        <v>676</v>
      </c>
      <c r="AA27" s="1"/>
      <c r="AB27" s="1"/>
      <c r="AC27" s="1" t="s">
        <v>677</v>
      </c>
      <c r="AD27" s="1" t="s">
        <v>677</v>
      </c>
      <c r="AE27" s="1" t="s">
        <v>678</v>
      </c>
      <c r="AF27" s="1"/>
      <c r="AG27" s="1" t="n">
        <v>54</v>
      </c>
      <c r="AH27" s="1" t="n">
        <v>0</v>
      </c>
      <c r="AI27" s="1" t="n">
        <v>0</v>
      </c>
      <c r="AJ27" s="1" t="n">
        <v>1</v>
      </c>
      <c r="AK27" s="1" t="n">
        <v>1</v>
      </c>
      <c r="AL27" s="1" t="s">
        <v>679</v>
      </c>
      <c r="AM27" s="1" t="s">
        <v>680</v>
      </c>
      <c r="AN27" s="1" t="s">
        <v>681</v>
      </c>
      <c r="AO27" s="1" t="s">
        <v>682</v>
      </c>
      <c r="AP27" s="1" t="s">
        <v>683</v>
      </c>
      <c r="AQ27" s="1"/>
      <c r="AR27" s="1" t="s">
        <v>684</v>
      </c>
      <c r="AS27" s="1" t="s">
        <v>685</v>
      </c>
      <c r="AT27" s="1" t="s">
        <v>277</v>
      </c>
      <c r="AU27" s="1" t="n">
        <v>2025</v>
      </c>
      <c r="AV27" s="1" t="n">
        <v>30</v>
      </c>
      <c r="AW27" s="1" t="n">
        <v>2</v>
      </c>
      <c r="AX27" s="1"/>
      <c r="AY27" s="1"/>
      <c r="AZ27" s="1"/>
      <c r="BA27" s="1"/>
      <c r="BB27" s="1"/>
      <c r="BC27" s="1"/>
      <c r="BD27" s="1" t="n">
        <v>41</v>
      </c>
      <c r="BE27" s="1" t="s">
        <v>686</v>
      </c>
      <c r="BF27" s="1" t="str">
        <f aca="false">HYPERLINK("http://dx.doi.org/10.1007/s10664-024-10595-w","http://dx.doi.org/10.1007/s10664-024-10595-w")</f>
        <v>http://dx.doi.org/10.1007/s10664-024-10595-w</v>
      </c>
      <c r="BG27" s="1"/>
      <c r="BH27" s="1"/>
      <c r="BI27" s="1" t="n">
        <v>46</v>
      </c>
      <c r="BJ27" s="1" t="s">
        <v>252</v>
      </c>
      <c r="BK27" s="1" t="s">
        <v>204</v>
      </c>
      <c r="BL27" s="1" t="s">
        <v>101</v>
      </c>
      <c r="BM27" s="1" t="s">
        <v>687</v>
      </c>
      <c r="BN27" s="1"/>
      <c r="BO27" s="1" t="s">
        <v>282</v>
      </c>
      <c r="BP27" s="1"/>
      <c r="BQ27" s="1"/>
      <c r="BR27" s="1" t="s">
        <v>103</v>
      </c>
      <c r="BS27" s="1" t="s">
        <v>688</v>
      </c>
      <c r="BT27" s="1" t="str">
        <f aca="false">HYPERLINK("https%3A%2F%2Fwww.webofscience.com%2Fwos%2Fwoscc%2Ffull-record%2FWOS:001377050600003","View Full Record in Web of Science")</f>
        <v>View Full Record in Web of Science</v>
      </c>
    </row>
    <row r="28" customFormat="false" ht="12.75" hidden="false" customHeight="false" outlineLevel="0" collapsed="false">
      <c r="A28" s="1" t="s">
        <v>181</v>
      </c>
      <c r="B28" s="1" t="s">
        <v>689</v>
      </c>
      <c r="C28" s="1"/>
      <c r="D28" s="1"/>
      <c r="E28" s="1"/>
      <c r="F28" s="1" t="s">
        <v>690</v>
      </c>
      <c r="G28" s="1"/>
      <c r="H28" s="1"/>
      <c r="I28" s="1" t="s">
        <v>691</v>
      </c>
      <c r="J28" s="1" t="s">
        <v>692</v>
      </c>
      <c r="K28" s="1"/>
      <c r="L28" s="1"/>
      <c r="M28" s="1" t="s">
        <v>78</v>
      </c>
      <c r="N28" s="1" t="s">
        <v>186</v>
      </c>
      <c r="O28" s="1"/>
      <c r="P28" s="1"/>
      <c r="Q28" s="1"/>
      <c r="R28" s="1"/>
      <c r="S28" s="1"/>
      <c r="T28" s="1" t="s">
        <v>693</v>
      </c>
      <c r="U28" s="1" t="s">
        <v>694</v>
      </c>
      <c r="V28" s="1" t="s">
        <v>695</v>
      </c>
      <c r="W28" s="1" t="s">
        <v>696</v>
      </c>
      <c r="X28" s="1" t="s">
        <v>86</v>
      </c>
      <c r="Y28" s="1" t="s">
        <v>697</v>
      </c>
      <c r="Z28" s="1" t="s">
        <v>698</v>
      </c>
      <c r="AA28" s="1" t="s">
        <v>699</v>
      </c>
      <c r="AB28" s="1" t="s">
        <v>700</v>
      </c>
      <c r="AC28" s="1" t="s">
        <v>701</v>
      </c>
      <c r="AD28" s="1" t="s">
        <v>702</v>
      </c>
      <c r="AE28" s="1" t="s">
        <v>703</v>
      </c>
      <c r="AF28" s="1"/>
      <c r="AG28" s="1" t="n">
        <v>107</v>
      </c>
      <c r="AH28" s="1" t="n">
        <v>1</v>
      </c>
      <c r="AI28" s="1" t="n">
        <v>1</v>
      </c>
      <c r="AJ28" s="1" t="n">
        <v>4</v>
      </c>
      <c r="AK28" s="1" t="n">
        <v>17</v>
      </c>
      <c r="AL28" s="1" t="s">
        <v>704</v>
      </c>
      <c r="AM28" s="1" t="s">
        <v>705</v>
      </c>
      <c r="AN28" s="1" t="s">
        <v>706</v>
      </c>
      <c r="AO28" s="1" t="s">
        <v>707</v>
      </c>
      <c r="AP28" s="1" t="s">
        <v>708</v>
      </c>
      <c r="AQ28" s="1"/>
      <c r="AR28" s="1" t="s">
        <v>709</v>
      </c>
      <c r="AS28" s="1" t="s">
        <v>710</v>
      </c>
      <c r="AT28" s="1" t="s">
        <v>711</v>
      </c>
      <c r="AU28" s="1" t="n">
        <v>2023</v>
      </c>
      <c r="AV28" s="1" t="n">
        <v>20</v>
      </c>
      <c r="AW28" s="1" t="n">
        <v>5</v>
      </c>
      <c r="AX28" s="1"/>
      <c r="AY28" s="1"/>
      <c r="AZ28" s="1"/>
      <c r="BA28" s="1"/>
      <c r="BB28" s="1"/>
      <c r="BC28" s="1"/>
      <c r="BD28" s="1"/>
      <c r="BE28" s="1" t="s">
        <v>712</v>
      </c>
      <c r="BF28" s="1" t="str">
        <f aca="false">HYPERLINK("http://dx.doi.org/10.1142/S0219877023500323","http://dx.doi.org/10.1142/S0219877023500323")</f>
        <v>http://dx.doi.org/10.1142/S0219877023500323</v>
      </c>
      <c r="BG28" s="1"/>
      <c r="BH28" s="1" t="s">
        <v>713</v>
      </c>
      <c r="BI28" s="1" t="n">
        <v>28</v>
      </c>
      <c r="BJ28" s="1" t="s">
        <v>714</v>
      </c>
      <c r="BK28" s="1" t="s">
        <v>253</v>
      </c>
      <c r="BL28" s="1" t="s">
        <v>715</v>
      </c>
      <c r="BM28" s="1" t="s">
        <v>716</v>
      </c>
      <c r="BN28" s="1"/>
      <c r="BO28" s="1"/>
      <c r="BP28" s="1"/>
      <c r="BQ28" s="1"/>
      <c r="BR28" s="1" t="s">
        <v>103</v>
      </c>
      <c r="BS28" s="1" t="s">
        <v>717</v>
      </c>
      <c r="BT28" s="1" t="str">
        <f aca="false">HYPERLINK("https%3A%2F%2Fwww.webofscience.com%2Fwos%2Fwoscc%2Ffull-record%2FWOS:000975684000001","View Full Record in Web of Science")</f>
        <v>View Full Record in Web of Science</v>
      </c>
    </row>
    <row r="29" customFormat="false" ht="12.75" hidden="false" customHeight="false" outlineLevel="0" collapsed="false">
      <c r="A29" s="1" t="s">
        <v>72</v>
      </c>
      <c r="B29" s="1" t="s">
        <v>718</v>
      </c>
      <c r="C29" s="1"/>
      <c r="D29" s="1" t="s">
        <v>719</v>
      </c>
      <c r="E29" s="1"/>
      <c r="F29" s="1" t="s">
        <v>720</v>
      </c>
      <c r="G29" s="1"/>
      <c r="H29" s="1"/>
      <c r="I29" s="1" t="s">
        <v>721</v>
      </c>
      <c r="J29" s="1" t="s">
        <v>722</v>
      </c>
      <c r="K29" s="1" t="s">
        <v>289</v>
      </c>
      <c r="L29" s="1"/>
      <c r="M29" s="1" t="s">
        <v>78</v>
      </c>
      <c r="N29" s="1" t="s">
        <v>79</v>
      </c>
      <c r="O29" s="1" t="s">
        <v>723</v>
      </c>
      <c r="P29" s="1" t="s">
        <v>724</v>
      </c>
      <c r="Q29" s="1" t="s">
        <v>725</v>
      </c>
      <c r="R29" s="1" t="s">
        <v>726</v>
      </c>
      <c r="S29" s="1"/>
      <c r="T29" s="1" t="s">
        <v>727</v>
      </c>
      <c r="U29" s="1" t="s">
        <v>728</v>
      </c>
      <c r="V29" s="1" t="s">
        <v>729</v>
      </c>
      <c r="W29" s="1" t="s">
        <v>730</v>
      </c>
      <c r="X29" s="1" t="s">
        <v>86</v>
      </c>
      <c r="Y29" s="1" t="s">
        <v>731</v>
      </c>
      <c r="Z29" s="1" t="s">
        <v>732</v>
      </c>
      <c r="AA29" s="1" t="s">
        <v>455</v>
      </c>
      <c r="AB29" s="1" t="s">
        <v>733</v>
      </c>
      <c r="AC29" s="1"/>
      <c r="AD29" s="1"/>
      <c r="AE29" s="1"/>
      <c r="AF29" s="1"/>
      <c r="AG29" s="1" t="n">
        <v>23</v>
      </c>
      <c r="AH29" s="1" t="n">
        <v>0</v>
      </c>
      <c r="AI29" s="1" t="n">
        <v>0</v>
      </c>
      <c r="AJ29" s="1" t="n">
        <v>2</v>
      </c>
      <c r="AK29" s="1" t="n">
        <v>8</v>
      </c>
      <c r="AL29" s="1" t="s">
        <v>302</v>
      </c>
      <c r="AM29" s="1" t="s">
        <v>303</v>
      </c>
      <c r="AN29" s="1" t="s">
        <v>304</v>
      </c>
      <c r="AO29" s="1" t="s">
        <v>305</v>
      </c>
      <c r="AP29" s="1" t="s">
        <v>306</v>
      </c>
      <c r="AQ29" s="1" t="s">
        <v>734</v>
      </c>
      <c r="AR29" s="1" t="s">
        <v>308</v>
      </c>
      <c r="AS29" s="1"/>
      <c r="AT29" s="1"/>
      <c r="AU29" s="1" t="n">
        <v>2022</v>
      </c>
      <c r="AV29" s="1" t="n">
        <v>664</v>
      </c>
      <c r="AW29" s="1"/>
      <c r="AX29" s="1"/>
      <c r="AY29" s="1"/>
      <c r="AZ29" s="1"/>
      <c r="BA29" s="1"/>
      <c r="BB29" s="1" t="n">
        <v>19</v>
      </c>
      <c r="BC29" s="1" t="n">
        <v>25</v>
      </c>
      <c r="BD29" s="1"/>
      <c r="BE29" s="1" t="s">
        <v>735</v>
      </c>
      <c r="BF29" s="1" t="str">
        <f aca="false">HYPERLINK("http://dx.doi.org/10.1007/978-3-031-16411-8_3","http://dx.doi.org/10.1007/978-3-031-16411-8_3")</f>
        <v>http://dx.doi.org/10.1007/978-3-031-16411-8_3</v>
      </c>
      <c r="BG29" s="1"/>
      <c r="BH29" s="1"/>
      <c r="BI29" s="1" t="n">
        <v>7</v>
      </c>
      <c r="BJ29" s="1" t="s">
        <v>736</v>
      </c>
      <c r="BK29" s="1" t="s">
        <v>100</v>
      </c>
      <c r="BL29" s="1" t="s">
        <v>737</v>
      </c>
      <c r="BM29" s="1" t="s">
        <v>738</v>
      </c>
      <c r="BN29" s="1"/>
      <c r="BO29" s="1"/>
      <c r="BP29" s="1"/>
      <c r="BQ29" s="1"/>
      <c r="BR29" s="1" t="s">
        <v>103</v>
      </c>
      <c r="BS29" s="1" t="s">
        <v>739</v>
      </c>
      <c r="BT29" s="1" t="str">
        <f aca="false">HYPERLINK("https%3A%2F%2Fwww.webofscience.com%2Fwos%2Fwoscc%2Ffull-record%2FWOS:000869729400003","View Full Record in Web of Science")</f>
        <v>View Full Record in Web of Science</v>
      </c>
    </row>
    <row r="30" customFormat="false" ht="12.75" hidden="false" customHeight="false" outlineLevel="0" collapsed="false">
      <c r="A30" s="1" t="s">
        <v>181</v>
      </c>
      <c r="B30" s="1" t="s">
        <v>740</v>
      </c>
      <c r="C30" s="1"/>
      <c r="D30" s="1"/>
      <c r="E30" s="1"/>
      <c r="F30" s="1" t="s">
        <v>741</v>
      </c>
      <c r="G30" s="1"/>
      <c r="H30" s="1"/>
      <c r="I30" s="1" t="s">
        <v>742</v>
      </c>
      <c r="J30" s="1" t="s">
        <v>743</v>
      </c>
      <c r="K30" s="1"/>
      <c r="L30" s="1"/>
      <c r="M30" s="1" t="s">
        <v>78</v>
      </c>
      <c r="N30" s="1" t="s">
        <v>186</v>
      </c>
      <c r="O30" s="1"/>
      <c r="P30" s="1"/>
      <c r="Q30" s="1"/>
      <c r="R30" s="1"/>
      <c r="S30" s="1"/>
      <c r="T30" s="1" t="s">
        <v>744</v>
      </c>
      <c r="U30" s="1" t="s">
        <v>745</v>
      </c>
      <c r="V30" s="1" t="s">
        <v>746</v>
      </c>
      <c r="W30" s="1" t="s">
        <v>747</v>
      </c>
      <c r="X30" s="1" t="s">
        <v>86</v>
      </c>
      <c r="Y30" s="1" t="s">
        <v>748</v>
      </c>
      <c r="Z30" s="1" t="s">
        <v>749</v>
      </c>
      <c r="AA30" s="1"/>
      <c r="AB30" s="1" t="s">
        <v>750</v>
      </c>
      <c r="AC30" s="1"/>
      <c r="AD30" s="1"/>
      <c r="AE30" s="1"/>
      <c r="AF30" s="1"/>
      <c r="AG30" s="1" t="n">
        <v>44</v>
      </c>
      <c r="AH30" s="1" t="n">
        <v>1</v>
      </c>
      <c r="AI30" s="1" t="n">
        <v>1</v>
      </c>
      <c r="AJ30" s="1" t="n">
        <v>1</v>
      </c>
      <c r="AK30" s="1" t="n">
        <v>3</v>
      </c>
      <c r="AL30" s="1" t="s">
        <v>367</v>
      </c>
      <c r="AM30" s="1" t="s">
        <v>368</v>
      </c>
      <c r="AN30" s="1" t="s">
        <v>369</v>
      </c>
      <c r="AO30" s="1"/>
      <c r="AP30" s="1" t="s">
        <v>751</v>
      </c>
      <c r="AQ30" s="1"/>
      <c r="AR30" s="1" t="s">
        <v>752</v>
      </c>
      <c r="AS30" s="1" t="s">
        <v>753</v>
      </c>
      <c r="AT30" s="1" t="s">
        <v>754</v>
      </c>
      <c r="AU30" s="1" t="n">
        <v>2021</v>
      </c>
      <c r="AV30" s="1" t="n">
        <v>10</v>
      </c>
      <c r="AW30" s="1" t="n">
        <v>10</v>
      </c>
      <c r="AX30" s="1"/>
      <c r="AY30" s="1"/>
      <c r="AZ30" s="1"/>
      <c r="BA30" s="1"/>
      <c r="BB30" s="1"/>
      <c r="BC30" s="1"/>
      <c r="BD30" s="1" t="n">
        <v>1209</v>
      </c>
      <c r="BE30" s="1" t="s">
        <v>755</v>
      </c>
      <c r="BF30" s="1" t="str">
        <f aca="false">HYPERLINK("http://dx.doi.org/10.3390/electronics10101209","http://dx.doi.org/10.3390/electronics10101209")</f>
        <v>http://dx.doi.org/10.3390/electronics10101209</v>
      </c>
      <c r="BG30" s="1"/>
      <c r="BH30" s="1"/>
      <c r="BI30" s="1" t="n">
        <v>26</v>
      </c>
      <c r="BJ30" s="1" t="s">
        <v>756</v>
      </c>
      <c r="BK30" s="1" t="s">
        <v>204</v>
      </c>
      <c r="BL30" s="1" t="s">
        <v>757</v>
      </c>
      <c r="BM30" s="1" t="s">
        <v>758</v>
      </c>
      <c r="BN30" s="1"/>
      <c r="BO30" s="1" t="s">
        <v>401</v>
      </c>
      <c r="BP30" s="1"/>
      <c r="BQ30" s="1"/>
      <c r="BR30" s="1" t="s">
        <v>103</v>
      </c>
      <c r="BS30" s="1" t="s">
        <v>759</v>
      </c>
      <c r="BT30" s="1" t="str">
        <f aca="false">HYPERLINK("https%3A%2F%2Fwww.webofscience.com%2Fwos%2Fwoscc%2Ffull-record%2FWOS:000654901400001","View Full Record in Web of Science")</f>
        <v>View Full Record in Web of Science</v>
      </c>
    </row>
    <row r="31" customFormat="false" ht="12.75" hidden="false" customHeight="false" outlineLevel="0" collapsed="false">
      <c r="A31" s="1" t="s">
        <v>181</v>
      </c>
      <c r="B31" s="1" t="s">
        <v>760</v>
      </c>
      <c r="C31" s="1"/>
      <c r="D31" s="1"/>
      <c r="E31" s="1"/>
      <c r="F31" s="1" t="s">
        <v>761</v>
      </c>
      <c r="G31" s="1"/>
      <c r="H31" s="1"/>
      <c r="I31" s="1" t="s">
        <v>762</v>
      </c>
      <c r="J31" s="1" t="s">
        <v>763</v>
      </c>
      <c r="K31" s="1"/>
      <c r="L31" s="1"/>
      <c r="M31" s="1" t="s">
        <v>78</v>
      </c>
      <c r="N31" s="1" t="s">
        <v>764</v>
      </c>
      <c r="O31" s="1"/>
      <c r="P31" s="1"/>
      <c r="Q31" s="1"/>
      <c r="R31" s="1"/>
      <c r="S31" s="1"/>
      <c r="T31" s="1"/>
      <c r="U31" s="1"/>
      <c r="V31" s="1"/>
      <c r="W31" s="1" t="s">
        <v>765</v>
      </c>
      <c r="X31" s="1" t="s">
        <v>86</v>
      </c>
      <c r="Y31" s="1" t="s">
        <v>766</v>
      </c>
      <c r="Z31" s="1" t="s">
        <v>767</v>
      </c>
      <c r="AA31" s="1"/>
      <c r="AB31" s="1"/>
      <c r="AC31" s="1"/>
      <c r="AD31" s="1"/>
      <c r="AE31" s="1"/>
      <c r="AF31" s="1"/>
      <c r="AG31" s="1" t="n">
        <v>1</v>
      </c>
      <c r="AH31" s="1" t="n">
        <v>0</v>
      </c>
      <c r="AI31" s="1" t="n">
        <v>0</v>
      </c>
      <c r="AJ31" s="1" t="n">
        <v>0</v>
      </c>
      <c r="AK31" s="1" t="n">
        <v>3</v>
      </c>
      <c r="AL31" s="1" t="s">
        <v>768</v>
      </c>
      <c r="AM31" s="1" t="s">
        <v>769</v>
      </c>
      <c r="AN31" s="1" t="s">
        <v>770</v>
      </c>
      <c r="AO31" s="1" t="s">
        <v>771</v>
      </c>
      <c r="AP31" s="1"/>
      <c r="AQ31" s="1"/>
      <c r="AR31" s="1" t="s">
        <v>772</v>
      </c>
      <c r="AS31" s="1" t="s">
        <v>773</v>
      </c>
      <c r="AT31" s="1"/>
      <c r="AU31" s="1" t="n">
        <v>2021</v>
      </c>
      <c r="AV31" s="1" t="n">
        <v>25</v>
      </c>
      <c r="AW31" s="1" t="n">
        <v>2</v>
      </c>
      <c r="AX31" s="1"/>
      <c r="AY31" s="1"/>
      <c r="AZ31" s="1"/>
      <c r="BA31" s="1"/>
      <c r="BB31" s="1" t="n">
        <v>223</v>
      </c>
      <c r="BC31" s="1" t="n">
        <v>225</v>
      </c>
      <c r="BD31" s="1"/>
      <c r="BE31" s="1"/>
      <c r="BF31" s="1"/>
      <c r="BG31" s="1"/>
      <c r="BH31" s="1"/>
      <c r="BI31" s="1" t="n">
        <v>3</v>
      </c>
      <c r="BJ31" s="1" t="s">
        <v>774</v>
      </c>
      <c r="BK31" s="1" t="s">
        <v>775</v>
      </c>
      <c r="BL31" s="1" t="s">
        <v>774</v>
      </c>
      <c r="BM31" s="1" t="s">
        <v>776</v>
      </c>
      <c r="BN31" s="1"/>
      <c r="BO31" s="1"/>
      <c r="BP31" s="1"/>
      <c r="BQ31" s="1"/>
      <c r="BR31" s="1" t="s">
        <v>103</v>
      </c>
      <c r="BS31" s="1" t="s">
        <v>777</v>
      </c>
      <c r="BT31" s="1" t="str">
        <f aca="false">HYPERLINK("https%3A%2F%2Fwww.webofscience.com%2Fwos%2Fwoscc%2Ffull-record%2FWOS:000706728200015","View Full Record in Web of Science")</f>
        <v>View Full Record in Web of Science</v>
      </c>
    </row>
    <row r="32" customFormat="false" ht="12.75" hidden="false" customHeight="false" outlineLevel="0" collapsed="false">
      <c r="A32" s="1" t="s">
        <v>72</v>
      </c>
      <c r="B32" s="1" t="s">
        <v>778</v>
      </c>
      <c r="C32" s="1"/>
      <c r="D32" s="1" t="s">
        <v>545</v>
      </c>
      <c r="E32" s="1"/>
      <c r="F32" s="1" t="s">
        <v>779</v>
      </c>
      <c r="G32" s="1"/>
      <c r="H32" s="1"/>
      <c r="I32" s="1" t="s">
        <v>780</v>
      </c>
      <c r="J32" s="1" t="s">
        <v>548</v>
      </c>
      <c r="K32" s="1"/>
      <c r="L32" s="1"/>
      <c r="M32" s="1" t="s">
        <v>78</v>
      </c>
      <c r="N32" s="1" t="s">
        <v>79</v>
      </c>
      <c r="O32" s="1" t="s">
        <v>549</v>
      </c>
      <c r="P32" s="1" t="s">
        <v>550</v>
      </c>
      <c r="Q32" s="1" t="s">
        <v>320</v>
      </c>
      <c r="R32" s="1" t="s">
        <v>551</v>
      </c>
      <c r="S32" s="1"/>
      <c r="T32" s="1" t="s">
        <v>781</v>
      </c>
      <c r="U32" s="1" t="s">
        <v>782</v>
      </c>
      <c r="V32" s="1" t="s">
        <v>783</v>
      </c>
      <c r="W32" s="1" t="s">
        <v>784</v>
      </c>
      <c r="X32" s="1" t="s">
        <v>86</v>
      </c>
      <c r="Y32" s="1" t="s">
        <v>785</v>
      </c>
      <c r="Z32" s="1" t="s">
        <v>786</v>
      </c>
      <c r="AA32" s="1" t="s">
        <v>145</v>
      </c>
      <c r="AB32" s="1"/>
      <c r="AC32" s="1" t="s">
        <v>787</v>
      </c>
      <c r="AD32" s="1" t="s">
        <v>788</v>
      </c>
      <c r="AE32" s="1" t="s">
        <v>789</v>
      </c>
      <c r="AF32" s="1"/>
      <c r="AG32" s="1" t="n">
        <v>27</v>
      </c>
      <c r="AH32" s="1" t="n">
        <v>0</v>
      </c>
      <c r="AI32" s="1" t="n">
        <v>0</v>
      </c>
      <c r="AJ32" s="1" t="n">
        <v>0</v>
      </c>
      <c r="AK32" s="1" t="n">
        <v>2</v>
      </c>
      <c r="AL32" s="1" t="s">
        <v>106</v>
      </c>
      <c r="AM32" s="1" t="s">
        <v>95</v>
      </c>
      <c r="AN32" s="1" t="s">
        <v>122</v>
      </c>
      <c r="AO32" s="1"/>
      <c r="AP32" s="1"/>
      <c r="AQ32" s="1" t="s">
        <v>559</v>
      </c>
      <c r="AR32" s="1"/>
      <c r="AS32" s="1"/>
      <c r="AT32" s="1"/>
      <c r="AU32" s="1" t="n">
        <v>2021</v>
      </c>
      <c r="AV32" s="1"/>
      <c r="AW32" s="1"/>
      <c r="AX32" s="1"/>
      <c r="AY32" s="1"/>
      <c r="AZ32" s="1"/>
      <c r="BA32" s="1"/>
      <c r="BB32" s="1"/>
      <c r="BC32" s="1"/>
      <c r="BD32" s="1"/>
      <c r="BE32" s="1" t="s">
        <v>790</v>
      </c>
      <c r="BF32" s="1" t="str">
        <f aca="false">HYPERLINK("http://dx.doi.org/10.1109/ICSPCS53099.2021.9660281","http://dx.doi.org/10.1109/ICSPCS53099.2021.9660281")</f>
        <v>http://dx.doi.org/10.1109/ICSPCS53099.2021.9660281</v>
      </c>
      <c r="BG32" s="1"/>
      <c r="BH32" s="1"/>
      <c r="BI32" s="1" t="n">
        <v>10</v>
      </c>
      <c r="BJ32" s="1" t="s">
        <v>561</v>
      </c>
      <c r="BK32" s="1" t="s">
        <v>100</v>
      </c>
      <c r="BL32" s="1" t="s">
        <v>311</v>
      </c>
      <c r="BM32" s="1" t="s">
        <v>562</v>
      </c>
      <c r="BN32" s="1"/>
      <c r="BO32" s="1" t="s">
        <v>179</v>
      </c>
      <c r="BP32" s="1"/>
      <c r="BQ32" s="1"/>
      <c r="BR32" s="1" t="s">
        <v>103</v>
      </c>
      <c r="BS32" s="1" t="s">
        <v>791</v>
      </c>
      <c r="BT32" s="1" t="str">
        <f aca="false">HYPERLINK("https%3A%2F%2Fwww.webofscience.com%2Fwos%2Fwoscc%2Ffull-record%2FWOS:000802223300023","View Full Record in Web of Science")</f>
        <v>View Full Record in Web of Science</v>
      </c>
    </row>
    <row r="33" customFormat="false" ht="12.75" hidden="false" customHeight="false" outlineLevel="0" collapsed="false">
      <c r="A33" s="1" t="s">
        <v>181</v>
      </c>
      <c r="B33" s="1" t="s">
        <v>792</v>
      </c>
      <c r="C33" s="1"/>
      <c r="D33" s="1"/>
      <c r="E33" s="1"/>
      <c r="F33" s="1" t="s">
        <v>793</v>
      </c>
      <c r="G33" s="1"/>
      <c r="H33" s="1"/>
      <c r="I33" s="1" t="s">
        <v>794</v>
      </c>
      <c r="J33" s="1" t="s">
        <v>795</v>
      </c>
      <c r="K33" s="1"/>
      <c r="L33" s="1"/>
      <c r="M33" s="1" t="s">
        <v>78</v>
      </c>
      <c r="N33" s="1" t="s">
        <v>186</v>
      </c>
      <c r="O33" s="1"/>
      <c r="P33" s="1"/>
      <c r="Q33" s="1"/>
      <c r="R33" s="1"/>
      <c r="S33" s="1"/>
      <c r="T33" s="1" t="s">
        <v>796</v>
      </c>
      <c r="U33" s="1" t="s">
        <v>797</v>
      </c>
      <c r="V33" s="1" t="s">
        <v>798</v>
      </c>
      <c r="W33" s="1" t="s">
        <v>799</v>
      </c>
      <c r="X33" s="1" t="s">
        <v>86</v>
      </c>
      <c r="Y33" s="1" t="s">
        <v>800</v>
      </c>
      <c r="Z33" s="1" t="s">
        <v>801</v>
      </c>
      <c r="AA33" s="1"/>
      <c r="AB33" s="1" t="s">
        <v>802</v>
      </c>
      <c r="AC33" s="1" t="s">
        <v>268</v>
      </c>
      <c r="AD33" s="1" t="s">
        <v>268</v>
      </c>
      <c r="AE33" s="1" t="s">
        <v>269</v>
      </c>
      <c r="AF33" s="1"/>
      <c r="AG33" s="1" t="n">
        <v>109</v>
      </c>
      <c r="AH33" s="1" t="n">
        <v>8</v>
      </c>
      <c r="AI33" s="1" t="n">
        <v>8</v>
      </c>
      <c r="AJ33" s="1" t="n">
        <v>0</v>
      </c>
      <c r="AK33" s="1" t="n">
        <v>16</v>
      </c>
      <c r="AL33" s="1" t="s">
        <v>679</v>
      </c>
      <c r="AM33" s="1" t="s">
        <v>95</v>
      </c>
      <c r="AN33" s="1" t="s">
        <v>803</v>
      </c>
      <c r="AO33" s="1" t="s">
        <v>804</v>
      </c>
      <c r="AP33" s="1" t="s">
        <v>805</v>
      </c>
      <c r="AQ33" s="1"/>
      <c r="AR33" s="1" t="s">
        <v>806</v>
      </c>
      <c r="AS33" s="1" t="s">
        <v>807</v>
      </c>
      <c r="AT33" s="1" t="s">
        <v>808</v>
      </c>
      <c r="AU33" s="1" t="n">
        <v>2021</v>
      </c>
      <c r="AV33" s="1" t="n">
        <v>37</v>
      </c>
      <c r="AW33" s="1" t="n">
        <v>7</v>
      </c>
      <c r="AX33" s="1"/>
      <c r="AY33" s="1"/>
      <c r="AZ33" s="1"/>
      <c r="BA33" s="1"/>
      <c r="BB33" s="1" t="n">
        <v>1931</v>
      </c>
      <c r="BC33" s="1" t="n">
        <v>1948</v>
      </c>
      <c r="BD33" s="1"/>
      <c r="BE33" s="1" t="s">
        <v>809</v>
      </c>
      <c r="BF33" s="1" t="str">
        <f aca="false">HYPERLINK("http://dx.doi.org/10.1007/s00371-020-01953-y","http://dx.doi.org/10.1007/s00371-020-01953-y")</f>
        <v>http://dx.doi.org/10.1007/s00371-020-01953-y</v>
      </c>
      <c r="BG33" s="1"/>
      <c r="BH33" s="1" t="s">
        <v>810</v>
      </c>
      <c r="BI33" s="1" t="n">
        <v>18</v>
      </c>
      <c r="BJ33" s="1" t="s">
        <v>252</v>
      </c>
      <c r="BK33" s="1" t="s">
        <v>204</v>
      </c>
      <c r="BL33" s="1" t="s">
        <v>101</v>
      </c>
      <c r="BM33" s="1" t="s">
        <v>811</v>
      </c>
      <c r="BN33" s="1"/>
      <c r="BO33" s="1" t="s">
        <v>282</v>
      </c>
      <c r="BP33" s="1"/>
      <c r="BQ33" s="1"/>
      <c r="BR33" s="1" t="s">
        <v>103</v>
      </c>
      <c r="BS33" s="1" t="s">
        <v>812</v>
      </c>
      <c r="BT33" s="1" t="str">
        <f aca="false">HYPERLINK("https%3A%2F%2Fwww.webofscience.com%2Fwos%2Fwoscc%2Ffull-record%2FWOS:000559670300001","View Full Record in Web of Science")</f>
        <v>View Full Record in Web of Science</v>
      </c>
    </row>
    <row r="34" customFormat="false" ht="12.75" hidden="false" customHeight="false" outlineLevel="0" collapsed="false">
      <c r="A34" s="1" t="s">
        <v>181</v>
      </c>
      <c r="B34" s="1" t="s">
        <v>813</v>
      </c>
      <c r="C34" s="1"/>
      <c r="D34" s="1"/>
      <c r="E34" s="1"/>
      <c r="F34" s="1" t="s">
        <v>814</v>
      </c>
      <c r="G34" s="1"/>
      <c r="H34" s="1"/>
      <c r="I34" s="1" t="s">
        <v>815</v>
      </c>
      <c r="J34" s="1" t="s">
        <v>816</v>
      </c>
      <c r="K34" s="1"/>
      <c r="L34" s="1"/>
      <c r="M34" s="1" t="s">
        <v>78</v>
      </c>
      <c r="N34" s="1" t="s">
        <v>618</v>
      </c>
      <c r="O34" s="1"/>
      <c r="P34" s="1"/>
      <c r="Q34" s="1"/>
      <c r="R34" s="1"/>
      <c r="S34" s="1"/>
      <c r="T34" s="1" t="s">
        <v>817</v>
      </c>
      <c r="U34" s="1" t="s">
        <v>818</v>
      </c>
      <c r="V34" s="1" t="s">
        <v>819</v>
      </c>
      <c r="W34" s="1" t="s">
        <v>820</v>
      </c>
      <c r="X34" s="1" t="s">
        <v>86</v>
      </c>
      <c r="Y34" s="1" t="s">
        <v>821</v>
      </c>
      <c r="Z34" s="1" t="s">
        <v>822</v>
      </c>
      <c r="AA34" s="1"/>
      <c r="AB34" s="1" t="s">
        <v>823</v>
      </c>
      <c r="AC34" s="1" t="s">
        <v>824</v>
      </c>
      <c r="AD34" s="1" t="s">
        <v>677</v>
      </c>
      <c r="AE34" s="1" t="s">
        <v>825</v>
      </c>
      <c r="AF34" s="1"/>
      <c r="AG34" s="1" t="n">
        <v>283</v>
      </c>
      <c r="AH34" s="1" t="n">
        <v>12</v>
      </c>
      <c r="AI34" s="1" t="n">
        <v>12</v>
      </c>
      <c r="AJ34" s="1" t="n">
        <v>0</v>
      </c>
      <c r="AK34" s="1" t="n">
        <v>7</v>
      </c>
      <c r="AL34" s="1" t="s">
        <v>94</v>
      </c>
      <c r="AM34" s="1" t="s">
        <v>95</v>
      </c>
      <c r="AN34" s="1" t="s">
        <v>826</v>
      </c>
      <c r="AO34" s="1" t="s">
        <v>827</v>
      </c>
      <c r="AP34" s="1" t="s">
        <v>828</v>
      </c>
      <c r="AQ34" s="1"/>
      <c r="AR34" s="1" t="s">
        <v>829</v>
      </c>
      <c r="AS34" s="1" t="s">
        <v>830</v>
      </c>
      <c r="AT34" s="1" t="s">
        <v>808</v>
      </c>
      <c r="AU34" s="1" t="n">
        <v>2023</v>
      </c>
      <c r="AV34" s="1" t="n">
        <v>32</v>
      </c>
      <c r="AW34" s="1" t="n">
        <v>4</v>
      </c>
      <c r="AX34" s="1"/>
      <c r="AY34" s="1"/>
      <c r="AZ34" s="1"/>
      <c r="BA34" s="1"/>
      <c r="BB34" s="1"/>
      <c r="BC34" s="1"/>
      <c r="BD34" s="1" t="n">
        <v>107</v>
      </c>
      <c r="BE34" s="1" t="s">
        <v>831</v>
      </c>
      <c r="BF34" s="1" t="str">
        <f aca="false">HYPERLINK("http://dx.doi.org/10.1145/3585004","http://dx.doi.org/10.1145/3585004")</f>
        <v>http://dx.doi.org/10.1145/3585004</v>
      </c>
      <c r="BG34" s="1"/>
      <c r="BH34" s="1"/>
      <c r="BI34" s="1" t="n">
        <v>61</v>
      </c>
      <c r="BJ34" s="1" t="s">
        <v>252</v>
      </c>
      <c r="BK34" s="1" t="s">
        <v>204</v>
      </c>
      <c r="BL34" s="1" t="s">
        <v>101</v>
      </c>
      <c r="BM34" s="1" t="s">
        <v>832</v>
      </c>
      <c r="BN34" s="1"/>
      <c r="BO34" s="1" t="s">
        <v>833</v>
      </c>
      <c r="BP34" s="1"/>
      <c r="BQ34" s="1"/>
      <c r="BR34" s="1" t="s">
        <v>103</v>
      </c>
      <c r="BS34" s="1" t="s">
        <v>834</v>
      </c>
      <c r="BT34" s="1" t="str">
        <f aca="false">HYPERLINK("https%3A%2F%2Fwww.webofscience.com%2Fwos%2Fwoscc%2Ffull-record%2FWOS:001020441100026","View Full Record in Web of Science")</f>
        <v>View Full Record in Web of Science</v>
      </c>
    </row>
    <row r="35" customFormat="false" ht="12.75" hidden="false" customHeight="false" outlineLevel="0" collapsed="false">
      <c r="A35" s="1" t="s">
        <v>181</v>
      </c>
      <c r="B35" s="1" t="s">
        <v>835</v>
      </c>
      <c r="C35" s="1"/>
      <c r="D35" s="1"/>
      <c r="E35" s="1"/>
      <c r="F35" s="1" t="s">
        <v>836</v>
      </c>
      <c r="G35" s="1"/>
      <c r="H35" s="1"/>
      <c r="I35" s="1" t="s">
        <v>837</v>
      </c>
      <c r="J35" s="1" t="s">
        <v>838</v>
      </c>
      <c r="K35" s="1"/>
      <c r="L35" s="1"/>
      <c r="M35" s="1" t="s">
        <v>78</v>
      </c>
      <c r="N35" s="1" t="s">
        <v>186</v>
      </c>
      <c r="O35" s="1"/>
      <c r="P35" s="1"/>
      <c r="Q35" s="1"/>
      <c r="R35" s="1"/>
      <c r="S35" s="1"/>
      <c r="T35" s="1" t="s">
        <v>839</v>
      </c>
      <c r="U35" s="1" t="s">
        <v>840</v>
      </c>
      <c r="V35" s="1" t="s">
        <v>841</v>
      </c>
      <c r="W35" s="1" t="s">
        <v>842</v>
      </c>
      <c r="X35" s="1" t="s">
        <v>86</v>
      </c>
      <c r="Y35" s="1" t="s">
        <v>843</v>
      </c>
      <c r="Z35" s="1" t="s">
        <v>844</v>
      </c>
      <c r="AA35" s="1" t="s">
        <v>595</v>
      </c>
      <c r="AB35" s="1" t="s">
        <v>845</v>
      </c>
      <c r="AC35" s="1"/>
      <c r="AD35" s="1"/>
      <c r="AE35" s="1"/>
      <c r="AF35" s="1"/>
      <c r="AG35" s="1" t="n">
        <v>14</v>
      </c>
      <c r="AH35" s="1" t="n">
        <v>3</v>
      </c>
      <c r="AI35" s="1" t="n">
        <v>3</v>
      </c>
      <c r="AJ35" s="1" t="n">
        <v>1</v>
      </c>
      <c r="AK35" s="1" t="n">
        <v>4</v>
      </c>
      <c r="AL35" s="1" t="s">
        <v>846</v>
      </c>
      <c r="AM35" s="1" t="s">
        <v>847</v>
      </c>
      <c r="AN35" s="1" t="s">
        <v>848</v>
      </c>
      <c r="AO35" s="1"/>
      <c r="AP35" s="1" t="s">
        <v>849</v>
      </c>
      <c r="AQ35" s="1"/>
      <c r="AR35" s="1" t="s">
        <v>850</v>
      </c>
      <c r="AS35" s="1" t="s">
        <v>851</v>
      </c>
      <c r="AT35" s="1" t="s">
        <v>277</v>
      </c>
      <c r="AU35" s="1" t="n">
        <v>2022</v>
      </c>
      <c r="AV35" s="1" t="n">
        <v>6</v>
      </c>
      <c r="AW35" s="1" t="n">
        <v>3</v>
      </c>
      <c r="AX35" s="1"/>
      <c r="AY35" s="1"/>
      <c r="AZ35" s="1"/>
      <c r="BA35" s="1"/>
      <c r="BB35" s="1"/>
      <c r="BC35" s="1"/>
      <c r="BD35" s="1" t="s">
        <v>852</v>
      </c>
      <c r="BE35" s="1" t="s">
        <v>853</v>
      </c>
      <c r="BF35" s="1" t="str">
        <f aca="false">HYPERLINK("http://dx.doi.org/10.2196/23589","http://dx.doi.org/10.2196/23589")</f>
        <v>http://dx.doi.org/10.2196/23589</v>
      </c>
      <c r="BG35" s="1"/>
      <c r="BH35" s="1"/>
      <c r="BI35" s="1" t="n">
        <v>6</v>
      </c>
      <c r="BJ35" s="1" t="s">
        <v>854</v>
      </c>
      <c r="BK35" s="1" t="s">
        <v>253</v>
      </c>
      <c r="BL35" s="1" t="s">
        <v>854</v>
      </c>
      <c r="BM35" s="1" t="s">
        <v>855</v>
      </c>
      <c r="BN35" s="1" t="n">
        <v>35275064</v>
      </c>
      <c r="BO35" s="1" t="s">
        <v>255</v>
      </c>
      <c r="BP35" s="1"/>
      <c r="BQ35" s="1"/>
      <c r="BR35" s="1" t="s">
        <v>103</v>
      </c>
      <c r="BS35" s="1" t="s">
        <v>856</v>
      </c>
      <c r="BT35" s="1" t="str">
        <f aca="false">HYPERLINK("https%3A%2F%2Fwww.webofscience.com%2Fwos%2Fwoscc%2Ffull-record%2FWOS:000854073700026","View Full Record in Web of Science")</f>
        <v>View Full Record in Web of Science</v>
      </c>
    </row>
    <row r="36" customFormat="false" ht="12.75" hidden="false" customHeight="false" outlineLevel="0" collapsed="false">
      <c r="A36" s="1" t="s">
        <v>181</v>
      </c>
      <c r="B36" s="1" t="s">
        <v>857</v>
      </c>
      <c r="C36" s="1"/>
      <c r="D36" s="1"/>
      <c r="E36" s="1"/>
      <c r="F36" s="1" t="s">
        <v>858</v>
      </c>
      <c r="G36" s="1"/>
      <c r="H36" s="1"/>
      <c r="I36" s="1" t="s">
        <v>859</v>
      </c>
      <c r="J36" s="1" t="s">
        <v>860</v>
      </c>
      <c r="K36" s="1"/>
      <c r="L36" s="1"/>
      <c r="M36" s="1" t="s">
        <v>78</v>
      </c>
      <c r="N36" s="1" t="s">
        <v>186</v>
      </c>
      <c r="O36" s="1"/>
      <c r="P36" s="1"/>
      <c r="Q36" s="1"/>
      <c r="R36" s="1"/>
      <c r="S36" s="1"/>
      <c r="T36" s="1" t="s">
        <v>861</v>
      </c>
      <c r="U36" s="1" t="s">
        <v>862</v>
      </c>
      <c r="V36" s="1" t="s">
        <v>863</v>
      </c>
      <c r="W36" s="1" t="s">
        <v>864</v>
      </c>
      <c r="X36" s="1" t="s">
        <v>86</v>
      </c>
      <c r="Y36" s="1" t="s">
        <v>865</v>
      </c>
      <c r="Z36" s="1" t="s">
        <v>866</v>
      </c>
      <c r="AA36" s="1" t="s">
        <v>266</v>
      </c>
      <c r="AB36" s="1" t="s">
        <v>267</v>
      </c>
      <c r="AC36" s="1" t="s">
        <v>867</v>
      </c>
      <c r="AD36" s="1" t="s">
        <v>868</v>
      </c>
      <c r="AE36" s="1" t="s">
        <v>869</v>
      </c>
      <c r="AF36" s="1"/>
      <c r="AG36" s="1" t="n">
        <v>35</v>
      </c>
      <c r="AH36" s="1" t="n">
        <v>4</v>
      </c>
      <c r="AI36" s="1" t="n">
        <v>4</v>
      </c>
      <c r="AJ36" s="1" t="n">
        <v>0</v>
      </c>
      <c r="AK36" s="1" t="n">
        <v>1</v>
      </c>
      <c r="AL36" s="1" t="s">
        <v>679</v>
      </c>
      <c r="AM36" s="1" t="s">
        <v>680</v>
      </c>
      <c r="AN36" s="1" t="s">
        <v>681</v>
      </c>
      <c r="AO36" s="1" t="s">
        <v>870</v>
      </c>
      <c r="AP36" s="1" t="s">
        <v>871</v>
      </c>
      <c r="AQ36" s="1"/>
      <c r="AR36" s="1" t="s">
        <v>872</v>
      </c>
      <c r="AS36" s="1" t="s">
        <v>873</v>
      </c>
      <c r="AT36" s="1" t="s">
        <v>711</v>
      </c>
      <c r="AU36" s="1" t="n">
        <v>2020</v>
      </c>
      <c r="AV36" s="1" t="n">
        <v>23</v>
      </c>
      <c r="AW36" s="1" t="n">
        <v>4</v>
      </c>
      <c r="AX36" s="1"/>
      <c r="AY36" s="1"/>
      <c r="AZ36" s="1"/>
      <c r="BA36" s="1"/>
      <c r="BB36" s="1" t="n">
        <v>1707</v>
      </c>
      <c r="BC36" s="1" t="n">
        <v>1726</v>
      </c>
      <c r="BD36" s="1"/>
      <c r="BE36" s="1" t="s">
        <v>874</v>
      </c>
      <c r="BF36" s="1" t="str">
        <f aca="false">HYPERLINK("http://dx.doi.org/10.1007/s10468-019-09909-0","http://dx.doi.org/10.1007/s10468-019-09909-0")</f>
        <v>http://dx.doi.org/10.1007/s10468-019-09909-0</v>
      </c>
      <c r="BG36" s="1"/>
      <c r="BH36" s="1"/>
      <c r="BI36" s="1" t="n">
        <v>20</v>
      </c>
      <c r="BJ36" s="1" t="s">
        <v>280</v>
      </c>
      <c r="BK36" s="1" t="s">
        <v>204</v>
      </c>
      <c r="BL36" s="1" t="s">
        <v>280</v>
      </c>
      <c r="BM36" s="1" t="s">
        <v>875</v>
      </c>
      <c r="BN36" s="1"/>
      <c r="BO36" s="1" t="s">
        <v>876</v>
      </c>
      <c r="BP36" s="1"/>
      <c r="BQ36" s="1"/>
      <c r="BR36" s="1" t="s">
        <v>103</v>
      </c>
      <c r="BS36" s="1" t="s">
        <v>877</v>
      </c>
      <c r="BT36" s="1" t="str">
        <f aca="false">HYPERLINK("https%3A%2F%2Fwww.webofscience.com%2Fwos%2Fwoscc%2Ffull-record%2FWOS:000550240900022","View Full Record in Web of Science")</f>
        <v>View Full Record in Web of Science</v>
      </c>
    </row>
    <row r="37" customFormat="false" ht="12.75" hidden="false" customHeight="false" outlineLevel="0" collapsed="false">
      <c r="A37" s="1" t="s">
        <v>181</v>
      </c>
      <c r="B37" s="1" t="s">
        <v>878</v>
      </c>
      <c r="C37" s="1"/>
      <c r="D37" s="1"/>
      <c r="E37" s="1"/>
      <c r="F37" s="1" t="s">
        <v>879</v>
      </c>
      <c r="G37" s="1"/>
      <c r="H37" s="1"/>
      <c r="I37" s="1" t="s">
        <v>880</v>
      </c>
      <c r="J37" s="1" t="s">
        <v>881</v>
      </c>
      <c r="K37" s="1"/>
      <c r="L37" s="1"/>
      <c r="M37" s="1" t="s">
        <v>78</v>
      </c>
      <c r="N37" s="1" t="s">
        <v>186</v>
      </c>
      <c r="O37" s="1"/>
      <c r="P37" s="1"/>
      <c r="Q37" s="1"/>
      <c r="R37" s="1"/>
      <c r="S37" s="1"/>
      <c r="T37" s="1" t="s">
        <v>882</v>
      </c>
      <c r="U37" s="1" t="s">
        <v>883</v>
      </c>
      <c r="V37" s="1" t="s">
        <v>884</v>
      </c>
      <c r="W37" s="1" t="s">
        <v>885</v>
      </c>
      <c r="X37" s="1" t="s">
        <v>86</v>
      </c>
      <c r="Y37" s="1" t="s">
        <v>886</v>
      </c>
      <c r="Z37" s="1" t="s">
        <v>887</v>
      </c>
      <c r="AA37" s="1" t="s">
        <v>888</v>
      </c>
      <c r="AB37" s="1" t="s">
        <v>889</v>
      </c>
      <c r="AC37" s="1" t="s">
        <v>890</v>
      </c>
      <c r="AD37" s="1" t="s">
        <v>891</v>
      </c>
      <c r="AE37" s="1" t="s">
        <v>892</v>
      </c>
      <c r="AF37" s="1"/>
      <c r="AG37" s="1" t="n">
        <v>77</v>
      </c>
      <c r="AH37" s="1" t="n">
        <v>14</v>
      </c>
      <c r="AI37" s="1" t="n">
        <v>14</v>
      </c>
      <c r="AJ37" s="1" t="n">
        <v>2</v>
      </c>
      <c r="AK37" s="1" t="n">
        <v>22</v>
      </c>
      <c r="AL37" s="1" t="s">
        <v>893</v>
      </c>
      <c r="AM37" s="1" t="s">
        <v>894</v>
      </c>
      <c r="AN37" s="1" t="s">
        <v>895</v>
      </c>
      <c r="AO37" s="1" t="s">
        <v>896</v>
      </c>
      <c r="AP37" s="1"/>
      <c r="AQ37" s="1"/>
      <c r="AR37" s="1" t="s">
        <v>897</v>
      </c>
      <c r="AS37" s="1" t="s">
        <v>898</v>
      </c>
      <c r="AT37" s="1" t="s">
        <v>754</v>
      </c>
      <c r="AU37" s="1" t="n">
        <v>2020</v>
      </c>
      <c r="AV37" s="1" t="n">
        <v>29</v>
      </c>
      <c r="AW37" s="1"/>
      <c r="AX37" s="1" t="s">
        <v>899</v>
      </c>
      <c r="AY37" s="1"/>
      <c r="AZ37" s="1"/>
      <c r="BA37" s="1"/>
      <c r="BB37" s="1" t="n">
        <v>176</v>
      </c>
      <c r="BC37" s="1" t="n">
        <v>190</v>
      </c>
      <c r="BD37" s="1"/>
      <c r="BE37" s="1" t="s">
        <v>900</v>
      </c>
      <c r="BF37" s="1" t="str">
        <f aca="false">HYPERLINK("http://dx.doi.org/10.1016/j.cirpj.2018.08.001","http://dx.doi.org/10.1016/j.cirpj.2018.08.001")</f>
        <v>http://dx.doi.org/10.1016/j.cirpj.2018.08.001</v>
      </c>
      <c r="BG37" s="1"/>
      <c r="BH37" s="1"/>
      <c r="BI37" s="1" t="n">
        <v>15</v>
      </c>
      <c r="BJ37" s="1" t="s">
        <v>639</v>
      </c>
      <c r="BK37" s="1" t="s">
        <v>398</v>
      </c>
      <c r="BL37" s="1" t="s">
        <v>640</v>
      </c>
      <c r="BM37" s="1" t="s">
        <v>901</v>
      </c>
      <c r="BN37" s="1"/>
      <c r="BO37" s="1" t="s">
        <v>227</v>
      </c>
      <c r="BP37" s="1"/>
      <c r="BQ37" s="1"/>
      <c r="BR37" s="1" t="s">
        <v>103</v>
      </c>
      <c r="BS37" s="1" t="s">
        <v>902</v>
      </c>
      <c r="BT37" s="1" t="str">
        <f aca="false">HYPERLINK("https%3A%2F%2Fwww.webofscience.com%2Fwos%2Fwoscc%2Ffull-record%2FWOS:000541020600004","View Full Record in Web of Science")</f>
        <v>View Full Record in Web of Science</v>
      </c>
    </row>
    <row r="38" customFormat="false" ht="12.75" hidden="false" customHeight="false" outlineLevel="0" collapsed="false">
      <c r="A38" s="1" t="s">
        <v>181</v>
      </c>
      <c r="B38" s="1" t="s">
        <v>903</v>
      </c>
      <c r="C38" s="1"/>
      <c r="D38" s="1"/>
      <c r="E38" s="1"/>
      <c r="F38" s="1" t="s">
        <v>904</v>
      </c>
      <c r="G38" s="1"/>
      <c r="H38" s="1"/>
      <c r="I38" s="1" t="s">
        <v>905</v>
      </c>
      <c r="J38" s="1" t="s">
        <v>906</v>
      </c>
      <c r="K38" s="1"/>
      <c r="L38" s="1"/>
      <c r="M38" s="1" t="s">
        <v>78</v>
      </c>
      <c r="N38" s="1" t="s">
        <v>907</v>
      </c>
      <c r="O38" s="1"/>
      <c r="P38" s="1"/>
      <c r="Q38" s="1"/>
      <c r="R38" s="1"/>
      <c r="S38" s="1"/>
      <c r="T38" s="1" t="s">
        <v>908</v>
      </c>
      <c r="U38" s="1" t="s">
        <v>909</v>
      </c>
      <c r="V38" s="1" t="s">
        <v>910</v>
      </c>
      <c r="W38" s="1" t="s">
        <v>911</v>
      </c>
      <c r="X38" s="1" t="s">
        <v>912</v>
      </c>
      <c r="Y38" s="1" t="s">
        <v>913</v>
      </c>
      <c r="Z38" s="1" t="s">
        <v>914</v>
      </c>
      <c r="AA38" s="1" t="s">
        <v>699</v>
      </c>
      <c r="AB38" s="1" t="s">
        <v>915</v>
      </c>
      <c r="AC38" s="1" t="s">
        <v>268</v>
      </c>
      <c r="AD38" s="1" t="s">
        <v>268</v>
      </c>
      <c r="AE38" s="1" t="s">
        <v>916</v>
      </c>
      <c r="AF38" s="1"/>
      <c r="AG38" s="1" t="n">
        <v>72</v>
      </c>
      <c r="AH38" s="1" t="n">
        <v>0</v>
      </c>
      <c r="AI38" s="1" t="n">
        <v>0</v>
      </c>
      <c r="AJ38" s="1" t="n">
        <v>5</v>
      </c>
      <c r="AK38" s="1" t="n">
        <v>11</v>
      </c>
      <c r="AL38" s="1" t="s">
        <v>679</v>
      </c>
      <c r="AM38" s="1" t="s">
        <v>95</v>
      </c>
      <c r="AN38" s="1" t="s">
        <v>803</v>
      </c>
      <c r="AO38" s="1" t="s">
        <v>917</v>
      </c>
      <c r="AP38" s="1" t="s">
        <v>918</v>
      </c>
      <c r="AQ38" s="1"/>
      <c r="AR38" s="1" t="s">
        <v>919</v>
      </c>
      <c r="AS38" s="1" t="s">
        <v>920</v>
      </c>
      <c r="AT38" s="1" t="s">
        <v>921</v>
      </c>
      <c r="AU38" s="1" t="n">
        <v>2023</v>
      </c>
      <c r="AV38" s="1"/>
      <c r="AW38" s="1"/>
      <c r="AX38" s="1"/>
      <c r="AY38" s="1"/>
      <c r="AZ38" s="1"/>
      <c r="BA38" s="1"/>
      <c r="BB38" s="1"/>
      <c r="BC38" s="1"/>
      <c r="BD38" s="1"/>
      <c r="BE38" s="1" t="s">
        <v>922</v>
      </c>
      <c r="BF38" s="1" t="str">
        <f aca="false">HYPERLINK("http://dx.doi.org/10.1007/s10639-023-12345-9","http://dx.doi.org/10.1007/s10639-023-12345-9")</f>
        <v>http://dx.doi.org/10.1007/s10639-023-12345-9</v>
      </c>
      <c r="BG38" s="1"/>
      <c r="BH38" s="1" t="s">
        <v>923</v>
      </c>
      <c r="BI38" s="1" t="n">
        <v>28</v>
      </c>
      <c r="BJ38" s="1" t="s">
        <v>924</v>
      </c>
      <c r="BK38" s="1" t="s">
        <v>610</v>
      </c>
      <c r="BL38" s="1" t="s">
        <v>924</v>
      </c>
      <c r="BM38" s="1" t="s">
        <v>925</v>
      </c>
      <c r="BN38" s="1"/>
      <c r="BO38" s="1" t="s">
        <v>282</v>
      </c>
      <c r="BP38" s="1"/>
      <c r="BQ38" s="1"/>
      <c r="BR38" s="1" t="s">
        <v>103</v>
      </c>
      <c r="BS38" s="1" t="s">
        <v>926</v>
      </c>
      <c r="BT38" s="1" t="str">
        <f aca="false">HYPERLINK("https%3A%2F%2Fwww.webofscience.com%2Fwos%2Fwoscc%2Ffull-record%2FWOS:001124501800004","View Full Record in Web of Science")</f>
        <v>View Full Record in Web of Science</v>
      </c>
    </row>
    <row r="39" customFormat="false" ht="12.75" hidden="false" customHeight="false" outlineLevel="0" collapsed="false">
      <c r="A39" s="1" t="s">
        <v>181</v>
      </c>
      <c r="B39" s="1" t="s">
        <v>927</v>
      </c>
      <c r="C39" s="1"/>
      <c r="D39" s="1"/>
      <c r="E39" s="1"/>
      <c r="F39" s="1" t="s">
        <v>928</v>
      </c>
      <c r="G39" s="1"/>
      <c r="H39" s="1"/>
      <c r="I39" s="1" t="s">
        <v>929</v>
      </c>
      <c r="J39" s="1" t="s">
        <v>930</v>
      </c>
      <c r="K39" s="1"/>
      <c r="L39" s="1"/>
      <c r="M39" s="1" t="s">
        <v>78</v>
      </c>
      <c r="N39" s="1" t="s">
        <v>186</v>
      </c>
      <c r="O39" s="1"/>
      <c r="P39" s="1"/>
      <c r="Q39" s="1"/>
      <c r="R39" s="1"/>
      <c r="S39" s="1"/>
      <c r="T39" s="1" t="s">
        <v>931</v>
      </c>
      <c r="U39" s="1" t="s">
        <v>932</v>
      </c>
      <c r="V39" s="1" t="s">
        <v>933</v>
      </c>
      <c r="W39" s="1" t="s">
        <v>934</v>
      </c>
      <c r="X39" s="1" t="s">
        <v>86</v>
      </c>
      <c r="Y39" s="1" t="s">
        <v>935</v>
      </c>
      <c r="Z39" s="1" t="s">
        <v>801</v>
      </c>
      <c r="AA39" s="1" t="s">
        <v>936</v>
      </c>
      <c r="AB39" s="1" t="s">
        <v>937</v>
      </c>
      <c r="AC39" s="1"/>
      <c r="AD39" s="1"/>
      <c r="AE39" s="1"/>
      <c r="AF39" s="1"/>
      <c r="AG39" s="1" t="n">
        <v>55</v>
      </c>
      <c r="AH39" s="1" t="n">
        <v>2</v>
      </c>
      <c r="AI39" s="1" t="n">
        <v>2</v>
      </c>
      <c r="AJ39" s="1" t="n">
        <v>2</v>
      </c>
      <c r="AK39" s="1" t="n">
        <v>7</v>
      </c>
      <c r="AL39" s="1" t="s">
        <v>938</v>
      </c>
      <c r="AM39" s="1" t="s">
        <v>939</v>
      </c>
      <c r="AN39" s="1" t="s">
        <v>940</v>
      </c>
      <c r="AO39" s="1"/>
      <c r="AP39" s="1" t="s">
        <v>941</v>
      </c>
      <c r="AQ39" s="1"/>
      <c r="AR39" s="1" t="s">
        <v>942</v>
      </c>
      <c r="AS39" s="1" t="s">
        <v>943</v>
      </c>
      <c r="AT39" s="1" t="s">
        <v>944</v>
      </c>
      <c r="AU39" s="1" t="n">
        <v>2023</v>
      </c>
      <c r="AV39" s="1" t="n">
        <v>5</v>
      </c>
      <c r="AW39" s="1"/>
      <c r="AX39" s="1"/>
      <c r="AY39" s="1"/>
      <c r="AZ39" s="1"/>
      <c r="BA39" s="1"/>
      <c r="BB39" s="1"/>
      <c r="BC39" s="1"/>
      <c r="BD39" s="1" t="n">
        <v>957920</v>
      </c>
      <c r="BE39" s="1" t="s">
        <v>945</v>
      </c>
      <c r="BF39" s="1" t="str">
        <f aca="false">HYPERLINK("http://dx.doi.org/10.3389/fcomp.2023.957920","http://dx.doi.org/10.3389/fcomp.2023.957920")</f>
        <v>http://dx.doi.org/10.3389/fcomp.2023.957920</v>
      </c>
      <c r="BG39" s="1"/>
      <c r="BH39" s="1"/>
      <c r="BI39" s="1" t="n">
        <v>18</v>
      </c>
      <c r="BJ39" s="1" t="s">
        <v>946</v>
      </c>
      <c r="BK39" s="1" t="s">
        <v>253</v>
      </c>
      <c r="BL39" s="1" t="s">
        <v>101</v>
      </c>
      <c r="BM39" s="1" t="s">
        <v>947</v>
      </c>
      <c r="BN39" s="1"/>
      <c r="BO39" s="1" t="s">
        <v>401</v>
      </c>
      <c r="BP39" s="1"/>
      <c r="BQ39" s="1"/>
      <c r="BR39" s="1" t="s">
        <v>103</v>
      </c>
      <c r="BS39" s="1" t="s">
        <v>948</v>
      </c>
      <c r="BT39" s="1" t="str">
        <f aca="false">HYPERLINK("https%3A%2F%2Fwww.webofscience.com%2Fwos%2Fwoscc%2Ffull-record%2FWOS:000954548500001","View Full Record in Web of Science")</f>
        <v>View Full Record in Web of Science</v>
      </c>
    </row>
    <row r="40" customFormat="false" ht="12.75" hidden="false" customHeight="false" outlineLevel="0" collapsed="false">
      <c r="A40" s="1" t="s">
        <v>181</v>
      </c>
      <c r="B40" s="1" t="s">
        <v>949</v>
      </c>
      <c r="C40" s="1"/>
      <c r="D40" s="1"/>
      <c r="E40" s="1"/>
      <c r="F40" s="1" t="s">
        <v>950</v>
      </c>
      <c r="G40" s="1"/>
      <c r="H40" s="1"/>
      <c r="I40" s="1" t="s">
        <v>951</v>
      </c>
      <c r="J40" s="1" t="s">
        <v>952</v>
      </c>
      <c r="K40" s="1"/>
      <c r="L40" s="1"/>
      <c r="M40" s="1" t="s">
        <v>78</v>
      </c>
      <c r="N40" s="1" t="s">
        <v>186</v>
      </c>
      <c r="O40" s="1"/>
      <c r="P40" s="1"/>
      <c r="Q40" s="1"/>
      <c r="R40" s="1"/>
      <c r="S40" s="1"/>
      <c r="T40" s="1" t="s">
        <v>953</v>
      </c>
      <c r="U40" s="1" t="s">
        <v>954</v>
      </c>
      <c r="V40" s="1" t="s">
        <v>955</v>
      </c>
      <c r="W40" s="1" t="s">
        <v>956</v>
      </c>
      <c r="X40" s="1" t="s">
        <v>86</v>
      </c>
      <c r="Y40" s="1" t="s">
        <v>957</v>
      </c>
      <c r="Z40" s="1" t="s">
        <v>958</v>
      </c>
      <c r="AA40" s="1" t="s">
        <v>959</v>
      </c>
      <c r="AB40" s="1" t="s">
        <v>960</v>
      </c>
      <c r="AC40" s="1" t="s">
        <v>961</v>
      </c>
      <c r="AD40" s="1" t="s">
        <v>677</v>
      </c>
      <c r="AE40" s="1" t="s">
        <v>962</v>
      </c>
      <c r="AF40" s="1"/>
      <c r="AG40" s="1" t="n">
        <v>93</v>
      </c>
      <c r="AH40" s="1" t="n">
        <v>6</v>
      </c>
      <c r="AI40" s="1" t="n">
        <v>6</v>
      </c>
      <c r="AJ40" s="1" t="n">
        <v>3</v>
      </c>
      <c r="AK40" s="1" t="n">
        <v>15</v>
      </c>
      <c r="AL40" s="1" t="s">
        <v>893</v>
      </c>
      <c r="AM40" s="1" t="s">
        <v>894</v>
      </c>
      <c r="AN40" s="1" t="s">
        <v>895</v>
      </c>
      <c r="AO40" s="1" t="s">
        <v>963</v>
      </c>
      <c r="AP40" s="1"/>
      <c r="AQ40" s="1"/>
      <c r="AR40" s="1" t="s">
        <v>964</v>
      </c>
      <c r="AS40" s="1" t="s">
        <v>965</v>
      </c>
      <c r="AT40" s="1" t="s">
        <v>474</v>
      </c>
      <c r="AU40" s="1" t="n">
        <v>2022</v>
      </c>
      <c r="AV40" s="1" t="n">
        <v>33</v>
      </c>
      <c r="AW40" s="1"/>
      <c r="AX40" s="1"/>
      <c r="AY40" s="1"/>
      <c r="AZ40" s="1"/>
      <c r="BA40" s="1"/>
      <c r="BB40" s="1" t="n">
        <v>846</v>
      </c>
      <c r="BC40" s="1" t="n">
        <v>862</v>
      </c>
      <c r="BD40" s="1"/>
      <c r="BE40" s="1" t="s">
        <v>966</v>
      </c>
      <c r="BF40" s="1" t="str">
        <f aca="false">HYPERLINK("http://dx.doi.org/10.1016/j.spc.2022.08.005","http://dx.doi.org/10.1016/j.spc.2022.08.005")</f>
        <v>http://dx.doi.org/10.1016/j.spc.2022.08.005</v>
      </c>
      <c r="BG40" s="1"/>
      <c r="BH40" s="1" t="s">
        <v>967</v>
      </c>
      <c r="BI40" s="1" t="n">
        <v>17</v>
      </c>
      <c r="BJ40" s="1" t="s">
        <v>968</v>
      </c>
      <c r="BK40" s="1" t="s">
        <v>398</v>
      </c>
      <c r="BL40" s="1" t="s">
        <v>399</v>
      </c>
      <c r="BM40" s="1" t="s">
        <v>969</v>
      </c>
      <c r="BN40" s="1"/>
      <c r="BO40" s="1" t="s">
        <v>612</v>
      </c>
      <c r="BP40" s="1"/>
      <c r="BQ40" s="1"/>
      <c r="BR40" s="1" t="s">
        <v>103</v>
      </c>
      <c r="BS40" s="1" t="s">
        <v>970</v>
      </c>
      <c r="BT40" s="1" t="str">
        <f aca="false">HYPERLINK("https%3A%2F%2Fwww.webofscience.com%2Fwos%2Fwoscc%2Ffull-record%2FWOS:000848098000014","View Full Record in Web of Science")</f>
        <v>View Full Record in Web of Science</v>
      </c>
    </row>
    <row r="41" customFormat="false" ht="12.75" hidden="false" customHeight="false" outlineLevel="0" collapsed="false">
      <c r="A41" s="1" t="s">
        <v>72</v>
      </c>
      <c r="B41" s="1" t="s">
        <v>971</v>
      </c>
      <c r="C41" s="1"/>
      <c r="D41" s="1" t="s">
        <v>972</v>
      </c>
      <c r="E41" s="1"/>
      <c r="F41" s="1" t="s">
        <v>973</v>
      </c>
      <c r="G41" s="1"/>
      <c r="H41" s="1"/>
      <c r="I41" s="1" t="s">
        <v>974</v>
      </c>
      <c r="J41" s="1" t="s">
        <v>975</v>
      </c>
      <c r="K41" s="1" t="s">
        <v>976</v>
      </c>
      <c r="L41" s="1"/>
      <c r="M41" s="1" t="s">
        <v>78</v>
      </c>
      <c r="N41" s="1" t="s">
        <v>79</v>
      </c>
      <c r="O41" s="1" t="s">
        <v>977</v>
      </c>
      <c r="P41" s="1" t="s">
        <v>978</v>
      </c>
      <c r="Q41" s="1" t="s">
        <v>979</v>
      </c>
      <c r="R41" s="1"/>
      <c r="S41" s="1"/>
      <c r="T41" s="1" t="s">
        <v>980</v>
      </c>
      <c r="U41" s="1" t="s">
        <v>981</v>
      </c>
      <c r="V41" s="1" t="s">
        <v>982</v>
      </c>
      <c r="W41" s="1" t="s">
        <v>983</v>
      </c>
      <c r="X41" s="1" t="s">
        <v>86</v>
      </c>
      <c r="Y41" s="1" t="s">
        <v>984</v>
      </c>
      <c r="Z41" s="1" t="s">
        <v>985</v>
      </c>
      <c r="AA41" s="1" t="s">
        <v>986</v>
      </c>
      <c r="AB41" s="1"/>
      <c r="AC41" s="1" t="s">
        <v>987</v>
      </c>
      <c r="AD41" s="1" t="s">
        <v>988</v>
      </c>
      <c r="AE41" s="1" t="s">
        <v>511</v>
      </c>
      <c r="AF41" s="1"/>
      <c r="AG41" s="1" t="n">
        <v>38</v>
      </c>
      <c r="AH41" s="1" t="n">
        <v>2</v>
      </c>
      <c r="AI41" s="1" t="n">
        <v>2</v>
      </c>
      <c r="AJ41" s="1" t="n">
        <v>1</v>
      </c>
      <c r="AK41" s="1" t="n">
        <v>4</v>
      </c>
      <c r="AL41" s="1" t="s">
        <v>302</v>
      </c>
      <c r="AM41" s="1" t="s">
        <v>303</v>
      </c>
      <c r="AN41" s="1" t="s">
        <v>304</v>
      </c>
      <c r="AO41" s="1" t="s">
        <v>989</v>
      </c>
      <c r="AP41" s="1" t="s">
        <v>990</v>
      </c>
      <c r="AQ41" s="1" t="s">
        <v>991</v>
      </c>
      <c r="AR41" s="1" t="s">
        <v>992</v>
      </c>
      <c r="AS41" s="1"/>
      <c r="AT41" s="1"/>
      <c r="AU41" s="1" t="n">
        <v>2022</v>
      </c>
      <c r="AV41" s="1" t="n">
        <v>13709</v>
      </c>
      <c r="AW41" s="1"/>
      <c r="AX41" s="1"/>
      <c r="AY41" s="1"/>
      <c r="AZ41" s="1"/>
      <c r="BA41" s="1"/>
      <c r="BB41" s="1" t="n">
        <v>298</v>
      </c>
      <c r="BC41" s="1" t="n">
        <v>315</v>
      </c>
      <c r="BD41" s="1"/>
      <c r="BE41" s="1" t="s">
        <v>993</v>
      </c>
      <c r="BF41" s="1" t="str">
        <f aca="false">HYPERLINK("http://dx.doi.org/10.1007/978-3-031-21388-5_21","http://dx.doi.org/10.1007/978-3-031-21388-5_21")</f>
        <v>http://dx.doi.org/10.1007/978-3-031-21388-5_21</v>
      </c>
      <c r="BG41" s="1"/>
      <c r="BH41" s="1"/>
      <c r="BI41" s="1" t="n">
        <v>18</v>
      </c>
      <c r="BJ41" s="1" t="s">
        <v>994</v>
      </c>
      <c r="BK41" s="1" t="s">
        <v>100</v>
      </c>
      <c r="BL41" s="1" t="s">
        <v>101</v>
      </c>
      <c r="BM41" s="1" t="s">
        <v>995</v>
      </c>
      <c r="BN41" s="1"/>
      <c r="BO41" s="1"/>
      <c r="BP41" s="1"/>
      <c r="BQ41" s="1"/>
      <c r="BR41" s="1" t="s">
        <v>103</v>
      </c>
      <c r="BS41" s="1" t="s">
        <v>996</v>
      </c>
      <c r="BT41" s="1" t="str">
        <f aca="false">HYPERLINK("https%3A%2F%2Fwww.webofscience.com%2Fwos%2Fwoscc%2Ffull-record%2FWOS:000897035000021","View Full Record in Web of Science")</f>
        <v>View Full Record in Web of Science</v>
      </c>
    </row>
    <row r="42" customFormat="false" ht="12.75" hidden="false" customHeight="false" outlineLevel="0" collapsed="false">
      <c r="A42" s="1" t="s">
        <v>181</v>
      </c>
      <c r="B42" s="1" t="s">
        <v>857</v>
      </c>
      <c r="C42" s="1"/>
      <c r="D42" s="1"/>
      <c r="E42" s="1"/>
      <c r="F42" s="1" t="s">
        <v>858</v>
      </c>
      <c r="G42" s="1"/>
      <c r="H42" s="1"/>
      <c r="I42" s="1" t="s">
        <v>997</v>
      </c>
      <c r="J42" s="1" t="s">
        <v>998</v>
      </c>
      <c r="K42" s="1"/>
      <c r="L42" s="1"/>
      <c r="M42" s="1" t="s">
        <v>78</v>
      </c>
      <c r="N42" s="1" t="s">
        <v>186</v>
      </c>
      <c r="O42" s="1"/>
      <c r="P42" s="1"/>
      <c r="Q42" s="1"/>
      <c r="R42" s="1"/>
      <c r="S42" s="1"/>
      <c r="T42" s="1" t="s">
        <v>999</v>
      </c>
      <c r="U42" s="1"/>
      <c r="V42" s="1" t="s">
        <v>1000</v>
      </c>
      <c r="W42" s="1" t="s">
        <v>864</v>
      </c>
      <c r="X42" s="1" t="s">
        <v>86</v>
      </c>
      <c r="Y42" s="1" t="s">
        <v>865</v>
      </c>
      <c r="Z42" s="1" t="s">
        <v>866</v>
      </c>
      <c r="AA42" s="1" t="s">
        <v>266</v>
      </c>
      <c r="AB42" s="1" t="s">
        <v>267</v>
      </c>
      <c r="AC42" s="1" t="s">
        <v>867</v>
      </c>
      <c r="AD42" s="1" t="s">
        <v>868</v>
      </c>
      <c r="AE42" s="1" t="s">
        <v>1001</v>
      </c>
      <c r="AF42" s="1"/>
      <c r="AG42" s="1" t="n">
        <v>22</v>
      </c>
      <c r="AH42" s="1" t="n">
        <v>3</v>
      </c>
      <c r="AI42" s="1" t="n">
        <v>3</v>
      </c>
      <c r="AJ42" s="1" t="n">
        <v>0</v>
      </c>
      <c r="AK42" s="1" t="n">
        <v>2</v>
      </c>
      <c r="AL42" s="1" t="s">
        <v>893</v>
      </c>
      <c r="AM42" s="1" t="s">
        <v>894</v>
      </c>
      <c r="AN42" s="1" t="s">
        <v>895</v>
      </c>
      <c r="AO42" s="1" t="s">
        <v>1002</v>
      </c>
      <c r="AP42" s="1" t="s">
        <v>1003</v>
      </c>
      <c r="AQ42" s="1"/>
      <c r="AR42" s="1" t="s">
        <v>1004</v>
      </c>
      <c r="AS42" s="1" t="s">
        <v>1005</v>
      </c>
      <c r="AT42" s="1" t="s">
        <v>474</v>
      </c>
      <c r="AU42" s="1" t="n">
        <v>2020</v>
      </c>
      <c r="AV42" s="1" t="n">
        <v>224</v>
      </c>
      <c r="AW42" s="1" t="n">
        <v>9</v>
      </c>
      <c r="AX42" s="1"/>
      <c r="AY42" s="1"/>
      <c r="AZ42" s="1"/>
      <c r="BA42" s="1"/>
      <c r="BB42" s="1"/>
      <c r="BC42" s="1"/>
      <c r="BD42" s="1" t="n">
        <v>106369</v>
      </c>
      <c r="BE42" s="1" t="s">
        <v>1006</v>
      </c>
      <c r="BF42" s="1" t="str">
        <f aca="false">HYPERLINK("http://dx.doi.org/10.1016/j.jpaa.2020.106369","http://dx.doi.org/10.1016/j.jpaa.2020.106369")</f>
        <v>http://dx.doi.org/10.1016/j.jpaa.2020.106369</v>
      </c>
      <c r="BG42" s="1"/>
      <c r="BH42" s="1"/>
      <c r="BI42" s="1" t="n">
        <v>26</v>
      </c>
      <c r="BJ42" s="1" t="s">
        <v>1007</v>
      </c>
      <c r="BK42" s="1" t="s">
        <v>204</v>
      </c>
      <c r="BL42" s="1" t="s">
        <v>280</v>
      </c>
      <c r="BM42" s="1" t="s">
        <v>1008</v>
      </c>
      <c r="BN42" s="1"/>
      <c r="BO42" s="1" t="s">
        <v>1009</v>
      </c>
      <c r="BP42" s="1"/>
      <c r="BQ42" s="1"/>
      <c r="BR42" s="1" t="s">
        <v>103</v>
      </c>
      <c r="BS42" s="1" t="s">
        <v>1010</v>
      </c>
      <c r="BT42" s="1" t="str">
        <f aca="false">HYPERLINK("https%3A%2F%2Fwww.webofscience.com%2Fwos%2Fwoscc%2Ffull-record%2FWOS:000526412900011","View Full Record in Web of Science")</f>
        <v>View Full Record in Web of Science</v>
      </c>
    </row>
    <row r="43" customFormat="false" ht="12.75" hidden="false" customHeight="false" outlineLevel="0" collapsed="false">
      <c r="A43" s="1" t="s">
        <v>181</v>
      </c>
      <c r="B43" s="1" t="s">
        <v>1011</v>
      </c>
      <c r="C43" s="1"/>
      <c r="D43" s="1"/>
      <c r="E43" s="1"/>
      <c r="F43" s="1" t="s">
        <v>1012</v>
      </c>
      <c r="G43" s="1"/>
      <c r="H43" s="1"/>
      <c r="I43" s="1" t="s">
        <v>1013</v>
      </c>
      <c r="J43" s="1" t="s">
        <v>1014</v>
      </c>
      <c r="K43" s="1"/>
      <c r="L43" s="1"/>
      <c r="M43" s="1" t="s">
        <v>78</v>
      </c>
      <c r="N43" s="1" t="s">
        <v>186</v>
      </c>
      <c r="O43" s="1"/>
      <c r="P43" s="1"/>
      <c r="Q43" s="1"/>
      <c r="R43" s="1"/>
      <c r="S43" s="1"/>
      <c r="T43" s="1" t="s">
        <v>1015</v>
      </c>
      <c r="U43" s="1" t="s">
        <v>1016</v>
      </c>
      <c r="V43" s="1" t="s">
        <v>1017</v>
      </c>
      <c r="W43" s="1" t="s">
        <v>1018</v>
      </c>
      <c r="X43" s="1" t="s">
        <v>86</v>
      </c>
      <c r="Y43" s="1" t="s">
        <v>1019</v>
      </c>
      <c r="Z43" s="1" t="s">
        <v>1020</v>
      </c>
      <c r="AA43" s="1" t="s">
        <v>1021</v>
      </c>
      <c r="AB43" s="1" t="s">
        <v>960</v>
      </c>
      <c r="AC43" s="1" t="s">
        <v>1022</v>
      </c>
      <c r="AD43" s="1" t="s">
        <v>1023</v>
      </c>
      <c r="AE43" s="1" t="s">
        <v>1024</v>
      </c>
      <c r="AF43" s="1"/>
      <c r="AG43" s="1" t="n">
        <v>47</v>
      </c>
      <c r="AH43" s="1" t="n">
        <v>24</v>
      </c>
      <c r="AI43" s="1" t="n">
        <v>27</v>
      </c>
      <c r="AJ43" s="1" t="n">
        <v>5</v>
      </c>
      <c r="AK43" s="1" t="n">
        <v>42</v>
      </c>
      <c r="AL43" s="1" t="s">
        <v>1025</v>
      </c>
      <c r="AM43" s="1" t="s">
        <v>1026</v>
      </c>
      <c r="AN43" s="1" t="s">
        <v>1027</v>
      </c>
      <c r="AO43" s="1" t="s">
        <v>1028</v>
      </c>
      <c r="AP43" s="1" t="s">
        <v>1029</v>
      </c>
      <c r="AQ43" s="1"/>
      <c r="AR43" s="1" t="s">
        <v>1030</v>
      </c>
      <c r="AS43" s="1" t="s">
        <v>1031</v>
      </c>
      <c r="AT43" s="1" t="s">
        <v>1032</v>
      </c>
      <c r="AU43" s="1" t="n">
        <v>2020</v>
      </c>
      <c r="AV43" s="1" t="n">
        <v>247</v>
      </c>
      <c r="AW43" s="1"/>
      <c r="AX43" s="1"/>
      <c r="AY43" s="1"/>
      <c r="AZ43" s="1"/>
      <c r="BA43" s="1"/>
      <c r="BB43" s="1"/>
      <c r="BC43" s="1"/>
      <c r="BD43" s="1" t="n">
        <v>119155</v>
      </c>
      <c r="BE43" s="1" t="s">
        <v>1033</v>
      </c>
      <c r="BF43" s="1" t="str">
        <f aca="false">HYPERLINK("http://dx.doi.org/10.1016/j.jclepro.2019.119155","http://dx.doi.org/10.1016/j.jclepro.2019.119155")</f>
        <v>http://dx.doi.org/10.1016/j.jclepro.2019.119155</v>
      </c>
      <c r="BG43" s="1"/>
      <c r="BH43" s="1"/>
      <c r="BI43" s="1" t="n">
        <v>12</v>
      </c>
      <c r="BJ43" s="1" t="s">
        <v>1034</v>
      </c>
      <c r="BK43" s="1" t="s">
        <v>204</v>
      </c>
      <c r="BL43" s="1" t="s">
        <v>1035</v>
      </c>
      <c r="BM43" s="1" t="s">
        <v>1036</v>
      </c>
      <c r="BN43" s="1"/>
      <c r="BO43" s="1"/>
      <c r="BP43" s="1"/>
      <c r="BQ43" s="1"/>
      <c r="BR43" s="1" t="s">
        <v>103</v>
      </c>
      <c r="BS43" s="1" t="s">
        <v>1037</v>
      </c>
      <c r="BT43" s="1" t="str">
        <f aca="false">HYPERLINK("https%3A%2F%2Fwww.webofscience.com%2Fwos%2Fwoscc%2Ffull-record%2FWOS:000505696700072","View Full Record in Web of Science")</f>
        <v>View Full Record in Web of Science</v>
      </c>
    </row>
    <row r="44" customFormat="false" ht="12.75" hidden="false" customHeight="false" outlineLevel="0" collapsed="false">
      <c r="A44" s="1" t="s">
        <v>181</v>
      </c>
      <c r="B44" s="1" t="s">
        <v>1038</v>
      </c>
      <c r="C44" s="1"/>
      <c r="D44" s="1"/>
      <c r="E44" s="1"/>
      <c r="F44" s="1" t="s">
        <v>1039</v>
      </c>
      <c r="G44" s="1"/>
      <c r="H44" s="1"/>
      <c r="I44" s="1" t="s">
        <v>1040</v>
      </c>
      <c r="J44" s="1" t="s">
        <v>1041</v>
      </c>
      <c r="K44" s="1"/>
      <c r="L44" s="1"/>
      <c r="M44" s="1" t="s">
        <v>78</v>
      </c>
      <c r="N44" s="1" t="s">
        <v>907</v>
      </c>
      <c r="O44" s="1"/>
      <c r="P44" s="1"/>
      <c r="Q44" s="1"/>
      <c r="R44" s="1"/>
      <c r="S44" s="1"/>
      <c r="T44" s="1" t="s">
        <v>1042</v>
      </c>
      <c r="U44" s="1" t="s">
        <v>1043</v>
      </c>
      <c r="V44" s="1" t="s">
        <v>1044</v>
      </c>
      <c r="W44" s="1" t="s">
        <v>1045</v>
      </c>
      <c r="X44" s="1" t="s">
        <v>86</v>
      </c>
      <c r="Y44" s="1" t="s">
        <v>1046</v>
      </c>
      <c r="Z44" s="1" t="s">
        <v>1047</v>
      </c>
      <c r="AA44" s="1"/>
      <c r="AB44" s="1"/>
      <c r="AC44" s="1"/>
      <c r="AD44" s="1"/>
      <c r="AE44" s="1"/>
      <c r="AF44" s="1"/>
      <c r="AG44" s="1" t="n">
        <v>54</v>
      </c>
      <c r="AH44" s="1" t="n">
        <v>0</v>
      </c>
      <c r="AI44" s="1" t="n">
        <v>0</v>
      </c>
      <c r="AJ44" s="1" t="n">
        <v>0</v>
      </c>
      <c r="AK44" s="1" t="n">
        <v>0</v>
      </c>
      <c r="AL44" s="1" t="s">
        <v>600</v>
      </c>
      <c r="AM44" s="1" t="s">
        <v>601</v>
      </c>
      <c r="AN44" s="1" t="s">
        <v>602</v>
      </c>
      <c r="AO44" s="1" t="s">
        <v>1048</v>
      </c>
      <c r="AP44" s="1" t="s">
        <v>1049</v>
      </c>
      <c r="AQ44" s="1"/>
      <c r="AR44" s="1" t="s">
        <v>1050</v>
      </c>
      <c r="AS44" s="1" t="s">
        <v>1051</v>
      </c>
      <c r="AT44" s="1" t="s">
        <v>1052</v>
      </c>
      <c r="AU44" s="1" t="n">
        <v>2025</v>
      </c>
      <c r="AV44" s="1"/>
      <c r="AW44" s="1"/>
      <c r="AX44" s="1"/>
      <c r="AY44" s="1"/>
      <c r="AZ44" s="1"/>
      <c r="BA44" s="1"/>
      <c r="BB44" s="1"/>
      <c r="BC44" s="1"/>
      <c r="BD44" s="1"/>
      <c r="BE44" s="1" t="s">
        <v>1053</v>
      </c>
      <c r="BF44" s="1" t="str">
        <f aca="false">HYPERLINK("http://dx.doi.org/10.1002/sd.3357","http://dx.doi.org/10.1002/sd.3357")</f>
        <v>http://dx.doi.org/10.1002/sd.3357</v>
      </c>
      <c r="BG44" s="1"/>
      <c r="BH44" s="1" t="s">
        <v>1054</v>
      </c>
      <c r="BI44" s="1" t="n">
        <v>16</v>
      </c>
      <c r="BJ44" s="1" t="s">
        <v>1055</v>
      </c>
      <c r="BK44" s="1" t="s">
        <v>610</v>
      </c>
      <c r="BL44" s="1" t="s">
        <v>1056</v>
      </c>
      <c r="BM44" s="1" t="s">
        <v>1057</v>
      </c>
      <c r="BN44" s="1"/>
      <c r="BO44" s="1" t="s">
        <v>282</v>
      </c>
      <c r="BP44" s="1"/>
      <c r="BQ44" s="1"/>
      <c r="BR44" s="1" t="s">
        <v>103</v>
      </c>
      <c r="BS44" s="1" t="s">
        <v>1058</v>
      </c>
      <c r="BT44" s="1" t="str">
        <f aca="false">HYPERLINK("https%3A%2F%2Fwww.webofscience.com%2Fwos%2Fwoscc%2Ffull-record%2FWOS:001414333600001","View Full Record in Web of Science")</f>
        <v>View Full Record in Web of Science</v>
      </c>
    </row>
    <row r="45" customFormat="false" ht="12.75" hidden="false" customHeight="false" outlineLevel="0" collapsed="false">
      <c r="A45" s="1" t="s">
        <v>72</v>
      </c>
      <c r="B45" s="1" t="s">
        <v>1059</v>
      </c>
      <c r="C45" s="1"/>
      <c r="D45" s="1"/>
      <c r="E45" s="1" t="s">
        <v>106</v>
      </c>
      <c r="F45" s="1" t="s">
        <v>1060</v>
      </c>
      <c r="G45" s="1"/>
      <c r="H45" s="1"/>
      <c r="I45" s="1" t="s">
        <v>1061</v>
      </c>
      <c r="J45" s="1" t="s">
        <v>1062</v>
      </c>
      <c r="K45" s="1" t="s">
        <v>1063</v>
      </c>
      <c r="L45" s="1"/>
      <c r="M45" s="1" t="s">
        <v>78</v>
      </c>
      <c r="N45" s="1" t="s">
        <v>79</v>
      </c>
      <c r="O45" s="1" t="s">
        <v>1064</v>
      </c>
      <c r="P45" s="1" t="s">
        <v>1065</v>
      </c>
      <c r="Q45" s="1" t="s">
        <v>1066</v>
      </c>
      <c r="R45" s="1"/>
      <c r="S45" s="1"/>
      <c r="T45" s="1" t="s">
        <v>1067</v>
      </c>
      <c r="U45" s="1"/>
      <c r="V45" s="1" t="s">
        <v>1068</v>
      </c>
      <c r="W45" s="1" t="s">
        <v>1069</v>
      </c>
      <c r="X45" s="1" t="s">
        <v>86</v>
      </c>
      <c r="Y45" s="1" t="s">
        <v>1070</v>
      </c>
      <c r="Z45" s="1" t="s">
        <v>1071</v>
      </c>
      <c r="AA45" s="1" t="s">
        <v>1072</v>
      </c>
      <c r="AB45" s="1"/>
      <c r="AC45" s="1"/>
      <c r="AD45" s="1"/>
      <c r="AE45" s="1"/>
      <c r="AF45" s="1"/>
      <c r="AG45" s="1" t="n">
        <v>18</v>
      </c>
      <c r="AH45" s="1" t="n">
        <v>0</v>
      </c>
      <c r="AI45" s="1" t="n">
        <v>0</v>
      </c>
      <c r="AJ45" s="1" t="n">
        <v>3</v>
      </c>
      <c r="AK45" s="1" t="n">
        <v>3</v>
      </c>
      <c r="AL45" s="1" t="s">
        <v>106</v>
      </c>
      <c r="AM45" s="1" t="s">
        <v>95</v>
      </c>
      <c r="AN45" s="1" t="s">
        <v>122</v>
      </c>
      <c r="AO45" s="1" t="s">
        <v>1073</v>
      </c>
      <c r="AP45" s="1"/>
      <c r="AQ45" s="1" t="s">
        <v>1074</v>
      </c>
      <c r="AR45" s="1" t="s">
        <v>1075</v>
      </c>
      <c r="AS45" s="1"/>
      <c r="AT45" s="1"/>
      <c r="AU45" s="1" t="n">
        <v>2024</v>
      </c>
      <c r="AV45" s="1"/>
      <c r="AW45" s="1"/>
      <c r="AX45" s="1"/>
      <c r="AY45" s="1"/>
      <c r="AZ45" s="1"/>
      <c r="BA45" s="1"/>
      <c r="BB45" s="1" t="n">
        <v>462</v>
      </c>
      <c r="BC45" s="1" t="n">
        <v>467</v>
      </c>
      <c r="BD45" s="1"/>
      <c r="BE45" s="1" t="s">
        <v>1076</v>
      </c>
      <c r="BF45" s="1" t="str">
        <f aca="false">HYPERLINK("http://dx.doi.org/10.1109/GEM61861.2024.10585437","http://dx.doi.org/10.1109/GEM61861.2024.10585437")</f>
        <v>http://dx.doi.org/10.1109/GEM61861.2024.10585437</v>
      </c>
      <c r="BG45" s="1"/>
      <c r="BH45" s="1"/>
      <c r="BI45" s="1" t="n">
        <v>6</v>
      </c>
      <c r="BJ45" s="1" t="s">
        <v>99</v>
      </c>
      <c r="BK45" s="1" t="s">
        <v>100</v>
      </c>
      <c r="BL45" s="1" t="s">
        <v>101</v>
      </c>
      <c r="BM45" s="1" t="s">
        <v>1077</v>
      </c>
      <c r="BN45" s="1"/>
      <c r="BO45" s="1"/>
      <c r="BP45" s="1"/>
      <c r="BQ45" s="1"/>
      <c r="BR45" s="1" t="s">
        <v>103</v>
      </c>
      <c r="BS45" s="1" t="s">
        <v>1078</v>
      </c>
      <c r="BT45" s="1" t="str">
        <f aca="false">HYPERLINK("https%3A%2F%2Fwww.webofscience.com%2Fwos%2Fwoscc%2Ffull-record%2FWOS:001281983200021","View Full Record in Web of Science")</f>
        <v>View Full Record in Web of Science</v>
      </c>
    </row>
    <row r="46" customFormat="false" ht="12.75" hidden="false" customHeight="false" outlineLevel="0" collapsed="false">
      <c r="A46" s="1" t="s">
        <v>72</v>
      </c>
      <c r="B46" s="1" t="s">
        <v>1079</v>
      </c>
      <c r="C46" s="1"/>
      <c r="D46" s="1"/>
      <c r="E46" s="1" t="s">
        <v>1080</v>
      </c>
      <c r="F46" s="1" t="s">
        <v>1081</v>
      </c>
      <c r="G46" s="1"/>
      <c r="H46" s="1"/>
      <c r="I46" s="1" t="s">
        <v>1082</v>
      </c>
      <c r="J46" s="1" t="s">
        <v>1083</v>
      </c>
      <c r="K46" s="1"/>
      <c r="L46" s="1"/>
      <c r="M46" s="1" t="s">
        <v>78</v>
      </c>
      <c r="N46" s="1" t="s">
        <v>79</v>
      </c>
      <c r="O46" s="1" t="s">
        <v>1084</v>
      </c>
      <c r="P46" s="1" t="s">
        <v>1085</v>
      </c>
      <c r="Q46" s="1" t="s">
        <v>320</v>
      </c>
      <c r="R46" s="1" t="s">
        <v>1086</v>
      </c>
      <c r="S46" s="1"/>
      <c r="T46" s="1"/>
      <c r="U46" s="1"/>
      <c r="V46" s="1" t="s">
        <v>1087</v>
      </c>
      <c r="W46" s="1" t="s">
        <v>1088</v>
      </c>
      <c r="X46" s="1" t="s">
        <v>86</v>
      </c>
      <c r="Y46" s="1" t="s">
        <v>1089</v>
      </c>
      <c r="Z46" s="1" t="s">
        <v>1090</v>
      </c>
      <c r="AA46" s="1" t="s">
        <v>1091</v>
      </c>
      <c r="AB46" s="1" t="s">
        <v>1092</v>
      </c>
      <c r="AC46" s="1" t="s">
        <v>1093</v>
      </c>
      <c r="AD46" s="1" t="s">
        <v>1094</v>
      </c>
      <c r="AE46" s="1" t="s">
        <v>1095</v>
      </c>
      <c r="AF46" s="1"/>
      <c r="AG46" s="1" t="n">
        <v>23</v>
      </c>
      <c r="AH46" s="1" t="n">
        <v>2</v>
      </c>
      <c r="AI46" s="1" t="n">
        <v>2</v>
      </c>
      <c r="AJ46" s="1" t="n">
        <v>0</v>
      </c>
      <c r="AK46" s="1" t="n">
        <v>2</v>
      </c>
      <c r="AL46" s="1" t="s">
        <v>172</v>
      </c>
      <c r="AM46" s="1" t="s">
        <v>173</v>
      </c>
      <c r="AN46" s="1" t="s">
        <v>174</v>
      </c>
      <c r="AO46" s="1"/>
      <c r="AP46" s="1"/>
      <c r="AQ46" s="1" t="s">
        <v>1096</v>
      </c>
      <c r="AR46" s="1"/>
      <c r="AS46" s="1"/>
      <c r="AT46" s="1"/>
      <c r="AU46" s="1" t="n">
        <v>2022</v>
      </c>
      <c r="AV46" s="1"/>
      <c r="AW46" s="1"/>
      <c r="AX46" s="1"/>
      <c r="AY46" s="1"/>
      <c r="AZ46" s="1"/>
      <c r="BA46" s="1"/>
      <c r="BB46" s="1" t="n">
        <v>30</v>
      </c>
      <c r="BC46" s="1" t="n">
        <v>34</v>
      </c>
      <c r="BD46" s="1"/>
      <c r="BE46" s="1" t="s">
        <v>1097</v>
      </c>
      <c r="BF46" s="1" t="str">
        <f aca="false">HYPERLINK("http://dx.doi.org/10.1109/ICSA-C54293.2022.00013","http://dx.doi.org/10.1109/ICSA-C54293.2022.00013")</f>
        <v>http://dx.doi.org/10.1109/ICSA-C54293.2022.00013</v>
      </c>
      <c r="BG46" s="1"/>
      <c r="BH46" s="1"/>
      <c r="BI46" s="1" t="n">
        <v>5</v>
      </c>
      <c r="BJ46" s="1" t="s">
        <v>1098</v>
      </c>
      <c r="BK46" s="1" t="s">
        <v>100</v>
      </c>
      <c r="BL46" s="1" t="s">
        <v>101</v>
      </c>
      <c r="BM46" s="1" t="s">
        <v>1099</v>
      </c>
      <c r="BN46" s="1"/>
      <c r="BO46" s="1" t="s">
        <v>179</v>
      </c>
      <c r="BP46" s="1"/>
      <c r="BQ46" s="1"/>
      <c r="BR46" s="1" t="s">
        <v>103</v>
      </c>
      <c r="BS46" s="1" t="s">
        <v>1100</v>
      </c>
      <c r="BT46" s="1" t="str">
        <f aca="false">HYPERLINK("https%3A%2F%2Fwww.webofscience.com%2Fwos%2Fwoscc%2Ffull-record%2FWOS:000838715700009","View Full Record in Web of Science")</f>
        <v>View Full Record in Web of Science</v>
      </c>
    </row>
    <row r="47" customFormat="false" ht="12.75" hidden="false" customHeight="false" outlineLevel="0" collapsed="false">
      <c r="A47" s="1" t="s">
        <v>181</v>
      </c>
      <c r="B47" s="1" t="s">
        <v>1101</v>
      </c>
      <c r="C47" s="1"/>
      <c r="D47" s="1"/>
      <c r="E47" s="1"/>
      <c r="F47" s="1" t="s">
        <v>1102</v>
      </c>
      <c r="G47" s="1"/>
      <c r="H47" s="1"/>
      <c r="I47" s="1" t="s">
        <v>1103</v>
      </c>
      <c r="J47" s="1" t="s">
        <v>1104</v>
      </c>
      <c r="K47" s="1"/>
      <c r="L47" s="1"/>
      <c r="M47" s="1" t="s">
        <v>78</v>
      </c>
      <c r="N47" s="1" t="s">
        <v>186</v>
      </c>
      <c r="O47" s="1"/>
      <c r="P47" s="1"/>
      <c r="Q47" s="1"/>
      <c r="R47" s="1"/>
      <c r="S47" s="1"/>
      <c r="T47" s="1" t="s">
        <v>1105</v>
      </c>
      <c r="U47" s="1" t="s">
        <v>1106</v>
      </c>
      <c r="V47" s="1" t="s">
        <v>1107</v>
      </c>
      <c r="W47" s="1" t="s">
        <v>1108</v>
      </c>
      <c r="X47" s="1" t="s">
        <v>86</v>
      </c>
      <c r="Y47" s="1" t="s">
        <v>1109</v>
      </c>
      <c r="Z47" s="1" t="s">
        <v>1110</v>
      </c>
      <c r="AA47" s="1" t="s">
        <v>936</v>
      </c>
      <c r="AB47" s="1" t="s">
        <v>937</v>
      </c>
      <c r="AC47" s="1" t="s">
        <v>1111</v>
      </c>
      <c r="AD47" s="1" t="s">
        <v>1112</v>
      </c>
      <c r="AE47" s="1" t="s">
        <v>1113</v>
      </c>
      <c r="AF47" s="1"/>
      <c r="AG47" s="1" t="n">
        <v>46</v>
      </c>
      <c r="AH47" s="1" t="n">
        <v>8</v>
      </c>
      <c r="AI47" s="1" t="n">
        <v>9</v>
      </c>
      <c r="AJ47" s="1" t="n">
        <v>0</v>
      </c>
      <c r="AK47" s="1" t="n">
        <v>11</v>
      </c>
      <c r="AL47" s="1" t="s">
        <v>195</v>
      </c>
      <c r="AM47" s="1" t="s">
        <v>196</v>
      </c>
      <c r="AN47" s="1" t="s">
        <v>197</v>
      </c>
      <c r="AO47" s="1" t="s">
        <v>1114</v>
      </c>
      <c r="AP47" s="1"/>
      <c r="AQ47" s="1"/>
      <c r="AR47" s="1" t="s">
        <v>1104</v>
      </c>
      <c r="AS47" s="1" t="s">
        <v>1115</v>
      </c>
      <c r="AT47" s="1"/>
      <c r="AU47" s="1" t="n">
        <v>2020</v>
      </c>
      <c r="AV47" s="1" t="n">
        <v>8</v>
      </c>
      <c r="AW47" s="1"/>
      <c r="AX47" s="1"/>
      <c r="AY47" s="1"/>
      <c r="AZ47" s="1"/>
      <c r="BA47" s="1"/>
      <c r="BB47" s="1" t="n">
        <v>154975</v>
      </c>
      <c r="BC47" s="1" t="n">
        <v>154983</v>
      </c>
      <c r="BD47" s="1"/>
      <c r="BE47" s="1" t="s">
        <v>1116</v>
      </c>
      <c r="BF47" s="1" t="str">
        <f aca="false">HYPERLINK("http://dx.doi.org/10.1109/ACCESS.2020.3018874","http://dx.doi.org/10.1109/ACCESS.2020.3018874")</f>
        <v>http://dx.doi.org/10.1109/ACCESS.2020.3018874</v>
      </c>
      <c r="BG47" s="1"/>
      <c r="BH47" s="1"/>
      <c r="BI47" s="1" t="n">
        <v>9</v>
      </c>
      <c r="BJ47" s="1" t="s">
        <v>1117</v>
      </c>
      <c r="BK47" s="1" t="s">
        <v>204</v>
      </c>
      <c r="BL47" s="1" t="s">
        <v>1118</v>
      </c>
      <c r="BM47" s="1" t="s">
        <v>1119</v>
      </c>
      <c r="BN47" s="1"/>
      <c r="BO47" s="1" t="s">
        <v>376</v>
      </c>
      <c r="BP47" s="1"/>
      <c r="BQ47" s="1"/>
      <c r="BR47" s="1" t="s">
        <v>103</v>
      </c>
      <c r="BS47" s="1" t="s">
        <v>1120</v>
      </c>
      <c r="BT47" s="1" t="str">
        <f aca="false">HYPERLINK("https%3A%2F%2Fwww.webofscience.com%2Fwos%2Fwoscc%2Ffull-record%2FWOS:000566117600001","View Full Record in Web of Science")</f>
        <v>View Full Record in Web of Science</v>
      </c>
    </row>
    <row r="48" customFormat="false" ht="12.75" hidden="false" customHeight="false" outlineLevel="0" collapsed="false">
      <c r="A48" s="1" t="s">
        <v>181</v>
      </c>
      <c r="B48" s="1" t="s">
        <v>1121</v>
      </c>
      <c r="C48" s="1"/>
      <c r="D48" s="1"/>
      <c r="E48" s="1"/>
      <c r="F48" s="1" t="s">
        <v>1122</v>
      </c>
      <c r="G48" s="1"/>
      <c r="H48" s="1"/>
      <c r="I48" s="1" t="s">
        <v>1123</v>
      </c>
      <c r="J48" s="1" t="s">
        <v>1124</v>
      </c>
      <c r="K48" s="1"/>
      <c r="L48" s="1"/>
      <c r="M48" s="1" t="s">
        <v>78</v>
      </c>
      <c r="N48" s="1" t="s">
        <v>186</v>
      </c>
      <c r="O48" s="1"/>
      <c r="P48" s="1"/>
      <c r="Q48" s="1"/>
      <c r="R48" s="1"/>
      <c r="S48" s="1"/>
      <c r="T48" s="1" t="s">
        <v>1125</v>
      </c>
      <c r="U48" s="1" t="s">
        <v>1126</v>
      </c>
      <c r="V48" s="1" t="s">
        <v>1127</v>
      </c>
      <c r="W48" s="1" t="s">
        <v>1128</v>
      </c>
      <c r="X48" s="1" t="s">
        <v>86</v>
      </c>
      <c r="Y48" s="1" t="s">
        <v>1129</v>
      </c>
      <c r="Z48" s="1" t="s">
        <v>1130</v>
      </c>
      <c r="AA48" s="1" t="s">
        <v>1131</v>
      </c>
      <c r="AB48" s="1" t="s">
        <v>1132</v>
      </c>
      <c r="AC48" s="1" t="s">
        <v>1133</v>
      </c>
      <c r="AD48" s="1" t="s">
        <v>1134</v>
      </c>
      <c r="AE48" s="1" t="s">
        <v>1135</v>
      </c>
      <c r="AF48" s="1"/>
      <c r="AG48" s="1" t="n">
        <v>45</v>
      </c>
      <c r="AH48" s="1" t="n">
        <v>5</v>
      </c>
      <c r="AI48" s="1" t="n">
        <v>6</v>
      </c>
      <c r="AJ48" s="1" t="n">
        <v>0</v>
      </c>
      <c r="AK48" s="1" t="n">
        <v>2</v>
      </c>
      <c r="AL48" s="1" t="s">
        <v>679</v>
      </c>
      <c r="AM48" s="1" t="s">
        <v>680</v>
      </c>
      <c r="AN48" s="1" t="s">
        <v>681</v>
      </c>
      <c r="AO48" s="1" t="s">
        <v>1136</v>
      </c>
      <c r="AP48" s="1" t="s">
        <v>1137</v>
      </c>
      <c r="AQ48" s="1"/>
      <c r="AR48" s="1" t="s">
        <v>1138</v>
      </c>
      <c r="AS48" s="1" t="s">
        <v>1139</v>
      </c>
      <c r="AT48" s="1" t="s">
        <v>372</v>
      </c>
      <c r="AU48" s="1" t="n">
        <v>2020</v>
      </c>
      <c r="AV48" s="1" t="n">
        <v>28</v>
      </c>
      <c r="AW48" s="1" t="n">
        <v>4</v>
      </c>
      <c r="AX48" s="1"/>
      <c r="AY48" s="1"/>
      <c r="AZ48" s="1"/>
      <c r="BA48" s="1"/>
      <c r="BB48" s="1" t="n">
        <v>1675</v>
      </c>
      <c r="BC48" s="1" t="n">
        <v>1707</v>
      </c>
      <c r="BD48" s="1"/>
      <c r="BE48" s="1" t="s">
        <v>1140</v>
      </c>
      <c r="BF48" s="1" t="str">
        <f aca="false">HYPERLINK("http://dx.doi.org/10.1007/s11219-019-09489-8","http://dx.doi.org/10.1007/s11219-019-09489-8")</f>
        <v>http://dx.doi.org/10.1007/s11219-019-09489-8</v>
      </c>
      <c r="BG48" s="1"/>
      <c r="BH48" s="1" t="s">
        <v>1141</v>
      </c>
      <c r="BI48" s="1" t="n">
        <v>33</v>
      </c>
      <c r="BJ48" s="1" t="s">
        <v>252</v>
      </c>
      <c r="BK48" s="1" t="s">
        <v>398</v>
      </c>
      <c r="BL48" s="1" t="s">
        <v>101</v>
      </c>
      <c r="BM48" s="1" t="s">
        <v>1142</v>
      </c>
      <c r="BN48" s="1"/>
      <c r="BO48" s="1" t="s">
        <v>282</v>
      </c>
      <c r="BP48" s="1"/>
      <c r="BQ48" s="1"/>
      <c r="BR48" s="1" t="s">
        <v>103</v>
      </c>
      <c r="BS48" s="1" t="s">
        <v>1143</v>
      </c>
      <c r="BT48" s="1" t="str">
        <f aca="false">HYPERLINK("https%3A%2F%2Fwww.webofscience.com%2Fwos%2Fwoscc%2Ffull-record%2FWOS:000504580300001","View Full Record in Web of Science")</f>
        <v>View Full Record in Web of Science</v>
      </c>
    </row>
    <row r="49" customFormat="false" ht="12.75" hidden="false" customHeight="false" outlineLevel="0" collapsed="false">
      <c r="A49" s="1" t="s">
        <v>72</v>
      </c>
      <c r="B49" s="1" t="s">
        <v>1144</v>
      </c>
      <c r="C49" s="1"/>
      <c r="D49" s="1"/>
      <c r="E49" s="1" t="s">
        <v>106</v>
      </c>
      <c r="F49" s="1" t="s">
        <v>1145</v>
      </c>
      <c r="G49" s="1"/>
      <c r="H49" s="1"/>
      <c r="I49" s="1" t="s">
        <v>1146</v>
      </c>
      <c r="J49" s="1" t="s">
        <v>1147</v>
      </c>
      <c r="K49" s="1" t="s">
        <v>1148</v>
      </c>
      <c r="L49" s="1"/>
      <c r="M49" s="1" t="s">
        <v>78</v>
      </c>
      <c r="N49" s="1" t="s">
        <v>79</v>
      </c>
      <c r="O49" s="1" t="s">
        <v>1149</v>
      </c>
      <c r="P49" s="1" t="s">
        <v>1150</v>
      </c>
      <c r="Q49" s="1" t="s">
        <v>1151</v>
      </c>
      <c r="R49" s="1" t="s">
        <v>106</v>
      </c>
      <c r="S49" s="1"/>
      <c r="T49" s="1" t="s">
        <v>1152</v>
      </c>
      <c r="U49" s="1" t="s">
        <v>1153</v>
      </c>
      <c r="V49" s="1" t="s">
        <v>1154</v>
      </c>
      <c r="W49" s="1" t="s">
        <v>1155</v>
      </c>
      <c r="X49" s="1" t="s">
        <v>86</v>
      </c>
      <c r="Y49" s="1" t="s">
        <v>1156</v>
      </c>
      <c r="Z49" s="1" t="s">
        <v>1157</v>
      </c>
      <c r="AA49" s="1" t="s">
        <v>1158</v>
      </c>
      <c r="AB49" s="1"/>
      <c r="AC49" s="1" t="s">
        <v>1159</v>
      </c>
      <c r="AD49" s="1" t="s">
        <v>1160</v>
      </c>
      <c r="AE49" s="1" t="s">
        <v>1161</v>
      </c>
      <c r="AF49" s="1"/>
      <c r="AG49" s="1" t="n">
        <v>15</v>
      </c>
      <c r="AH49" s="1" t="n">
        <v>0</v>
      </c>
      <c r="AI49" s="1" t="n">
        <v>0</v>
      </c>
      <c r="AJ49" s="1" t="n">
        <v>0</v>
      </c>
      <c r="AK49" s="1" t="n">
        <v>0</v>
      </c>
      <c r="AL49" s="1" t="s">
        <v>106</v>
      </c>
      <c r="AM49" s="1" t="s">
        <v>95</v>
      </c>
      <c r="AN49" s="1" t="s">
        <v>122</v>
      </c>
      <c r="AO49" s="1" t="s">
        <v>1162</v>
      </c>
      <c r="AP49" s="1"/>
      <c r="AQ49" s="1" t="s">
        <v>1163</v>
      </c>
      <c r="AR49" s="1" t="s">
        <v>1164</v>
      </c>
      <c r="AS49" s="1"/>
      <c r="AT49" s="1"/>
      <c r="AU49" s="1" t="n">
        <v>2024</v>
      </c>
      <c r="AV49" s="1"/>
      <c r="AW49" s="1"/>
      <c r="AX49" s="1"/>
      <c r="AY49" s="1"/>
      <c r="AZ49" s="1"/>
      <c r="BA49" s="1"/>
      <c r="BB49" s="1"/>
      <c r="BC49" s="1"/>
      <c r="BD49" s="1"/>
      <c r="BE49" s="1" t="s">
        <v>1165</v>
      </c>
      <c r="BF49" s="1" t="str">
        <f aca="false">HYPERLINK("http://dx.doi.org/10.1109/ISCC61673.2024.10733715","http://dx.doi.org/10.1109/ISCC61673.2024.10733715")</f>
        <v>http://dx.doi.org/10.1109/ISCC61673.2024.10733715</v>
      </c>
      <c r="BG49" s="1"/>
      <c r="BH49" s="1"/>
      <c r="BI49" s="1" t="n">
        <v>6</v>
      </c>
      <c r="BJ49" s="1" t="s">
        <v>1166</v>
      </c>
      <c r="BK49" s="1" t="s">
        <v>100</v>
      </c>
      <c r="BL49" s="1" t="s">
        <v>1118</v>
      </c>
      <c r="BM49" s="1" t="s">
        <v>1167</v>
      </c>
      <c r="BN49" s="1"/>
      <c r="BO49" s="1"/>
      <c r="BP49" s="1"/>
      <c r="BQ49" s="1"/>
      <c r="BR49" s="1" t="s">
        <v>103</v>
      </c>
      <c r="BS49" s="1" t="s">
        <v>1168</v>
      </c>
      <c r="BT49" s="1" t="str">
        <f aca="false">HYPERLINK("https%3A%2F%2Fwww.webofscience.com%2Fwos%2Fwoscc%2Ffull-record%2FWOS:001363176200152","View Full Record in Web of Science")</f>
        <v>View Full Record in Web of Science</v>
      </c>
    </row>
    <row r="50" customFormat="false" ht="12.75" hidden="false" customHeight="false" outlineLevel="0" collapsed="false">
      <c r="A50" s="1" t="s">
        <v>72</v>
      </c>
      <c r="B50" s="1" t="s">
        <v>1169</v>
      </c>
      <c r="C50" s="1"/>
      <c r="D50" s="1"/>
      <c r="E50" s="1" t="s">
        <v>106</v>
      </c>
      <c r="F50" s="1" t="s">
        <v>1170</v>
      </c>
      <c r="G50" s="1"/>
      <c r="H50" s="1"/>
      <c r="I50" s="1" t="s">
        <v>1171</v>
      </c>
      <c r="J50" s="1" t="s">
        <v>1172</v>
      </c>
      <c r="K50" s="1" t="s">
        <v>1173</v>
      </c>
      <c r="L50" s="1"/>
      <c r="M50" s="1" t="s">
        <v>78</v>
      </c>
      <c r="N50" s="1" t="s">
        <v>79</v>
      </c>
      <c r="O50" s="1" t="s">
        <v>1174</v>
      </c>
      <c r="P50" s="1" t="s">
        <v>1175</v>
      </c>
      <c r="Q50" s="1" t="s">
        <v>1176</v>
      </c>
      <c r="R50" s="1" t="s">
        <v>1177</v>
      </c>
      <c r="S50" s="1"/>
      <c r="T50" s="1" t="s">
        <v>1178</v>
      </c>
      <c r="U50" s="1" t="s">
        <v>1179</v>
      </c>
      <c r="V50" s="1" t="s">
        <v>1180</v>
      </c>
      <c r="W50" s="1" t="s">
        <v>1181</v>
      </c>
      <c r="X50" s="1" t="s">
        <v>86</v>
      </c>
      <c r="Y50" s="1" t="s">
        <v>1182</v>
      </c>
      <c r="Z50" s="1" t="s">
        <v>1183</v>
      </c>
      <c r="AA50" s="1" t="s">
        <v>1184</v>
      </c>
      <c r="AB50" s="1" t="s">
        <v>1185</v>
      </c>
      <c r="AC50" s="1" t="s">
        <v>1186</v>
      </c>
      <c r="AD50" s="1" t="s">
        <v>1186</v>
      </c>
      <c r="AE50" s="1" t="s">
        <v>1187</v>
      </c>
      <c r="AF50" s="1"/>
      <c r="AG50" s="1" t="n">
        <v>37</v>
      </c>
      <c r="AH50" s="1" t="n">
        <v>1</v>
      </c>
      <c r="AI50" s="1" t="n">
        <v>1</v>
      </c>
      <c r="AJ50" s="1" t="n">
        <v>1</v>
      </c>
      <c r="AK50" s="1" t="n">
        <v>1</v>
      </c>
      <c r="AL50" s="1" t="s">
        <v>172</v>
      </c>
      <c r="AM50" s="1" t="s">
        <v>173</v>
      </c>
      <c r="AN50" s="1" t="s">
        <v>174</v>
      </c>
      <c r="AO50" s="1" t="s">
        <v>1188</v>
      </c>
      <c r="AP50" s="1"/>
      <c r="AQ50" s="1" t="s">
        <v>1189</v>
      </c>
      <c r="AR50" s="1" t="s">
        <v>1190</v>
      </c>
      <c r="AS50" s="1"/>
      <c r="AT50" s="1"/>
      <c r="AU50" s="1" t="n">
        <v>2023</v>
      </c>
      <c r="AV50" s="1"/>
      <c r="AW50" s="1"/>
      <c r="AX50" s="1"/>
      <c r="AY50" s="1"/>
      <c r="AZ50" s="1"/>
      <c r="BA50" s="1"/>
      <c r="BB50" s="1" t="n">
        <v>1</v>
      </c>
      <c r="BC50" s="1" t="n">
        <v>9</v>
      </c>
      <c r="BD50" s="1"/>
      <c r="BE50" s="1" t="s">
        <v>1191</v>
      </c>
      <c r="BF50" s="1" t="str">
        <f aca="false">HYPERLINK("http://dx.doi.org/10.1109/ICSTW58534.2023.00015","http://dx.doi.org/10.1109/ICSTW58534.2023.00015")</f>
        <v>http://dx.doi.org/10.1109/ICSTW58534.2023.00015</v>
      </c>
      <c r="BG50" s="1"/>
      <c r="BH50" s="1"/>
      <c r="BI50" s="1" t="n">
        <v>9</v>
      </c>
      <c r="BJ50" s="1" t="s">
        <v>994</v>
      </c>
      <c r="BK50" s="1" t="s">
        <v>100</v>
      </c>
      <c r="BL50" s="1" t="s">
        <v>101</v>
      </c>
      <c r="BM50" s="1" t="s">
        <v>1192</v>
      </c>
      <c r="BN50" s="1"/>
      <c r="BO50" s="1" t="s">
        <v>179</v>
      </c>
      <c r="BP50" s="1"/>
      <c r="BQ50" s="1"/>
      <c r="BR50" s="1" t="s">
        <v>103</v>
      </c>
      <c r="BS50" s="1" t="s">
        <v>1193</v>
      </c>
      <c r="BT50" s="1" t="str">
        <f aca="false">HYPERLINK("https%3A%2F%2Fwww.webofscience.com%2Fwos%2Fwoscc%2Ffull-record%2FWOS:001009223100001","View Full Record in Web of Science")</f>
        <v>View Full Record in Web of Science</v>
      </c>
    </row>
    <row r="51" customFormat="false" ht="12.75" hidden="false" customHeight="false" outlineLevel="0" collapsed="false">
      <c r="A51" s="1" t="s">
        <v>181</v>
      </c>
      <c r="B51" s="1" t="s">
        <v>1194</v>
      </c>
      <c r="C51" s="1"/>
      <c r="D51" s="1"/>
      <c r="E51" s="1"/>
      <c r="F51" s="1" t="s">
        <v>1195</v>
      </c>
      <c r="G51" s="1"/>
      <c r="H51" s="1"/>
      <c r="I51" s="1" t="s">
        <v>1196</v>
      </c>
      <c r="J51" s="1" t="s">
        <v>1104</v>
      </c>
      <c r="K51" s="1"/>
      <c r="L51" s="1"/>
      <c r="M51" s="1" t="s">
        <v>78</v>
      </c>
      <c r="N51" s="1" t="s">
        <v>186</v>
      </c>
      <c r="O51" s="1"/>
      <c r="P51" s="1"/>
      <c r="Q51" s="1"/>
      <c r="R51" s="1"/>
      <c r="S51" s="1"/>
      <c r="T51" s="1" t="s">
        <v>1197</v>
      </c>
      <c r="U51" s="1" t="s">
        <v>1198</v>
      </c>
      <c r="V51" s="1" t="s">
        <v>1199</v>
      </c>
      <c r="W51" s="1" t="s">
        <v>1200</v>
      </c>
      <c r="X51" s="1" t="s">
        <v>86</v>
      </c>
      <c r="Y51" s="1" t="s">
        <v>1201</v>
      </c>
      <c r="Z51" s="1" t="s">
        <v>1202</v>
      </c>
      <c r="AA51" s="1" t="s">
        <v>1203</v>
      </c>
      <c r="AB51" s="1" t="s">
        <v>1204</v>
      </c>
      <c r="AC51" s="1" t="s">
        <v>1205</v>
      </c>
      <c r="AD51" s="1" t="s">
        <v>1205</v>
      </c>
      <c r="AE51" s="1" t="s">
        <v>1206</v>
      </c>
      <c r="AF51" s="1"/>
      <c r="AG51" s="1" t="n">
        <v>57</v>
      </c>
      <c r="AH51" s="1" t="n">
        <v>1</v>
      </c>
      <c r="AI51" s="1" t="n">
        <v>1</v>
      </c>
      <c r="AJ51" s="1" t="n">
        <v>3</v>
      </c>
      <c r="AK51" s="1" t="n">
        <v>4</v>
      </c>
      <c r="AL51" s="1" t="s">
        <v>195</v>
      </c>
      <c r="AM51" s="1" t="s">
        <v>196</v>
      </c>
      <c r="AN51" s="1" t="s">
        <v>197</v>
      </c>
      <c r="AO51" s="1" t="s">
        <v>1114</v>
      </c>
      <c r="AP51" s="1"/>
      <c r="AQ51" s="1"/>
      <c r="AR51" s="1" t="s">
        <v>1104</v>
      </c>
      <c r="AS51" s="1" t="s">
        <v>1115</v>
      </c>
      <c r="AT51" s="1"/>
      <c r="AU51" s="1" t="n">
        <v>2023</v>
      </c>
      <c r="AV51" s="1" t="n">
        <v>11</v>
      </c>
      <c r="AW51" s="1"/>
      <c r="AX51" s="1"/>
      <c r="AY51" s="1"/>
      <c r="AZ51" s="1"/>
      <c r="BA51" s="1"/>
      <c r="BB51" s="1" t="n">
        <v>114220</v>
      </c>
      <c r="BC51" s="1" t="n">
        <v>114237</v>
      </c>
      <c r="BD51" s="1"/>
      <c r="BE51" s="1" t="s">
        <v>1207</v>
      </c>
      <c r="BF51" s="1" t="str">
        <f aca="false">HYPERLINK("http://dx.doi.org/10.1109/ACCESS.2023.3324612","http://dx.doi.org/10.1109/ACCESS.2023.3324612")</f>
        <v>http://dx.doi.org/10.1109/ACCESS.2023.3324612</v>
      </c>
      <c r="BG51" s="1"/>
      <c r="BH51" s="1"/>
      <c r="BI51" s="1" t="n">
        <v>18</v>
      </c>
      <c r="BJ51" s="1" t="s">
        <v>1117</v>
      </c>
      <c r="BK51" s="1" t="s">
        <v>204</v>
      </c>
      <c r="BL51" s="1" t="s">
        <v>1118</v>
      </c>
      <c r="BM51" s="1" t="s">
        <v>1208</v>
      </c>
      <c r="BN51" s="1"/>
      <c r="BO51" s="1" t="s">
        <v>1209</v>
      </c>
      <c r="BP51" s="1"/>
      <c r="BQ51" s="1"/>
      <c r="BR51" s="1" t="s">
        <v>103</v>
      </c>
      <c r="BS51" s="1" t="s">
        <v>1210</v>
      </c>
      <c r="BT51" s="1" t="str">
        <f aca="false">HYPERLINK("https%3A%2F%2Fwww.webofscience.com%2Fwos%2Fwoscc%2Ffull-record%2FWOS:001092086400001","View Full Record in Web of Science")</f>
        <v>View Full Record in Web of Science</v>
      </c>
    </row>
    <row r="52" customFormat="false" ht="12.75" hidden="false" customHeight="false" outlineLevel="0" collapsed="false">
      <c r="A52" s="1" t="s">
        <v>181</v>
      </c>
      <c r="B52" s="1" t="s">
        <v>1211</v>
      </c>
      <c r="C52" s="1"/>
      <c r="D52" s="1"/>
      <c r="E52" s="1"/>
      <c r="F52" s="1" t="s">
        <v>1212</v>
      </c>
      <c r="G52" s="1"/>
      <c r="H52" s="1"/>
      <c r="I52" s="1" t="s">
        <v>1213</v>
      </c>
      <c r="J52" s="1" t="s">
        <v>1214</v>
      </c>
      <c r="K52" s="1"/>
      <c r="L52" s="1"/>
      <c r="M52" s="1" t="s">
        <v>78</v>
      </c>
      <c r="N52" s="1" t="s">
        <v>186</v>
      </c>
      <c r="O52" s="1"/>
      <c r="P52" s="1"/>
      <c r="Q52" s="1"/>
      <c r="R52" s="1"/>
      <c r="S52" s="1"/>
      <c r="T52" s="1" t="s">
        <v>1215</v>
      </c>
      <c r="U52" s="1"/>
      <c r="V52" s="1" t="s">
        <v>1216</v>
      </c>
      <c r="W52" s="1" t="s">
        <v>1217</v>
      </c>
      <c r="X52" s="1" t="s">
        <v>86</v>
      </c>
      <c r="Y52" s="1" t="s">
        <v>1218</v>
      </c>
      <c r="Z52" s="1" t="s">
        <v>1219</v>
      </c>
      <c r="AA52" s="1"/>
      <c r="AB52" s="1"/>
      <c r="AC52" s="1"/>
      <c r="AD52" s="1"/>
      <c r="AE52" s="1"/>
      <c r="AF52" s="1"/>
      <c r="AG52" s="1" t="n">
        <v>49</v>
      </c>
      <c r="AH52" s="1" t="n">
        <v>19</v>
      </c>
      <c r="AI52" s="1" t="n">
        <v>19</v>
      </c>
      <c r="AJ52" s="1" t="n">
        <v>0</v>
      </c>
      <c r="AK52" s="1" t="n">
        <v>11</v>
      </c>
      <c r="AL52" s="1" t="s">
        <v>1220</v>
      </c>
      <c r="AM52" s="1" t="s">
        <v>1221</v>
      </c>
      <c r="AN52" s="1" t="s">
        <v>1222</v>
      </c>
      <c r="AO52" s="1" t="s">
        <v>1223</v>
      </c>
      <c r="AP52" s="1" t="s">
        <v>1224</v>
      </c>
      <c r="AQ52" s="1"/>
      <c r="AR52" s="1" t="s">
        <v>1225</v>
      </c>
      <c r="AS52" s="1" t="s">
        <v>1226</v>
      </c>
      <c r="AT52" s="1"/>
      <c r="AU52" s="1" t="n">
        <v>2020</v>
      </c>
      <c r="AV52" s="1" t="n">
        <v>28</v>
      </c>
      <c r="AW52" s="1" t="n">
        <v>6</v>
      </c>
      <c r="AX52" s="1"/>
      <c r="AY52" s="1"/>
      <c r="AZ52" s="1"/>
      <c r="BA52" s="1"/>
      <c r="BB52" s="1" t="n">
        <v>1183</v>
      </c>
      <c r="BC52" s="1" t="n">
        <v>1199</v>
      </c>
      <c r="BD52" s="1"/>
      <c r="BE52" s="1" t="s">
        <v>1227</v>
      </c>
      <c r="BF52" s="1" t="str">
        <f aca="false">HYPERLINK("http://dx.doi.org/10.1080/09654313.2019.1614150","http://dx.doi.org/10.1080/09654313.2019.1614150")</f>
        <v>http://dx.doi.org/10.1080/09654313.2019.1614150</v>
      </c>
      <c r="BG52" s="1"/>
      <c r="BH52" s="1"/>
      <c r="BI52" s="1" t="n">
        <v>17</v>
      </c>
      <c r="BJ52" s="1" t="s">
        <v>1228</v>
      </c>
      <c r="BK52" s="1" t="s">
        <v>610</v>
      </c>
      <c r="BL52" s="1" t="s">
        <v>1229</v>
      </c>
      <c r="BM52" s="1" t="s">
        <v>1230</v>
      </c>
      <c r="BN52" s="1"/>
      <c r="BO52" s="1" t="s">
        <v>612</v>
      </c>
      <c r="BP52" s="1"/>
      <c r="BQ52" s="1"/>
      <c r="BR52" s="1" t="s">
        <v>103</v>
      </c>
      <c r="BS52" s="1" t="s">
        <v>1231</v>
      </c>
      <c r="BT52" s="1" t="str">
        <f aca="false">HYPERLINK("https%3A%2F%2Fwww.webofscience.com%2Fwos%2Fwoscc%2Ffull-record%2FWOS:000618826500007","View Full Record in Web of Science")</f>
        <v>View Full Record in Web of Science</v>
      </c>
    </row>
    <row r="53" customFormat="false" ht="12.75" hidden="false" customHeight="false" outlineLevel="0" collapsed="false">
      <c r="A53" s="1" t="s">
        <v>72</v>
      </c>
      <c r="B53" s="1" t="s">
        <v>1232</v>
      </c>
      <c r="C53" s="1"/>
      <c r="D53" s="1" t="s">
        <v>1233</v>
      </c>
      <c r="E53" s="1"/>
      <c r="F53" s="1" t="s">
        <v>1234</v>
      </c>
      <c r="G53" s="1"/>
      <c r="H53" s="1"/>
      <c r="I53" s="1" t="s">
        <v>1235</v>
      </c>
      <c r="J53" s="1" t="s">
        <v>1236</v>
      </c>
      <c r="K53" s="1" t="s">
        <v>976</v>
      </c>
      <c r="L53" s="1"/>
      <c r="M53" s="1" t="s">
        <v>78</v>
      </c>
      <c r="N53" s="1" t="s">
        <v>79</v>
      </c>
      <c r="O53" s="1" t="s">
        <v>1237</v>
      </c>
      <c r="P53" s="1" t="s">
        <v>1238</v>
      </c>
      <c r="Q53" s="1" t="s">
        <v>1239</v>
      </c>
      <c r="R53" s="1"/>
      <c r="S53" s="1"/>
      <c r="T53" s="1" t="s">
        <v>1240</v>
      </c>
      <c r="U53" s="1" t="s">
        <v>1241</v>
      </c>
      <c r="V53" s="1" t="s">
        <v>1242</v>
      </c>
      <c r="W53" s="1" t="s">
        <v>1243</v>
      </c>
      <c r="X53" s="1" t="s">
        <v>86</v>
      </c>
      <c r="Y53" s="1" t="s">
        <v>1244</v>
      </c>
      <c r="Z53" s="1" t="s">
        <v>1245</v>
      </c>
      <c r="AA53" s="1" t="s">
        <v>1246</v>
      </c>
      <c r="AB53" s="1" t="s">
        <v>1247</v>
      </c>
      <c r="AC53" s="1" t="s">
        <v>1248</v>
      </c>
      <c r="AD53" s="1" t="s">
        <v>1249</v>
      </c>
      <c r="AE53" s="1" t="s">
        <v>1250</v>
      </c>
      <c r="AF53" s="1"/>
      <c r="AG53" s="1" t="n">
        <v>26</v>
      </c>
      <c r="AH53" s="1" t="n">
        <v>0</v>
      </c>
      <c r="AI53" s="1" t="n">
        <v>0</v>
      </c>
      <c r="AJ53" s="1" t="n">
        <v>5</v>
      </c>
      <c r="AK53" s="1" t="n">
        <v>5</v>
      </c>
      <c r="AL53" s="1" t="s">
        <v>302</v>
      </c>
      <c r="AM53" s="1" t="s">
        <v>303</v>
      </c>
      <c r="AN53" s="1" t="s">
        <v>304</v>
      </c>
      <c r="AO53" s="1" t="s">
        <v>989</v>
      </c>
      <c r="AP53" s="1" t="s">
        <v>990</v>
      </c>
      <c r="AQ53" s="1" t="s">
        <v>1251</v>
      </c>
      <c r="AR53" s="1" t="s">
        <v>992</v>
      </c>
      <c r="AS53" s="1"/>
      <c r="AT53" s="1"/>
      <c r="AU53" s="1" t="n">
        <v>2024</v>
      </c>
      <c r="AV53" s="1" t="n">
        <v>14716</v>
      </c>
      <c r="AW53" s="1"/>
      <c r="AX53" s="1"/>
      <c r="AY53" s="1"/>
      <c r="AZ53" s="1"/>
      <c r="BA53" s="1"/>
      <c r="BB53" s="1" t="n">
        <v>390</v>
      </c>
      <c r="BC53" s="1" t="n">
        <v>400</v>
      </c>
      <c r="BD53" s="1"/>
      <c r="BE53" s="1" t="s">
        <v>1252</v>
      </c>
      <c r="BF53" s="1" t="str">
        <f aca="false">HYPERLINK("http://dx.doi.org/10.1007/978-3-031-61362-3_28","http://dx.doi.org/10.1007/978-3-031-61362-3_28")</f>
        <v>http://dx.doi.org/10.1007/978-3-031-61362-3_28</v>
      </c>
      <c r="BG53" s="1"/>
      <c r="BH53" s="1"/>
      <c r="BI53" s="1" t="n">
        <v>11</v>
      </c>
      <c r="BJ53" s="1" t="s">
        <v>1253</v>
      </c>
      <c r="BK53" s="1" t="s">
        <v>1254</v>
      </c>
      <c r="BL53" s="1" t="s">
        <v>1255</v>
      </c>
      <c r="BM53" s="1" t="s">
        <v>1256</v>
      </c>
      <c r="BN53" s="1"/>
      <c r="BO53" s="1"/>
      <c r="BP53" s="1"/>
      <c r="BQ53" s="1"/>
      <c r="BR53" s="1" t="s">
        <v>103</v>
      </c>
      <c r="BS53" s="1" t="s">
        <v>1257</v>
      </c>
      <c r="BT53" s="1" t="str">
        <f aca="false">HYPERLINK("https%3A%2F%2Fwww.webofscience.com%2Fwos%2Fwoscc%2Ffull-record%2FWOS:001275716600028","View Full Record in Web of Science")</f>
        <v>View Full Record in Web of Science</v>
      </c>
    </row>
    <row r="54" customFormat="false" ht="12.75" hidden="false" customHeight="false" outlineLevel="0" collapsed="false">
      <c r="A54" s="1" t="s">
        <v>181</v>
      </c>
      <c r="B54" s="1" t="s">
        <v>1258</v>
      </c>
      <c r="C54" s="1"/>
      <c r="D54" s="1"/>
      <c r="E54" s="1"/>
      <c r="F54" s="1" t="s">
        <v>1259</v>
      </c>
      <c r="G54" s="1"/>
      <c r="H54" s="1"/>
      <c r="I54" s="1" t="s">
        <v>1260</v>
      </c>
      <c r="J54" s="1" t="s">
        <v>1261</v>
      </c>
      <c r="K54" s="1"/>
      <c r="L54" s="1"/>
      <c r="M54" s="1" t="s">
        <v>78</v>
      </c>
      <c r="N54" s="1" t="s">
        <v>186</v>
      </c>
      <c r="O54" s="1"/>
      <c r="P54" s="1"/>
      <c r="Q54" s="1"/>
      <c r="R54" s="1"/>
      <c r="S54" s="1"/>
      <c r="T54" s="1" t="s">
        <v>1262</v>
      </c>
      <c r="U54" s="1" t="s">
        <v>1263</v>
      </c>
      <c r="V54" s="1" t="s">
        <v>1264</v>
      </c>
      <c r="W54" s="1" t="s">
        <v>1265</v>
      </c>
      <c r="X54" s="1" t="s">
        <v>86</v>
      </c>
      <c r="Y54" s="1" t="s">
        <v>1266</v>
      </c>
      <c r="Z54" s="1" t="s">
        <v>1267</v>
      </c>
      <c r="AA54" s="1" t="s">
        <v>1268</v>
      </c>
      <c r="AB54" s="1" t="s">
        <v>1269</v>
      </c>
      <c r="AC54" s="1" t="s">
        <v>1270</v>
      </c>
      <c r="AD54" s="1" t="s">
        <v>1270</v>
      </c>
      <c r="AE54" s="1" t="s">
        <v>1271</v>
      </c>
      <c r="AF54" s="1"/>
      <c r="AG54" s="1" t="n">
        <v>33</v>
      </c>
      <c r="AH54" s="1" t="n">
        <v>11</v>
      </c>
      <c r="AI54" s="1" t="n">
        <v>11</v>
      </c>
      <c r="AJ54" s="1" t="n">
        <v>1</v>
      </c>
      <c r="AK54" s="1" t="n">
        <v>29</v>
      </c>
      <c r="AL54" s="1" t="s">
        <v>195</v>
      </c>
      <c r="AM54" s="1" t="s">
        <v>196</v>
      </c>
      <c r="AN54" s="1" t="s">
        <v>197</v>
      </c>
      <c r="AO54" s="1" t="s">
        <v>1272</v>
      </c>
      <c r="AP54" s="1" t="s">
        <v>1273</v>
      </c>
      <c r="AQ54" s="1"/>
      <c r="AR54" s="1" t="s">
        <v>1274</v>
      </c>
      <c r="AS54" s="1" t="s">
        <v>1275</v>
      </c>
      <c r="AT54" s="1" t="s">
        <v>1276</v>
      </c>
      <c r="AU54" s="1" t="n">
        <v>2022</v>
      </c>
      <c r="AV54" s="1" t="n">
        <v>22</v>
      </c>
      <c r="AW54" s="1" t="n">
        <v>20</v>
      </c>
      <c r="AX54" s="1"/>
      <c r="AY54" s="1"/>
      <c r="AZ54" s="1"/>
      <c r="BA54" s="1"/>
      <c r="BB54" s="1" t="n">
        <v>19739</v>
      </c>
      <c r="BC54" s="1" t="n">
        <v>19749</v>
      </c>
      <c r="BD54" s="1"/>
      <c r="BE54" s="1" t="s">
        <v>1277</v>
      </c>
      <c r="BF54" s="1" t="str">
        <f aca="false">HYPERLINK("http://dx.doi.org/10.1109/JSEN.2022.3204505","http://dx.doi.org/10.1109/JSEN.2022.3204505")</f>
        <v>http://dx.doi.org/10.1109/JSEN.2022.3204505</v>
      </c>
      <c r="BG54" s="1"/>
      <c r="BH54" s="1"/>
      <c r="BI54" s="1" t="n">
        <v>11</v>
      </c>
      <c r="BJ54" s="1" t="s">
        <v>1278</v>
      </c>
      <c r="BK54" s="1" t="s">
        <v>204</v>
      </c>
      <c r="BL54" s="1" t="s">
        <v>1279</v>
      </c>
      <c r="BM54" s="1" t="s">
        <v>1280</v>
      </c>
      <c r="BN54" s="1"/>
      <c r="BO54" s="1" t="s">
        <v>1281</v>
      </c>
      <c r="BP54" s="1"/>
      <c r="BQ54" s="1"/>
      <c r="BR54" s="1" t="s">
        <v>103</v>
      </c>
      <c r="BS54" s="1" t="s">
        <v>1282</v>
      </c>
      <c r="BT54" s="1" t="str">
        <f aca="false">HYPERLINK("https%3A%2F%2Fwww.webofscience.com%2Fwos%2Fwoscc%2Ffull-record%2FWOS:000870341900066","View Full Record in Web of Science")</f>
        <v>View Full Record in Web of Science</v>
      </c>
    </row>
    <row r="55" customFormat="false" ht="12.75" hidden="false" customHeight="false" outlineLevel="0" collapsed="false">
      <c r="A55" s="1" t="s">
        <v>181</v>
      </c>
      <c r="B55" s="1" t="s">
        <v>1283</v>
      </c>
      <c r="C55" s="1"/>
      <c r="D55" s="1"/>
      <c r="E55" s="1"/>
      <c r="F55" s="1" t="s">
        <v>1284</v>
      </c>
      <c r="G55" s="1"/>
      <c r="H55" s="1"/>
      <c r="I55" s="1" t="s">
        <v>1285</v>
      </c>
      <c r="J55" s="1" t="s">
        <v>1286</v>
      </c>
      <c r="K55" s="1"/>
      <c r="L55" s="1"/>
      <c r="M55" s="1" t="s">
        <v>78</v>
      </c>
      <c r="N55" s="1" t="s">
        <v>618</v>
      </c>
      <c r="O55" s="1"/>
      <c r="P55" s="1"/>
      <c r="Q55" s="1"/>
      <c r="R55" s="1"/>
      <c r="S55" s="1"/>
      <c r="T55" s="1" t="s">
        <v>1287</v>
      </c>
      <c r="U55" s="1" t="s">
        <v>1288</v>
      </c>
      <c r="V55" s="1" t="s">
        <v>1289</v>
      </c>
      <c r="W55" s="1" t="s">
        <v>1290</v>
      </c>
      <c r="X55" s="1" t="s">
        <v>86</v>
      </c>
      <c r="Y55" s="1" t="s">
        <v>1291</v>
      </c>
      <c r="Z55" s="1" t="s">
        <v>1292</v>
      </c>
      <c r="AA55" s="1" t="s">
        <v>1293</v>
      </c>
      <c r="AB55" s="1"/>
      <c r="AC55" s="1" t="s">
        <v>1294</v>
      </c>
      <c r="AD55" s="1" t="s">
        <v>1294</v>
      </c>
      <c r="AE55" s="1" t="s">
        <v>1295</v>
      </c>
      <c r="AF55" s="1"/>
      <c r="AG55" s="1" t="n">
        <v>56</v>
      </c>
      <c r="AH55" s="1" t="n">
        <v>10</v>
      </c>
      <c r="AI55" s="1" t="n">
        <v>10</v>
      </c>
      <c r="AJ55" s="1" t="n">
        <v>3</v>
      </c>
      <c r="AK55" s="1" t="n">
        <v>11</v>
      </c>
      <c r="AL55" s="1" t="s">
        <v>938</v>
      </c>
      <c r="AM55" s="1" t="s">
        <v>939</v>
      </c>
      <c r="AN55" s="1" t="s">
        <v>940</v>
      </c>
      <c r="AO55" s="1"/>
      <c r="AP55" s="1" t="s">
        <v>1296</v>
      </c>
      <c r="AQ55" s="1"/>
      <c r="AR55" s="1" t="s">
        <v>1297</v>
      </c>
      <c r="AS55" s="1" t="s">
        <v>1298</v>
      </c>
      <c r="AT55" s="1" t="s">
        <v>1299</v>
      </c>
      <c r="AU55" s="1" t="n">
        <v>2022</v>
      </c>
      <c r="AV55" s="1" t="n">
        <v>3</v>
      </c>
      <c r="AW55" s="1"/>
      <c r="AX55" s="1"/>
      <c r="AY55" s="1"/>
      <c r="AZ55" s="1"/>
      <c r="BA55" s="1"/>
      <c r="BB55" s="1"/>
      <c r="BC55" s="1"/>
      <c r="BD55" s="1" t="n">
        <v>910019</v>
      </c>
      <c r="BE55" s="1" t="s">
        <v>1300</v>
      </c>
      <c r="BF55" s="1" t="str">
        <f aca="false">HYPERLINK("http://dx.doi.org/10.3389/fnrgo.2022.910019","http://dx.doi.org/10.3389/fnrgo.2022.910019")</f>
        <v>http://dx.doi.org/10.3389/fnrgo.2022.910019</v>
      </c>
      <c r="BG55" s="1"/>
      <c r="BH55" s="1"/>
      <c r="BI55" s="1" t="n">
        <v>15</v>
      </c>
      <c r="BJ55" s="1" t="s">
        <v>1301</v>
      </c>
      <c r="BK55" s="1" t="s">
        <v>253</v>
      </c>
      <c r="BL55" s="1" t="s">
        <v>1302</v>
      </c>
      <c r="BM55" s="1" t="s">
        <v>1303</v>
      </c>
      <c r="BN55" s="1" t="n">
        <v>38235460</v>
      </c>
      <c r="BO55" s="1" t="s">
        <v>401</v>
      </c>
      <c r="BP55" s="1"/>
      <c r="BQ55" s="1"/>
      <c r="BR55" s="1" t="s">
        <v>103</v>
      </c>
      <c r="BS55" s="1" t="s">
        <v>1304</v>
      </c>
      <c r="BT55" s="1" t="str">
        <f aca="false">HYPERLINK("https%3A%2F%2Fwww.webofscience.com%2Fwos%2Fwoscc%2Ffull-record%2FWOS:001106887100001","View Full Record in Web of Science")</f>
        <v>View Full Record in Web of Science</v>
      </c>
    </row>
    <row r="56" customFormat="false" ht="12.75" hidden="false" customHeight="false" outlineLevel="0" collapsed="false">
      <c r="A56" s="1" t="s">
        <v>181</v>
      </c>
      <c r="B56" s="1" t="s">
        <v>1305</v>
      </c>
      <c r="C56" s="1"/>
      <c r="D56" s="1"/>
      <c r="E56" s="1"/>
      <c r="F56" s="1" t="s">
        <v>1306</v>
      </c>
      <c r="G56" s="1"/>
      <c r="H56" s="1"/>
      <c r="I56" s="1" t="s">
        <v>1307</v>
      </c>
      <c r="J56" s="1" t="s">
        <v>232</v>
      </c>
      <c r="K56" s="1"/>
      <c r="L56" s="1"/>
      <c r="M56" s="1" t="s">
        <v>78</v>
      </c>
      <c r="N56" s="1" t="s">
        <v>618</v>
      </c>
      <c r="O56" s="1"/>
      <c r="P56" s="1"/>
      <c r="Q56" s="1"/>
      <c r="R56" s="1"/>
      <c r="S56" s="1"/>
      <c r="T56" s="1" t="s">
        <v>1308</v>
      </c>
      <c r="U56" s="1" t="s">
        <v>1309</v>
      </c>
      <c r="V56" s="1" t="s">
        <v>1310</v>
      </c>
      <c r="W56" s="1" t="s">
        <v>1311</v>
      </c>
      <c r="X56" s="1" t="s">
        <v>86</v>
      </c>
      <c r="Y56" s="1" t="s">
        <v>1312</v>
      </c>
      <c r="Z56" s="1" t="s">
        <v>1313</v>
      </c>
      <c r="AA56" s="1" t="s">
        <v>239</v>
      </c>
      <c r="AB56" s="1" t="s">
        <v>240</v>
      </c>
      <c r="AC56" s="1" t="s">
        <v>1314</v>
      </c>
      <c r="AD56" s="1" t="s">
        <v>1315</v>
      </c>
      <c r="AE56" s="1" t="s">
        <v>1316</v>
      </c>
      <c r="AF56" s="1"/>
      <c r="AG56" s="1" t="n">
        <v>38</v>
      </c>
      <c r="AH56" s="1" t="n">
        <v>8</v>
      </c>
      <c r="AI56" s="1" t="n">
        <v>9</v>
      </c>
      <c r="AJ56" s="1" t="n">
        <v>4</v>
      </c>
      <c r="AK56" s="1" t="n">
        <v>6</v>
      </c>
      <c r="AL56" s="1" t="s">
        <v>244</v>
      </c>
      <c r="AM56" s="1" t="s">
        <v>245</v>
      </c>
      <c r="AN56" s="1" t="s">
        <v>246</v>
      </c>
      <c r="AO56" s="1" t="s">
        <v>247</v>
      </c>
      <c r="AP56" s="1" t="s">
        <v>248</v>
      </c>
      <c r="AQ56" s="1"/>
      <c r="AR56" s="1" t="s">
        <v>249</v>
      </c>
      <c r="AS56" s="1" t="s">
        <v>250</v>
      </c>
      <c r="AT56" s="1"/>
      <c r="AU56" s="1" t="n">
        <v>2022</v>
      </c>
      <c r="AV56" s="1" t="n">
        <v>16</v>
      </c>
      <c r="AW56" s="1" t="n">
        <v>1</v>
      </c>
      <c r="AX56" s="1"/>
      <c r="AY56" s="1"/>
      <c r="AZ56" s="1"/>
      <c r="BA56" s="1"/>
      <c r="BB56" s="1"/>
      <c r="BC56" s="1"/>
      <c r="BD56" s="1" t="n">
        <v>220106</v>
      </c>
      <c r="BE56" s="1" t="s">
        <v>1317</v>
      </c>
      <c r="BF56" s="1" t="str">
        <f aca="false">HYPERLINK("http://dx.doi.org/10.37190/e-Inf220106","http://dx.doi.org/10.37190/e-Inf220106")</f>
        <v>http://dx.doi.org/10.37190/e-Inf220106</v>
      </c>
      <c r="BG56" s="1"/>
      <c r="BH56" s="1"/>
      <c r="BI56" s="1" t="n">
        <v>12</v>
      </c>
      <c r="BJ56" s="1" t="s">
        <v>252</v>
      </c>
      <c r="BK56" s="1" t="s">
        <v>253</v>
      </c>
      <c r="BL56" s="1" t="s">
        <v>101</v>
      </c>
      <c r="BM56" s="1" t="s">
        <v>1318</v>
      </c>
      <c r="BN56" s="1"/>
      <c r="BO56" s="1" t="s">
        <v>401</v>
      </c>
      <c r="BP56" s="1"/>
      <c r="BQ56" s="1"/>
      <c r="BR56" s="1" t="s">
        <v>103</v>
      </c>
      <c r="BS56" s="1" t="s">
        <v>1319</v>
      </c>
      <c r="BT56" s="1" t="str">
        <f aca="false">HYPERLINK("https%3A%2F%2Fwww.webofscience.com%2Fwos%2Fwoscc%2Ffull-record%2FWOS:001126480300001","View Full Record in Web of Science")</f>
        <v>View Full Record in Web of Science</v>
      </c>
    </row>
    <row r="57" customFormat="false" ht="12.75" hidden="false" customHeight="false" outlineLevel="0" collapsed="false">
      <c r="A57" s="1" t="s">
        <v>72</v>
      </c>
      <c r="B57" s="1" t="s">
        <v>1320</v>
      </c>
      <c r="C57" s="1"/>
      <c r="D57" s="1"/>
      <c r="E57" s="1" t="s">
        <v>106</v>
      </c>
      <c r="F57" s="1" t="s">
        <v>1321</v>
      </c>
      <c r="G57" s="1"/>
      <c r="H57" s="1"/>
      <c r="I57" s="1" t="s">
        <v>1322</v>
      </c>
      <c r="J57" s="1" t="s">
        <v>1323</v>
      </c>
      <c r="K57" s="1" t="s">
        <v>1324</v>
      </c>
      <c r="L57" s="1"/>
      <c r="M57" s="1" t="s">
        <v>78</v>
      </c>
      <c r="N57" s="1" t="s">
        <v>79</v>
      </c>
      <c r="O57" s="1" t="s">
        <v>1325</v>
      </c>
      <c r="P57" s="1" t="s">
        <v>1326</v>
      </c>
      <c r="Q57" s="1" t="s">
        <v>1327</v>
      </c>
      <c r="R57" s="1"/>
      <c r="S57" s="1"/>
      <c r="T57" s="1"/>
      <c r="U57" s="1"/>
      <c r="V57" s="1" t="s">
        <v>1328</v>
      </c>
      <c r="W57" s="1" t="s">
        <v>1329</v>
      </c>
      <c r="X57" s="1" t="s">
        <v>86</v>
      </c>
      <c r="Y57" s="1" t="s">
        <v>555</v>
      </c>
      <c r="Z57" s="1" t="s">
        <v>1330</v>
      </c>
      <c r="AA57" s="1" t="s">
        <v>1331</v>
      </c>
      <c r="AB57" s="1"/>
      <c r="AC57" s="1" t="s">
        <v>1332</v>
      </c>
      <c r="AD57" s="1" t="s">
        <v>1333</v>
      </c>
      <c r="AE57" s="1" t="s">
        <v>1334</v>
      </c>
      <c r="AF57" s="1"/>
      <c r="AG57" s="1" t="n">
        <v>32</v>
      </c>
      <c r="AH57" s="1" t="n">
        <v>0</v>
      </c>
      <c r="AI57" s="1" t="n">
        <v>0</v>
      </c>
      <c r="AJ57" s="1" t="n">
        <v>0</v>
      </c>
      <c r="AK57" s="1" t="n">
        <v>0</v>
      </c>
      <c r="AL57" s="1" t="s">
        <v>106</v>
      </c>
      <c r="AM57" s="1" t="s">
        <v>95</v>
      </c>
      <c r="AN57" s="1" t="s">
        <v>122</v>
      </c>
      <c r="AO57" s="1" t="s">
        <v>1335</v>
      </c>
      <c r="AP57" s="1" t="s">
        <v>1336</v>
      </c>
      <c r="AQ57" s="1" t="s">
        <v>1337</v>
      </c>
      <c r="AR57" s="1" t="s">
        <v>1338</v>
      </c>
      <c r="AS57" s="1"/>
      <c r="AT57" s="1"/>
      <c r="AU57" s="1" t="n">
        <v>2022</v>
      </c>
      <c r="AV57" s="1"/>
      <c r="AW57" s="1"/>
      <c r="AX57" s="1"/>
      <c r="AY57" s="1"/>
      <c r="AZ57" s="1"/>
      <c r="BA57" s="1"/>
      <c r="BB57" s="1"/>
      <c r="BC57" s="1"/>
      <c r="BD57" s="1"/>
      <c r="BE57" s="1" t="s">
        <v>1339</v>
      </c>
      <c r="BF57" s="1" t="str">
        <f aca="false">HYPERLINK("http://dx.doi.org/10.1109/QOMEX55416.2022.9900890","http://dx.doi.org/10.1109/QOMEX55416.2022.9900890")</f>
        <v>http://dx.doi.org/10.1109/QOMEX55416.2022.9900890</v>
      </c>
      <c r="BG57" s="1"/>
      <c r="BH57" s="1"/>
      <c r="BI57" s="1" t="n">
        <v>4</v>
      </c>
      <c r="BJ57" s="1" t="s">
        <v>1340</v>
      </c>
      <c r="BK57" s="1" t="s">
        <v>100</v>
      </c>
      <c r="BL57" s="1" t="s">
        <v>1341</v>
      </c>
      <c r="BM57" s="1" t="s">
        <v>1342</v>
      </c>
      <c r="BN57" s="1"/>
      <c r="BO57" s="1" t="s">
        <v>179</v>
      </c>
      <c r="BP57" s="1"/>
      <c r="BQ57" s="1"/>
      <c r="BR57" s="1" t="s">
        <v>103</v>
      </c>
      <c r="BS57" s="1" t="s">
        <v>1343</v>
      </c>
      <c r="BT57" s="1" t="str">
        <f aca="false">HYPERLINK("https%3A%2F%2Fwww.webofscience.com%2Fwos%2Fwoscc%2Ffull-record%2FWOS:001308684500016","View Full Record in Web of Science")</f>
        <v>View Full Record in Web of Science</v>
      </c>
    </row>
    <row r="58" customFormat="false" ht="12.75" hidden="false" customHeight="false" outlineLevel="0" collapsed="false">
      <c r="A58" s="1" t="s">
        <v>181</v>
      </c>
      <c r="B58" s="1" t="s">
        <v>1344</v>
      </c>
      <c r="C58" s="1"/>
      <c r="D58" s="1"/>
      <c r="E58" s="1"/>
      <c r="F58" s="1" t="s">
        <v>1345</v>
      </c>
      <c r="G58" s="1"/>
      <c r="H58" s="1"/>
      <c r="I58" s="1" t="s">
        <v>1346</v>
      </c>
      <c r="J58" s="1" t="s">
        <v>1347</v>
      </c>
      <c r="K58" s="1"/>
      <c r="L58" s="1"/>
      <c r="M58" s="1" t="s">
        <v>78</v>
      </c>
      <c r="N58" s="1" t="s">
        <v>186</v>
      </c>
      <c r="O58" s="1"/>
      <c r="P58" s="1"/>
      <c r="Q58" s="1"/>
      <c r="R58" s="1"/>
      <c r="S58" s="1"/>
      <c r="T58" s="1" t="s">
        <v>1348</v>
      </c>
      <c r="U58" s="1" t="s">
        <v>1349</v>
      </c>
      <c r="V58" s="1" t="s">
        <v>1350</v>
      </c>
      <c r="W58" s="1" t="s">
        <v>1351</v>
      </c>
      <c r="X58" s="1" t="s">
        <v>86</v>
      </c>
      <c r="Y58" s="1" t="s">
        <v>1352</v>
      </c>
      <c r="Z58" s="1" t="s">
        <v>1353</v>
      </c>
      <c r="AA58" s="1"/>
      <c r="AB58" s="1" t="s">
        <v>1354</v>
      </c>
      <c r="AC58" s="1"/>
      <c r="AD58" s="1"/>
      <c r="AE58" s="1"/>
      <c r="AF58" s="1"/>
      <c r="AG58" s="1" t="n">
        <v>43</v>
      </c>
      <c r="AH58" s="1" t="n">
        <v>5</v>
      </c>
      <c r="AI58" s="1" t="n">
        <v>5</v>
      </c>
      <c r="AJ58" s="1" t="n">
        <v>0</v>
      </c>
      <c r="AK58" s="1" t="n">
        <v>10</v>
      </c>
      <c r="AL58" s="1" t="s">
        <v>1355</v>
      </c>
      <c r="AM58" s="1" t="s">
        <v>1356</v>
      </c>
      <c r="AN58" s="1" t="s">
        <v>1357</v>
      </c>
      <c r="AO58" s="1" t="s">
        <v>1358</v>
      </c>
      <c r="AP58" s="1" t="s">
        <v>1359</v>
      </c>
      <c r="AQ58" s="1"/>
      <c r="AR58" s="1" t="s">
        <v>1360</v>
      </c>
      <c r="AS58" s="1" t="s">
        <v>1361</v>
      </c>
      <c r="AT58" s="1" t="s">
        <v>1362</v>
      </c>
      <c r="AU58" s="1" t="n">
        <v>2021</v>
      </c>
      <c r="AV58" s="1" t="n">
        <v>27</v>
      </c>
      <c r="AW58" s="1" t="n">
        <v>4</v>
      </c>
      <c r="AX58" s="1"/>
      <c r="AY58" s="1"/>
      <c r="AZ58" s="1"/>
      <c r="BA58" s="1"/>
      <c r="BB58" s="1"/>
      <c r="BC58" s="1"/>
      <c r="BD58" s="1" t="n">
        <v>14604582211059400</v>
      </c>
      <c r="BE58" s="1" t="s">
        <v>1363</v>
      </c>
      <c r="BF58" s="1" t="str">
        <f aca="false">HYPERLINK("http://dx.doi.org/10.1177/14604582211059370","http://dx.doi.org/10.1177/14604582211059370")</f>
        <v>http://dx.doi.org/10.1177/14604582211059370</v>
      </c>
      <c r="BG58" s="1"/>
      <c r="BH58" s="1"/>
      <c r="BI58" s="1" t="n">
        <v>15</v>
      </c>
      <c r="BJ58" s="1" t="s">
        <v>854</v>
      </c>
      <c r="BK58" s="1" t="s">
        <v>398</v>
      </c>
      <c r="BL58" s="1" t="s">
        <v>854</v>
      </c>
      <c r="BM58" s="1" t="s">
        <v>1364</v>
      </c>
      <c r="BN58" s="1" t="n">
        <v>36047741</v>
      </c>
      <c r="BO58" s="1" t="s">
        <v>401</v>
      </c>
      <c r="BP58" s="1"/>
      <c r="BQ58" s="1"/>
      <c r="BR58" s="1" t="s">
        <v>103</v>
      </c>
      <c r="BS58" s="1" t="s">
        <v>1365</v>
      </c>
      <c r="BT58" s="1" t="str">
        <f aca="false">HYPERLINK("https%3A%2F%2Fwww.webofscience.com%2Fwos%2Fwoscc%2Ffull-record%2FWOS:000760144200001","View Full Record in Web of Science")</f>
        <v>View Full Record in Web of Science</v>
      </c>
    </row>
    <row r="59" customFormat="false" ht="12.75" hidden="false" customHeight="false" outlineLevel="0" collapsed="false">
      <c r="A59" s="1" t="s">
        <v>181</v>
      </c>
      <c r="B59" s="1" t="s">
        <v>1366</v>
      </c>
      <c r="C59" s="1"/>
      <c r="D59" s="1"/>
      <c r="E59" s="1"/>
      <c r="F59" s="1" t="s">
        <v>183</v>
      </c>
      <c r="G59" s="1"/>
      <c r="H59" s="1"/>
      <c r="I59" s="1" t="s">
        <v>1367</v>
      </c>
      <c r="J59" s="1" t="s">
        <v>185</v>
      </c>
      <c r="K59" s="1"/>
      <c r="L59" s="1"/>
      <c r="M59" s="1" t="s">
        <v>78</v>
      </c>
      <c r="N59" s="1" t="s">
        <v>186</v>
      </c>
      <c r="O59" s="1"/>
      <c r="P59" s="1"/>
      <c r="Q59" s="1"/>
      <c r="R59" s="1"/>
      <c r="S59" s="1"/>
      <c r="T59" s="1" t="s">
        <v>1368</v>
      </c>
      <c r="U59" s="1" t="s">
        <v>188</v>
      </c>
      <c r="V59" s="1" t="s">
        <v>1369</v>
      </c>
      <c r="W59" s="1" t="s">
        <v>190</v>
      </c>
      <c r="X59" s="1" t="s">
        <v>86</v>
      </c>
      <c r="Y59" s="1" t="s">
        <v>191</v>
      </c>
      <c r="Z59" s="1" t="s">
        <v>192</v>
      </c>
      <c r="AA59" s="1" t="s">
        <v>193</v>
      </c>
      <c r="AB59" s="1" t="s">
        <v>194</v>
      </c>
      <c r="AC59" s="1"/>
      <c r="AD59" s="1"/>
      <c r="AE59" s="1"/>
      <c r="AF59" s="1"/>
      <c r="AG59" s="1" t="n">
        <v>9</v>
      </c>
      <c r="AH59" s="1" t="n">
        <v>1</v>
      </c>
      <c r="AI59" s="1" t="n">
        <v>1</v>
      </c>
      <c r="AJ59" s="1" t="n">
        <v>0</v>
      </c>
      <c r="AK59" s="1" t="n">
        <v>3</v>
      </c>
      <c r="AL59" s="1" t="s">
        <v>195</v>
      </c>
      <c r="AM59" s="1" t="s">
        <v>196</v>
      </c>
      <c r="AN59" s="1" t="s">
        <v>197</v>
      </c>
      <c r="AO59" s="1" t="s">
        <v>198</v>
      </c>
      <c r="AP59" s="1" t="s">
        <v>199</v>
      </c>
      <c r="AQ59" s="1"/>
      <c r="AR59" s="1" t="s">
        <v>200</v>
      </c>
      <c r="AS59" s="1" t="s">
        <v>201</v>
      </c>
      <c r="AT59" s="1"/>
      <c r="AU59" s="1" t="n">
        <v>2022</v>
      </c>
      <c r="AV59" s="1" t="n">
        <v>19</v>
      </c>
      <c r="AW59" s="1"/>
      <c r="AX59" s="1"/>
      <c r="AY59" s="1"/>
      <c r="AZ59" s="1"/>
      <c r="BA59" s="1"/>
      <c r="BB59" s="1"/>
      <c r="BC59" s="1"/>
      <c r="BD59" s="1"/>
      <c r="BE59" s="1" t="s">
        <v>1370</v>
      </c>
      <c r="BF59" s="1" t="str">
        <f aca="false">HYPERLINK("http://dx.doi.org/10.1109/LGRS.2021.3099174","http://dx.doi.org/10.1109/LGRS.2021.3099174")</f>
        <v>http://dx.doi.org/10.1109/LGRS.2021.3099174</v>
      </c>
      <c r="BG59" s="1"/>
      <c r="BH59" s="1" t="s">
        <v>1371</v>
      </c>
      <c r="BI59" s="1" t="n">
        <v>5</v>
      </c>
      <c r="BJ59" s="1" t="s">
        <v>203</v>
      </c>
      <c r="BK59" s="1" t="s">
        <v>204</v>
      </c>
      <c r="BL59" s="1" t="s">
        <v>205</v>
      </c>
      <c r="BM59" s="1" t="s">
        <v>1372</v>
      </c>
      <c r="BN59" s="1"/>
      <c r="BO59" s="1" t="s">
        <v>1373</v>
      </c>
      <c r="BP59" s="1"/>
      <c r="BQ59" s="1"/>
      <c r="BR59" s="1" t="s">
        <v>103</v>
      </c>
      <c r="BS59" s="1" t="s">
        <v>1374</v>
      </c>
      <c r="BT59" s="1" t="str">
        <f aca="false">HYPERLINK("https%3A%2F%2Fwww.webofscience.com%2Fwos%2Fwoscc%2Ffull-record%2FWOS:000733521800001","View Full Record in Web of Science")</f>
        <v>View Full Record in Web of Science</v>
      </c>
    </row>
    <row r="60" customFormat="false" ht="12.75" hidden="false" customHeight="false" outlineLevel="0" collapsed="false">
      <c r="A60" s="1" t="s">
        <v>181</v>
      </c>
      <c r="B60" s="1" t="s">
        <v>1375</v>
      </c>
      <c r="C60" s="1"/>
      <c r="D60" s="1"/>
      <c r="E60" s="1"/>
      <c r="F60" s="1" t="s">
        <v>1376</v>
      </c>
      <c r="G60" s="1"/>
      <c r="H60" s="1"/>
      <c r="I60" s="1" t="s">
        <v>1377</v>
      </c>
      <c r="J60" s="1" t="s">
        <v>1378</v>
      </c>
      <c r="K60" s="1"/>
      <c r="L60" s="1"/>
      <c r="M60" s="1" t="s">
        <v>78</v>
      </c>
      <c r="N60" s="1" t="s">
        <v>186</v>
      </c>
      <c r="O60" s="1"/>
      <c r="P60" s="1"/>
      <c r="Q60" s="1"/>
      <c r="R60" s="1"/>
      <c r="S60" s="1"/>
      <c r="T60" s="1" t="s">
        <v>1379</v>
      </c>
      <c r="U60" s="1" t="s">
        <v>1380</v>
      </c>
      <c r="V60" s="1" t="s">
        <v>1381</v>
      </c>
      <c r="W60" s="1" t="s">
        <v>1382</v>
      </c>
      <c r="X60" s="1" t="s">
        <v>86</v>
      </c>
      <c r="Y60" s="1" t="s">
        <v>1383</v>
      </c>
      <c r="Z60" s="1" t="s">
        <v>1384</v>
      </c>
      <c r="AA60" s="1" t="s">
        <v>1385</v>
      </c>
      <c r="AB60" s="1" t="s">
        <v>1386</v>
      </c>
      <c r="AC60" s="1"/>
      <c r="AD60" s="1"/>
      <c r="AE60" s="1"/>
      <c r="AF60" s="1"/>
      <c r="AG60" s="1" t="n">
        <v>117</v>
      </c>
      <c r="AH60" s="1" t="n">
        <v>13</v>
      </c>
      <c r="AI60" s="1" t="n">
        <v>13</v>
      </c>
      <c r="AJ60" s="1" t="n">
        <v>0</v>
      </c>
      <c r="AK60" s="1" t="n">
        <v>6</v>
      </c>
      <c r="AL60" s="1" t="s">
        <v>893</v>
      </c>
      <c r="AM60" s="1" t="s">
        <v>894</v>
      </c>
      <c r="AN60" s="1" t="s">
        <v>895</v>
      </c>
      <c r="AO60" s="1" t="s">
        <v>1387</v>
      </c>
      <c r="AP60" s="1" t="s">
        <v>1388</v>
      </c>
      <c r="AQ60" s="1"/>
      <c r="AR60" s="1" t="s">
        <v>1389</v>
      </c>
      <c r="AS60" s="1" t="s">
        <v>1390</v>
      </c>
      <c r="AT60" s="1" t="s">
        <v>1391</v>
      </c>
      <c r="AU60" s="1" t="n">
        <v>2021</v>
      </c>
      <c r="AV60" s="1" t="n">
        <v>139</v>
      </c>
      <c r="AW60" s="1"/>
      <c r="AX60" s="1"/>
      <c r="AY60" s="1"/>
      <c r="AZ60" s="1"/>
      <c r="BA60" s="1"/>
      <c r="BB60" s="1"/>
      <c r="BC60" s="1"/>
      <c r="BD60" s="1" t="n">
        <v>106620</v>
      </c>
      <c r="BE60" s="1" t="s">
        <v>1392</v>
      </c>
      <c r="BF60" s="1" t="str">
        <f aca="false">HYPERLINK("http://dx.doi.org/10.1016/j.infsof.2021.106620","http://dx.doi.org/10.1016/j.infsof.2021.106620")</f>
        <v>http://dx.doi.org/10.1016/j.infsof.2021.106620</v>
      </c>
      <c r="BG60" s="1"/>
      <c r="BH60" s="1" t="s">
        <v>1393</v>
      </c>
      <c r="BI60" s="1" t="n">
        <v>22</v>
      </c>
      <c r="BJ60" s="1" t="s">
        <v>1394</v>
      </c>
      <c r="BK60" s="1" t="s">
        <v>204</v>
      </c>
      <c r="BL60" s="1" t="s">
        <v>101</v>
      </c>
      <c r="BM60" s="1" t="s">
        <v>1395</v>
      </c>
      <c r="BN60" s="1"/>
      <c r="BO60" s="1" t="s">
        <v>1396</v>
      </c>
      <c r="BP60" s="1"/>
      <c r="BQ60" s="1"/>
      <c r="BR60" s="1" t="s">
        <v>103</v>
      </c>
      <c r="BS60" s="1" t="s">
        <v>1397</v>
      </c>
      <c r="BT60" s="1" t="str">
        <f aca="false">HYPERLINK("https%3A%2F%2Fwww.webofscience.com%2Fwos%2Fwoscc%2Ffull-record%2FWOS:000697678300012","View Full Record in Web of Science")</f>
        <v>View Full Record in Web of Science</v>
      </c>
    </row>
    <row r="61" customFormat="false" ht="12.75" hidden="false" customHeight="false" outlineLevel="0" collapsed="false">
      <c r="A61" s="1" t="s">
        <v>181</v>
      </c>
      <c r="B61" s="1" t="s">
        <v>1398</v>
      </c>
      <c r="C61" s="1"/>
      <c r="D61" s="1"/>
      <c r="E61" s="1"/>
      <c r="F61" s="1" t="s">
        <v>1399</v>
      </c>
      <c r="G61" s="1"/>
      <c r="H61" s="1"/>
      <c r="I61" s="1" t="s">
        <v>1400</v>
      </c>
      <c r="J61" s="1" t="s">
        <v>1104</v>
      </c>
      <c r="K61" s="1"/>
      <c r="L61" s="1"/>
      <c r="M61" s="1" t="s">
        <v>78</v>
      </c>
      <c r="N61" s="1" t="s">
        <v>186</v>
      </c>
      <c r="O61" s="1"/>
      <c r="P61" s="1"/>
      <c r="Q61" s="1"/>
      <c r="R61" s="1"/>
      <c r="S61" s="1"/>
      <c r="T61" s="1" t="s">
        <v>1401</v>
      </c>
      <c r="U61" s="1"/>
      <c r="V61" s="1" t="s">
        <v>1402</v>
      </c>
      <c r="W61" s="1" t="s">
        <v>1403</v>
      </c>
      <c r="X61" s="1" t="s">
        <v>912</v>
      </c>
      <c r="Y61" s="1" t="s">
        <v>1404</v>
      </c>
      <c r="Z61" s="1" t="s">
        <v>1405</v>
      </c>
      <c r="AA61" s="1" t="s">
        <v>1406</v>
      </c>
      <c r="AB61" s="1" t="s">
        <v>1407</v>
      </c>
      <c r="AC61" s="1" t="s">
        <v>1408</v>
      </c>
      <c r="AD61" s="1" t="s">
        <v>1408</v>
      </c>
      <c r="AE61" s="1" t="s">
        <v>1409</v>
      </c>
      <c r="AF61" s="1"/>
      <c r="AG61" s="1" t="n">
        <v>45</v>
      </c>
      <c r="AH61" s="1" t="n">
        <v>21</v>
      </c>
      <c r="AI61" s="1" t="n">
        <v>21</v>
      </c>
      <c r="AJ61" s="1" t="n">
        <v>0</v>
      </c>
      <c r="AK61" s="1" t="n">
        <v>24</v>
      </c>
      <c r="AL61" s="1" t="s">
        <v>195</v>
      </c>
      <c r="AM61" s="1" t="s">
        <v>196</v>
      </c>
      <c r="AN61" s="1" t="s">
        <v>197</v>
      </c>
      <c r="AO61" s="1" t="s">
        <v>1114</v>
      </c>
      <c r="AP61" s="1"/>
      <c r="AQ61" s="1"/>
      <c r="AR61" s="1" t="s">
        <v>1104</v>
      </c>
      <c r="AS61" s="1" t="s">
        <v>1115</v>
      </c>
      <c r="AT61" s="1"/>
      <c r="AU61" s="1" t="n">
        <v>2021</v>
      </c>
      <c r="AV61" s="1" t="n">
        <v>9</v>
      </c>
      <c r="AW61" s="1"/>
      <c r="AX61" s="1"/>
      <c r="AY61" s="1"/>
      <c r="AZ61" s="1"/>
      <c r="BA61" s="1"/>
      <c r="BB61" s="1" t="n">
        <v>8381</v>
      </c>
      <c r="BC61" s="1" t="n">
        <v>8391</v>
      </c>
      <c r="BD61" s="1"/>
      <c r="BE61" s="1" t="s">
        <v>1410</v>
      </c>
      <c r="BF61" s="1" t="str">
        <f aca="false">HYPERLINK("http://dx.doi.org/10.1109/ACCESS.2021.3049741","http://dx.doi.org/10.1109/ACCESS.2021.3049741")</f>
        <v>http://dx.doi.org/10.1109/ACCESS.2021.3049741</v>
      </c>
      <c r="BG61" s="1"/>
      <c r="BH61" s="1"/>
      <c r="BI61" s="1" t="n">
        <v>11</v>
      </c>
      <c r="BJ61" s="1" t="s">
        <v>1117</v>
      </c>
      <c r="BK61" s="1" t="s">
        <v>204</v>
      </c>
      <c r="BL61" s="1" t="s">
        <v>1118</v>
      </c>
      <c r="BM61" s="1" t="s">
        <v>1411</v>
      </c>
      <c r="BN61" s="1"/>
      <c r="BO61" s="1" t="s">
        <v>376</v>
      </c>
      <c r="BP61" s="1"/>
      <c r="BQ61" s="1"/>
      <c r="BR61" s="1" t="s">
        <v>103</v>
      </c>
      <c r="BS61" s="1" t="s">
        <v>1412</v>
      </c>
      <c r="BT61" s="1" t="str">
        <f aca="false">HYPERLINK("https%3A%2F%2Fwww.webofscience.com%2Fwos%2Fwoscc%2Ffull-record%2FWOS:000608205500001","View Full Record in Web of Science")</f>
        <v>View Full Record in Web of Science</v>
      </c>
    </row>
    <row r="62" customFormat="false" ht="12.75" hidden="false" customHeight="false" outlineLevel="0" collapsed="false">
      <c r="A62" s="1" t="s">
        <v>181</v>
      </c>
      <c r="B62" s="1" t="s">
        <v>1413</v>
      </c>
      <c r="C62" s="1"/>
      <c r="D62" s="1"/>
      <c r="E62" s="1"/>
      <c r="F62" s="1" t="s">
        <v>1414</v>
      </c>
      <c r="G62" s="1"/>
      <c r="H62" s="1"/>
      <c r="I62" s="1" t="s">
        <v>1415</v>
      </c>
      <c r="J62" s="1" t="s">
        <v>1416</v>
      </c>
      <c r="K62" s="1"/>
      <c r="L62" s="1"/>
      <c r="M62" s="1" t="s">
        <v>78</v>
      </c>
      <c r="N62" s="1" t="s">
        <v>186</v>
      </c>
      <c r="O62" s="1"/>
      <c r="P62" s="1"/>
      <c r="Q62" s="1"/>
      <c r="R62" s="1"/>
      <c r="S62" s="1"/>
      <c r="T62" s="1" t="s">
        <v>1417</v>
      </c>
      <c r="U62" s="1" t="s">
        <v>1418</v>
      </c>
      <c r="V62" s="1" t="s">
        <v>1419</v>
      </c>
      <c r="W62" s="1" t="s">
        <v>1420</v>
      </c>
      <c r="X62" s="1" t="s">
        <v>86</v>
      </c>
      <c r="Y62" s="1" t="s">
        <v>1421</v>
      </c>
      <c r="Z62" s="1" t="s">
        <v>1422</v>
      </c>
      <c r="AA62" s="1" t="s">
        <v>1423</v>
      </c>
      <c r="AB62" s="1" t="s">
        <v>1424</v>
      </c>
      <c r="AC62" s="1"/>
      <c r="AD62" s="1"/>
      <c r="AE62" s="1"/>
      <c r="AF62" s="1"/>
      <c r="AG62" s="1" t="n">
        <v>29</v>
      </c>
      <c r="AH62" s="1" t="n">
        <v>2</v>
      </c>
      <c r="AI62" s="1" t="n">
        <v>2</v>
      </c>
      <c r="AJ62" s="1" t="n">
        <v>1</v>
      </c>
      <c r="AK62" s="1" t="n">
        <v>17</v>
      </c>
      <c r="AL62" s="1" t="s">
        <v>600</v>
      </c>
      <c r="AM62" s="1" t="s">
        <v>601</v>
      </c>
      <c r="AN62" s="1" t="s">
        <v>602</v>
      </c>
      <c r="AO62" s="1" t="s">
        <v>1425</v>
      </c>
      <c r="AP62" s="1" t="s">
        <v>1426</v>
      </c>
      <c r="AQ62" s="1"/>
      <c r="AR62" s="1" t="s">
        <v>1427</v>
      </c>
      <c r="AS62" s="1" t="s">
        <v>1428</v>
      </c>
      <c r="AT62" s="1" t="s">
        <v>1429</v>
      </c>
      <c r="AU62" s="1" t="n">
        <v>2021</v>
      </c>
      <c r="AV62" s="1" t="n">
        <v>138</v>
      </c>
      <c r="AW62" s="1" t="n">
        <v>18</v>
      </c>
      <c r="AX62" s="1"/>
      <c r="AY62" s="1"/>
      <c r="AZ62" s="1"/>
      <c r="BA62" s="1"/>
      <c r="BB62" s="1"/>
      <c r="BC62" s="1"/>
      <c r="BD62" s="1" t="s">
        <v>1430</v>
      </c>
      <c r="BE62" s="1" t="s">
        <v>1431</v>
      </c>
      <c r="BF62" s="1" t="str">
        <f aca="false">HYPERLINK("http://dx.doi.org/10.1002/app.50335","http://dx.doi.org/10.1002/app.50335")</f>
        <v>http://dx.doi.org/10.1002/app.50335</v>
      </c>
      <c r="BG62" s="1"/>
      <c r="BH62" s="1" t="s">
        <v>608</v>
      </c>
      <c r="BI62" s="1" t="n">
        <v>11</v>
      </c>
      <c r="BJ62" s="1" t="s">
        <v>1432</v>
      </c>
      <c r="BK62" s="1" t="s">
        <v>204</v>
      </c>
      <c r="BL62" s="1" t="s">
        <v>1432</v>
      </c>
      <c r="BM62" s="1" t="s">
        <v>1433</v>
      </c>
      <c r="BN62" s="1"/>
      <c r="BO62" s="1" t="s">
        <v>207</v>
      </c>
      <c r="BP62" s="1"/>
      <c r="BQ62" s="1"/>
      <c r="BR62" s="1" t="s">
        <v>103</v>
      </c>
      <c r="BS62" s="1" t="s">
        <v>1434</v>
      </c>
      <c r="BT62" s="1" t="str">
        <f aca="false">HYPERLINK("https%3A%2F%2Fwww.webofscience.com%2Fwos%2Fwoscc%2Ffull-record%2FWOS:000593037300001","View Full Record in Web of Science")</f>
        <v>View Full Record in Web of Science</v>
      </c>
    </row>
    <row r="63" customFormat="false" ht="12.75" hidden="false" customHeight="false" outlineLevel="0" collapsed="false">
      <c r="A63" s="1" t="s">
        <v>181</v>
      </c>
      <c r="B63" s="1" t="s">
        <v>1435</v>
      </c>
      <c r="C63" s="1"/>
      <c r="D63" s="1"/>
      <c r="E63" s="1"/>
      <c r="F63" s="1" t="s">
        <v>1436</v>
      </c>
      <c r="G63" s="1"/>
      <c r="H63" s="1"/>
      <c r="I63" s="1" t="s">
        <v>1437</v>
      </c>
      <c r="J63" s="1" t="s">
        <v>1438</v>
      </c>
      <c r="K63" s="1"/>
      <c r="L63" s="1"/>
      <c r="M63" s="1" t="s">
        <v>78</v>
      </c>
      <c r="N63" s="1" t="s">
        <v>186</v>
      </c>
      <c r="O63" s="1"/>
      <c r="P63" s="1"/>
      <c r="Q63" s="1"/>
      <c r="R63" s="1"/>
      <c r="S63" s="1"/>
      <c r="T63" s="1" t="s">
        <v>1439</v>
      </c>
      <c r="U63" s="1" t="s">
        <v>1440</v>
      </c>
      <c r="V63" s="1" t="s">
        <v>1441</v>
      </c>
      <c r="W63" s="1" t="s">
        <v>1442</v>
      </c>
      <c r="X63" s="1" t="s">
        <v>86</v>
      </c>
      <c r="Y63" s="1" t="s">
        <v>1443</v>
      </c>
      <c r="Z63" s="1" t="s">
        <v>1444</v>
      </c>
      <c r="AA63" s="1"/>
      <c r="AB63" s="1" t="s">
        <v>1445</v>
      </c>
      <c r="AC63" s="1" t="s">
        <v>1446</v>
      </c>
      <c r="AD63" s="1" t="s">
        <v>1447</v>
      </c>
      <c r="AE63" s="1" t="s">
        <v>1448</v>
      </c>
      <c r="AF63" s="1"/>
      <c r="AG63" s="1" t="n">
        <v>71</v>
      </c>
      <c r="AH63" s="1" t="n">
        <v>14</v>
      </c>
      <c r="AI63" s="1" t="n">
        <v>15</v>
      </c>
      <c r="AJ63" s="1" t="n">
        <v>4</v>
      </c>
      <c r="AK63" s="1" t="n">
        <v>52</v>
      </c>
      <c r="AL63" s="1" t="s">
        <v>600</v>
      </c>
      <c r="AM63" s="1" t="s">
        <v>601</v>
      </c>
      <c r="AN63" s="1" t="s">
        <v>602</v>
      </c>
      <c r="AO63" s="1" t="s">
        <v>1449</v>
      </c>
      <c r="AP63" s="1" t="s">
        <v>1450</v>
      </c>
      <c r="AQ63" s="1"/>
      <c r="AR63" s="1" t="s">
        <v>1451</v>
      </c>
      <c r="AS63" s="1" t="s">
        <v>1452</v>
      </c>
      <c r="AT63" s="1" t="s">
        <v>1453</v>
      </c>
      <c r="AU63" s="1" t="n">
        <v>2021</v>
      </c>
      <c r="AV63" s="1" t="n">
        <v>30</v>
      </c>
      <c r="AW63" s="1" t="n">
        <v>1</v>
      </c>
      <c r="AX63" s="1"/>
      <c r="AY63" s="1"/>
      <c r="AZ63" s="1"/>
      <c r="BA63" s="1"/>
      <c r="BB63" s="1" t="n">
        <v>388</v>
      </c>
      <c r="BC63" s="1" t="n">
        <v>403</v>
      </c>
      <c r="BD63" s="1"/>
      <c r="BE63" s="1" t="s">
        <v>1454</v>
      </c>
      <c r="BF63" s="1" t="str">
        <f aca="false">HYPERLINK("http://dx.doi.org/10.1002/bse.2627","http://dx.doi.org/10.1002/bse.2627")</f>
        <v>http://dx.doi.org/10.1002/bse.2627</v>
      </c>
      <c r="BG63" s="1"/>
      <c r="BH63" s="1" t="s">
        <v>1455</v>
      </c>
      <c r="BI63" s="1" t="n">
        <v>16</v>
      </c>
      <c r="BJ63" s="1" t="s">
        <v>1456</v>
      </c>
      <c r="BK63" s="1" t="s">
        <v>610</v>
      </c>
      <c r="BL63" s="1" t="s">
        <v>1457</v>
      </c>
      <c r="BM63" s="1" t="s">
        <v>1458</v>
      </c>
      <c r="BN63" s="1"/>
      <c r="BO63" s="1" t="s">
        <v>612</v>
      </c>
      <c r="BP63" s="1"/>
      <c r="BQ63" s="1"/>
      <c r="BR63" s="1" t="s">
        <v>103</v>
      </c>
      <c r="BS63" s="1" t="s">
        <v>1459</v>
      </c>
      <c r="BT63" s="1" t="str">
        <f aca="false">HYPERLINK("https%3A%2F%2Fwww.webofscience.com%2Fwos%2Fwoscc%2Ffull-record%2FWOS:000565359500001","View Full Record in Web of Science")</f>
        <v>View Full Record in Web of Science</v>
      </c>
    </row>
    <row r="64" customFormat="false" ht="12.75" hidden="false" customHeight="false" outlineLevel="0" collapsed="false">
      <c r="A64" s="1" t="s">
        <v>181</v>
      </c>
      <c r="B64" s="1" t="s">
        <v>131</v>
      </c>
      <c r="C64" s="1"/>
      <c r="D64" s="1"/>
      <c r="E64" s="1"/>
      <c r="F64" s="1" t="s">
        <v>132</v>
      </c>
      <c r="G64" s="1"/>
      <c r="H64" s="1"/>
      <c r="I64" s="1" t="s">
        <v>1460</v>
      </c>
      <c r="J64" s="1" t="s">
        <v>1461</v>
      </c>
      <c r="K64" s="1"/>
      <c r="L64" s="1"/>
      <c r="M64" s="1" t="s">
        <v>78</v>
      </c>
      <c r="N64" s="1" t="s">
        <v>186</v>
      </c>
      <c r="O64" s="1"/>
      <c r="P64" s="1"/>
      <c r="Q64" s="1"/>
      <c r="R64" s="1"/>
      <c r="S64" s="1"/>
      <c r="T64" s="1" t="s">
        <v>1462</v>
      </c>
      <c r="U64" s="1" t="s">
        <v>1463</v>
      </c>
      <c r="V64" s="1" t="s">
        <v>1464</v>
      </c>
      <c r="W64" s="1" t="s">
        <v>142</v>
      </c>
      <c r="X64" s="1" t="s">
        <v>86</v>
      </c>
      <c r="Y64" s="1" t="s">
        <v>527</v>
      </c>
      <c r="Z64" s="1" t="s">
        <v>1465</v>
      </c>
      <c r="AA64" s="1" t="s">
        <v>145</v>
      </c>
      <c r="AB64" s="1" t="s">
        <v>1466</v>
      </c>
      <c r="AC64" s="1" t="s">
        <v>531</v>
      </c>
      <c r="AD64" s="1" t="s">
        <v>532</v>
      </c>
      <c r="AE64" s="1" t="s">
        <v>1467</v>
      </c>
      <c r="AF64" s="1"/>
      <c r="AG64" s="1" t="n">
        <v>50</v>
      </c>
      <c r="AH64" s="1" t="n">
        <v>5</v>
      </c>
      <c r="AI64" s="1" t="n">
        <v>5</v>
      </c>
      <c r="AJ64" s="1" t="n">
        <v>0</v>
      </c>
      <c r="AK64" s="1" t="n">
        <v>4</v>
      </c>
      <c r="AL64" s="1" t="s">
        <v>367</v>
      </c>
      <c r="AM64" s="1" t="s">
        <v>368</v>
      </c>
      <c r="AN64" s="1" t="s">
        <v>369</v>
      </c>
      <c r="AO64" s="1" t="s">
        <v>1468</v>
      </c>
      <c r="AP64" s="1"/>
      <c r="AQ64" s="1"/>
      <c r="AR64" s="1" t="s">
        <v>1461</v>
      </c>
      <c r="AS64" s="1" t="s">
        <v>1469</v>
      </c>
      <c r="AT64" s="1" t="s">
        <v>754</v>
      </c>
      <c r="AU64" s="1" t="n">
        <v>2022</v>
      </c>
      <c r="AV64" s="1" t="n">
        <v>11</v>
      </c>
      <c r="AW64" s="1" t="n">
        <v>5</v>
      </c>
      <c r="AX64" s="1"/>
      <c r="AY64" s="1"/>
      <c r="AZ64" s="1"/>
      <c r="BA64" s="1"/>
      <c r="BB64" s="1"/>
      <c r="BC64" s="1"/>
      <c r="BD64" s="1" t="n">
        <v>69</v>
      </c>
      <c r="BE64" s="1" t="s">
        <v>1470</v>
      </c>
      <c r="BF64" s="1" t="str">
        <f aca="false">HYPERLINK("http://dx.doi.org/10.3390/computers11050069","http://dx.doi.org/10.3390/computers11050069")</f>
        <v>http://dx.doi.org/10.3390/computers11050069</v>
      </c>
      <c r="BG64" s="1"/>
      <c r="BH64" s="1"/>
      <c r="BI64" s="1" t="n">
        <v>19</v>
      </c>
      <c r="BJ64" s="1" t="s">
        <v>946</v>
      </c>
      <c r="BK64" s="1" t="s">
        <v>253</v>
      </c>
      <c r="BL64" s="1" t="s">
        <v>101</v>
      </c>
      <c r="BM64" s="1" t="s">
        <v>1471</v>
      </c>
      <c r="BN64" s="1"/>
      <c r="BO64" s="1" t="s">
        <v>401</v>
      </c>
      <c r="BP64" s="1"/>
      <c r="BQ64" s="1"/>
      <c r="BR64" s="1" t="s">
        <v>103</v>
      </c>
      <c r="BS64" s="1" t="s">
        <v>1472</v>
      </c>
      <c r="BT64" s="1" t="str">
        <f aca="false">HYPERLINK("https%3A%2F%2Fwww.webofscience.com%2Fwos%2Fwoscc%2Ffull-record%2FWOS:000803142100001","View Full Record in Web of Science")</f>
        <v>View Full Record in Web of Science</v>
      </c>
    </row>
    <row r="65" customFormat="false" ht="12.75" hidden="false" customHeight="false" outlineLevel="0" collapsed="false">
      <c r="A65" s="1" t="s">
        <v>181</v>
      </c>
      <c r="B65" s="1" t="s">
        <v>73</v>
      </c>
      <c r="C65" s="1"/>
      <c r="D65" s="1"/>
      <c r="E65" s="1"/>
      <c r="F65" s="1" t="s">
        <v>75</v>
      </c>
      <c r="G65" s="1"/>
      <c r="H65" s="1"/>
      <c r="I65" s="1" t="s">
        <v>1473</v>
      </c>
      <c r="J65" s="1" t="s">
        <v>1474</v>
      </c>
      <c r="K65" s="1"/>
      <c r="L65" s="1"/>
      <c r="M65" s="1" t="s">
        <v>78</v>
      </c>
      <c r="N65" s="1" t="s">
        <v>618</v>
      </c>
      <c r="O65" s="1"/>
      <c r="P65" s="1"/>
      <c r="Q65" s="1"/>
      <c r="R65" s="1"/>
      <c r="S65" s="1"/>
      <c r="T65" s="1" t="s">
        <v>1475</v>
      </c>
      <c r="U65" s="1" t="s">
        <v>1476</v>
      </c>
      <c r="V65" s="1" t="s">
        <v>1477</v>
      </c>
      <c r="W65" s="1" t="s">
        <v>85</v>
      </c>
      <c r="X65" s="1" t="s">
        <v>86</v>
      </c>
      <c r="Y65" s="1" t="s">
        <v>87</v>
      </c>
      <c r="Z65" s="1" t="s">
        <v>88</v>
      </c>
      <c r="AA65" s="1" t="s">
        <v>1293</v>
      </c>
      <c r="AB65" s="1"/>
      <c r="AC65" s="1"/>
      <c r="AD65" s="1"/>
      <c r="AE65" s="1"/>
      <c r="AF65" s="1"/>
      <c r="AG65" s="1" t="n">
        <v>138</v>
      </c>
      <c r="AH65" s="1" t="n">
        <v>29</v>
      </c>
      <c r="AI65" s="1" t="n">
        <v>31</v>
      </c>
      <c r="AJ65" s="1" t="n">
        <v>2</v>
      </c>
      <c r="AK65" s="1" t="n">
        <v>2</v>
      </c>
      <c r="AL65" s="1" t="s">
        <v>94</v>
      </c>
      <c r="AM65" s="1" t="s">
        <v>95</v>
      </c>
      <c r="AN65" s="1" t="s">
        <v>826</v>
      </c>
      <c r="AO65" s="1" t="s">
        <v>1478</v>
      </c>
      <c r="AP65" s="1" t="s">
        <v>1479</v>
      </c>
      <c r="AQ65" s="1"/>
      <c r="AR65" s="1" t="s">
        <v>1480</v>
      </c>
      <c r="AS65" s="1" t="s">
        <v>1481</v>
      </c>
      <c r="AT65" s="1" t="s">
        <v>421</v>
      </c>
      <c r="AU65" s="1" t="n">
        <v>2022</v>
      </c>
      <c r="AV65" s="1" t="n">
        <v>3</v>
      </c>
      <c r="AW65" s="1" t="n">
        <v>2</v>
      </c>
      <c r="AX65" s="1"/>
      <c r="AY65" s="1"/>
      <c r="AZ65" s="1"/>
      <c r="BA65" s="1"/>
      <c r="BB65" s="1"/>
      <c r="BC65" s="1"/>
      <c r="BD65" s="1" t="n">
        <v>22</v>
      </c>
      <c r="BE65" s="1" t="s">
        <v>1482</v>
      </c>
      <c r="BF65" s="1" t="str">
        <f aca="false">HYPERLINK("http://dx.doi.org/10.1145/3472303","http://dx.doi.org/10.1145/3472303")</f>
        <v>http://dx.doi.org/10.1145/3472303</v>
      </c>
      <c r="BG65" s="1"/>
      <c r="BH65" s="1"/>
      <c r="BI65" s="1" t="n">
        <v>27</v>
      </c>
      <c r="BJ65" s="1" t="s">
        <v>1483</v>
      </c>
      <c r="BK65" s="1" t="s">
        <v>253</v>
      </c>
      <c r="BL65" s="1" t="s">
        <v>1484</v>
      </c>
      <c r="BM65" s="1" t="s">
        <v>1485</v>
      </c>
      <c r="BN65" s="1"/>
      <c r="BO65" s="1"/>
      <c r="BP65" s="1"/>
      <c r="BQ65" s="1"/>
      <c r="BR65" s="1" t="s">
        <v>103</v>
      </c>
      <c r="BS65" s="1" t="s">
        <v>1486</v>
      </c>
      <c r="BT65" s="1" t="str">
        <f aca="false">HYPERLINK("https%3A%2F%2Fwww.webofscience.com%2Fwos%2Fwoscc%2Ffull-record%2FWOS:001373194500006","View Full Record in Web of Science")</f>
        <v>View Full Record in Web of Science</v>
      </c>
    </row>
    <row r="66" customFormat="false" ht="12.75" hidden="false" customHeight="false" outlineLevel="0" collapsed="false">
      <c r="A66" s="1" t="s">
        <v>181</v>
      </c>
      <c r="B66" s="1" t="s">
        <v>1487</v>
      </c>
      <c r="C66" s="1"/>
      <c r="D66" s="1"/>
      <c r="E66" s="1"/>
      <c r="F66" s="1" t="s">
        <v>1488</v>
      </c>
      <c r="G66" s="1"/>
      <c r="H66" s="1"/>
      <c r="I66" s="1" t="s">
        <v>1489</v>
      </c>
      <c r="J66" s="1" t="s">
        <v>1490</v>
      </c>
      <c r="K66" s="1"/>
      <c r="L66" s="1"/>
      <c r="M66" s="1" t="s">
        <v>78</v>
      </c>
      <c r="N66" s="1" t="s">
        <v>186</v>
      </c>
      <c r="O66" s="1"/>
      <c r="P66" s="1"/>
      <c r="Q66" s="1"/>
      <c r="R66" s="1"/>
      <c r="S66" s="1"/>
      <c r="T66" s="1" t="s">
        <v>1491</v>
      </c>
      <c r="U66" s="1" t="s">
        <v>1492</v>
      </c>
      <c r="V66" s="1" t="s">
        <v>1493</v>
      </c>
      <c r="W66" s="1" t="s">
        <v>1494</v>
      </c>
      <c r="X66" s="1" t="s">
        <v>86</v>
      </c>
      <c r="Y66" s="1" t="s">
        <v>1495</v>
      </c>
      <c r="Z66" s="1" t="s">
        <v>1496</v>
      </c>
      <c r="AA66" s="1"/>
      <c r="AB66" s="1" t="s">
        <v>1497</v>
      </c>
      <c r="AC66" s="1" t="s">
        <v>1498</v>
      </c>
      <c r="AD66" s="1" t="s">
        <v>1498</v>
      </c>
      <c r="AE66" s="1" t="s">
        <v>1499</v>
      </c>
      <c r="AF66" s="1"/>
      <c r="AG66" s="1" t="n">
        <v>137</v>
      </c>
      <c r="AH66" s="1" t="n">
        <v>11</v>
      </c>
      <c r="AI66" s="1" t="n">
        <v>13</v>
      </c>
      <c r="AJ66" s="1" t="n">
        <v>2</v>
      </c>
      <c r="AK66" s="1" t="n">
        <v>10</v>
      </c>
      <c r="AL66" s="1" t="s">
        <v>270</v>
      </c>
      <c r="AM66" s="1" t="s">
        <v>271</v>
      </c>
      <c r="AN66" s="1" t="s">
        <v>272</v>
      </c>
      <c r="AO66" s="1" t="s">
        <v>1500</v>
      </c>
      <c r="AP66" s="1" t="s">
        <v>1501</v>
      </c>
      <c r="AQ66" s="1"/>
      <c r="AR66" s="1" t="s">
        <v>1502</v>
      </c>
      <c r="AS66" s="1" t="s">
        <v>1503</v>
      </c>
      <c r="AT66" s="1" t="s">
        <v>421</v>
      </c>
      <c r="AU66" s="1" t="n">
        <v>2022</v>
      </c>
      <c r="AV66" s="1" t="n">
        <v>33</v>
      </c>
      <c r="AW66" s="1" t="n">
        <v>2</v>
      </c>
      <c r="AX66" s="1"/>
      <c r="AY66" s="1"/>
      <c r="AZ66" s="1"/>
      <c r="BA66" s="1"/>
      <c r="BB66" s="1" t="n">
        <v>191</v>
      </c>
      <c r="BC66" s="1" t="n">
        <v>211</v>
      </c>
      <c r="BD66" s="1"/>
      <c r="BE66" s="1" t="s">
        <v>1504</v>
      </c>
      <c r="BF66" s="1" t="str">
        <f aca="false">HYPERLINK("http://dx.doi.org/10.1007/s00163-022-00384-1","http://dx.doi.org/10.1007/s00163-022-00384-1")</f>
        <v>http://dx.doi.org/10.1007/s00163-022-00384-1</v>
      </c>
      <c r="BG66" s="1"/>
      <c r="BH66" s="1" t="s">
        <v>1505</v>
      </c>
      <c r="BI66" s="1" t="n">
        <v>21</v>
      </c>
      <c r="BJ66" s="1" t="s">
        <v>1506</v>
      </c>
      <c r="BK66" s="1" t="s">
        <v>398</v>
      </c>
      <c r="BL66" s="1" t="s">
        <v>640</v>
      </c>
      <c r="BM66" s="1" t="s">
        <v>1507</v>
      </c>
      <c r="BN66" s="1"/>
      <c r="BO66" s="1" t="s">
        <v>612</v>
      </c>
      <c r="BP66" s="1"/>
      <c r="BQ66" s="1"/>
      <c r="BR66" s="1" t="s">
        <v>103</v>
      </c>
      <c r="BS66" s="1" t="s">
        <v>1508</v>
      </c>
      <c r="BT66" s="1" t="str">
        <f aca="false">HYPERLINK("https%3A%2F%2Fwww.webofscience.com%2Fwos%2Fwoscc%2Ffull-record%2FWOS:000751682600001","View Full Record in Web of Science")</f>
        <v>View Full Record in Web of Science</v>
      </c>
    </row>
    <row r="67" customFormat="false" ht="12.75" hidden="false" customHeight="false" outlineLevel="0" collapsed="false">
      <c r="A67" s="1" t="s">
        <v>72</v>
      </c>
      <c r="B67" s="1" t="s">
        <v>1509</v>
      </c>
      <c r="C67" s="1"/>
      <c r="D67" s="1" t="s">
        <v>1510</v>
      </c>
      <c r="E67" s="1"/>
      <c r="F67" s="1" t="s">
        <v>1511</v>
      </c>
      <c r="G67" s="1"/>
      <c r="H67" s="1"/>
      <c r="I67" s="1" t="s">
        <v>1512</v>
      </c>
      <c r="J67" s="1" t="s">
        <v>1513</v>
      </c>
      <c r="K67" s="1" t="s">
        <v>1514</v>
      </c>
      <c r="L67" s="1"/>
      <c r="M67" s="1" t="s">
        <v>78</v>
      </c>
      <c r="N67" s="1" t="s">
        <v>79</v>
      </c>
      <c r="O67" s="1" t="s">
        <v>1515</v>
      </c>
      <c r="P67" s="1" t="s">
        <v>1516</v>
      </c>
      <c r="Q67" s="1" t="s">
        <v>1517</v>
      </c>
      <c r="R67" s="1" t="s">
        <v>1518</v>
      </c>
      <c r="S67" s="1"/>
      <c r="T67" s="1" t="s">
        <v>1519</v>
      </c>
      <c r="U67" s="1"/>
      <c r="V67" s="1" t="s">
        <v>1520</v>
      </c>
      <c r="W67" s="1" t="s">
        <v>1521</v>
      </c>
      <c r="X67" s="1" t="s">
        <v>86</v>
      </c>
      <c r="Y67" s="1" t="s">
        <v>1522</v>
      </c>
      <c r="Z67" s="1" t="s">
        <v>1523</v>
      </c>
      <c r="AA67" s="1" t="s">
        <v>1524</v>
      </c>
      <c r="AB67" s="1"/>
      <c r="AC67" s="1"/>
      <c r="AD67" s="1"/>
      <c r="AE67" s="1"/>
      <c r="AF67" s="1"/>
      <c r="AG67" s="1" t="n">
        <v>19</v>
      </c>
      <c r="AH67" s="1" t="n">
        <v>1</v>
      </c>
      <c r="AI67" s="1" t="n">
        <v>1</v>
      </c>
      <c r="AJ67" s="1" t="n">
        <v>0</v>
      </c>
      <c r="AK67" s="1" t="n">
        <v>1</v>
      </c>
      <c r="AL67" s="1" t="s">
        <v>172</v>
      </c>
      <c r="AM67" s="1" t="s">
        <v>173</v>
      </c>
      <c r="AN67" s="1" t="s">
        <v>174</v>
      </c>
      <c r="AO67" s="1" t="s">
        <v>1525</v>
      </c>
      <c r="AP67" s="1"/>
      <c r="AQ67" s="1" t="s">
        <v>1526</v>
      </c>
      <c r="AR67" s="1" t="s">
        <v>1527</v>
      </c>
      <c r="AS67" s="1"/>
      <c r="AT67" s="1"/>
      <c r="AU67" s="1" t="n">
        <v>2022</v>
      </c>
      <c r="AV67" s="1"/>
      <c r="AW67" s="1"/>
      <c r="AX67" s="1"/>
      <c r="AY67" s="1"/>
      <c r="AZ67" s="1"/>
      <c r="BA67" s="1"/>
      <c r="BB67" s="1" t="n">
        <v>119</v>
      </c>
      <c r="BC67" s="1" t="n">
        <v>126</v>
      </c>
      <c r="BD67" s="1"/>
      <c r="BE67" s="1" t="s">
        <v>1528</v>
      </c>
      <c r="BF67" s="1" t="str">
        <f aca="false">HYPERLINK("http://dx.doi.org/10.1109/ICDMW58026.2022.00025","http://dx.doi.org/10.1109/ICDMW58026.2022.00025")</f>
        <v>http://dx.doi.org/10.1109/ICDMW58026.2022.00025</v>
      </c>
      <c r="BG67" s="1"/>
      <c r="BH67" s="1"/>
      <c r="BI67" s="1" t="n">
        <v>8</v>
      </c>
      <c r="BJ67" s="1" t="s">
        <v>1529</v>
      </c>
      <c r="BK67" s="1" t="s">
        <v>100</v>
      </c>
      <c r="BL67" s="1" t="s">
        <v>101</v>
      </c>
      <c r="BM67" s="1" t="s">
        <v>1530</v>
      </c>
      <c r="BN67" s="1"/>
      <c r="BO67" s="1"/>
      <c r="BP67" s="1"/>
      <c r="BQ67" s="1"/>
      <c r="BR67" s="1" t="s">
        <v>103</v>
      </c>
      <c r="BS67" s="1" t="s">
        <v>1531</v>
      </c>
      <c r="BT67" s="1" t="str">
        <f aca="false">HYPERLINK("https%3A%2F%2Fwww.webofscience.com%2Fwos%2Fwoscc%2Ffull-record%2FWOS:000971492200017","View Full Record in Web of Science")</f>
        <v>View Full Record in Web of Science</v>
      </c>
    </row>
    <row r="68" customFormat="false" ht="12.75" hidden="false" customHeight="false" outlineLevel="0" collapsed="false">
      <c r="A68" s="1" t="s">
        <v>72</v>
      </c>
      <c r="B68" s="1" t="s">
        <v>1532</v>
      </c>
      <c r="C68" s="1"/>
      <c r="D68" s="1" t="s">
        <v>285</v>
      </c>
      <c r="E68" s="1"/>
      <c r="F68" s="1" t="s">
        <v>1533</v>
      </c>
      <c r="G68" s="1"/>
      <c r="H68" s="1"/>
      <c r="I68" s="1" t="s">
        <v>1534</v>
      </c>
      <c r="J68" s="1" t="s">
        <v>288</v>
      </c>
      <c r="K68" s="1" t="s">
        <v>289</v>
      </c>
      <c r="L68" s="1"/>
      <c r="M68" s="1" t="s">
        <v>78</v>
      </c>
      <c r="N68" s="1" t="s">
        <v>79</v>
      </c>
      <c r="O68" s="1" t="s">
        <v>290</v>
      </c>
      <c r="P68" s="1" t="s">
        <v>291</v>
      </c>
      <c r="Q68" s="1" t="s">
        <v>292</v>
      </c>
      <c r="R68" s="1" t="s">
        <v>293</v>
      </c>
      <c r="S68" s="1"/>
      <c r="T68" s="1" t="s">
        <v>1535</v>
      </c>
      <c r="U68" s="1"/>
      <c r="V68" s="1" t="s">
        <v>1536</v>
      </c>
      <c r="W68" s="1" t="s">
        <v>1537</v>
      </c>
      <c r="X68" s="1" t="s">
        <v>86</v>
      </c>
      <c r="Y68" s="1" t="s">
        <v>1538</v>
      </c>
      <c r="Z68" s="1" t="s">
        <v>1539</v>
      </c>
      <c r="AA68" s="1"/>
      <c r="AB68" s="1" t="s">
        <v>1540</v>
      </c>
      <c r="AC68" s="1" t="s">
        <v>1541</v>
      </c>
      <c r="AD68" s="1" t="s">
        <v>1541</v>
      </c>
      <c r="AE68" s="1" t="s">
        <v>1542</v>
      </c>
      <c r="AF68" s="1"/>
      <c r="AG68" s="1" t="n">
        <v>22</v>
      </c>
      <c r="AH68" s="1" t="n">
        <v>0</v>
      </c>
      <c r="AI68" s="1" t="n">
        <v>0</v>
      </c>
      <c r="AJ68" s="1" t="n">
        <v>1</v>
      </c>
      <c r="AK68" s="1" t="n">
        <v>1</v>
      </c>
      <c r="AL68" s="1" t="s">
        <v>302</v>
      </c>
      <c r="AM68" s="1" t="s">
        <v>303</v>
      </c>
      <c r="AN68" s="1" t="s">
        <v>304</v>
      </c>
      <c r="AO68" s="1" t="s">
        <v>305</v>
      </c>
      <c r="AP68" s="1" t="s">
        <v>306</v>
      </c>
      <c r="AQ68" s="1" t="s">
        <v>307</v>
      </c>
      <c r="AR68" s="1" t="s">
        <v>308</v>
      </c>
      <c r="AS68" s="1"/>
      <c r="AT68" s="1"/>
      <c r="AU68" s="1" t="n">
        <v>2022</v>
      </c>
      <c r="AV68" s="1" t="n">
        <v>662</v>
      </c>
      <c r="AW68" s="1"/>
      <c r="AX68" s="1"/>
      <c r="AY68" s="1"/>
      <c r="AZ68" s="1"/>
      <c r="BA68" s="1"/>
      <c r="BB68" s="1" t="n">
        <v>603</v>
      </c>
      <c r="BC68" s="1" t="n">
        <v>612</v>
      </c>
      <c r="BD68" s="1"/>
      <c r="BE68" s="1" t="s">
        <v>1543</v>
      </c>
      <c r="BF68" s="1" t="str">
        <f aca="false">HYPERLINK("http://dx.doi.org/10.1007/978-3-031-14844-6_48","http://dx.doi.org/10.1007/978-3-031-14844-6_48")</f>
        <v>http://dx.doi.org/10.1007/978-3-031-14844-6_48</v>
      </c>
      <c r="BG68" s="1"/>
      <c r="BH68" s="1"/>
      <c r="BI68" s="1" t="n">
        <v>10</v>
      </c>
      <c r="BJ68" s="1" t="s">
        <v>310</v>
      </c>
      <c r="BK68" s="1" t="s">
        <v>100</v>
      </c>
      <c r="BL68" s="1" t="s">
        <v>311</v>
      </c>
      <c r="BM68" s="1" t="s">
        <v>312</v>
      </c>
      <c r="BN68" s="1"/>
      <c r="BO68" s="1"/>
      <c r="BP68" s="1"/>
      <c r="BQ68" s="1"/>
      <c r="BR68" s="1" t="s">
        <v>103</v>
      </c>
      <c r="BS68" s="1" t="s">
        <v>1544</v>
      </c>
      <c r="BT68" s="1" t="str">
        <f aca="false">HYPERLINK("https%3A%2F%2Fwww.webofscience.com%2Fwos%2Fwoscc%2Ffull-record%2FWOS:001359443000048","View Full Record in Web of Science")</f>
        <v>View Full Record in Web of Science</v>
      </c>
    </row>
    <row r="69" customFormat="false" ht="12.75" hidden="false" customHeight="false" outlineLevel="0" collapsed="false">
      <c r="A69" s="1" t="s">
        <v>72</v>
      </c>
      <c r="B69" s="1" t="s">
        <v>1545</v>
      </c>
      <c r="C69" s="1"/>
      <c r="D69" s="1" t="s">
        <v>1546</v>
      </c>
      <c r="E69" s="1"/>
      <c r="F69" s="1" t="s">
        <v>1547</v>
      </c>
      <c r="G69" s="1"/>
      <c r="H69" s="1"/>
      <c r="I69" s="1" t="s">
        <v>1548</v>
      </c>
      <c r="J69" s="1" t="s">
        <v>1549</v>
      </c>
      <c r="K69" s="1" t="s">
        <v>289</v>
      </c>
      <c r="L69" s="1"/>
      <c r="M69" s="1" t="s">
        <v>78</v>
      </c>
      <c r="N69" s="1" t="s">
        <v>79</v>
      </c>
      <c r="O69" s="1" t="s">
        <v>1550</v>
      </c>
      <c r="P69" s="1" t="s">
        <v>1551</v>
      </c>
      <c r="Q69" s="1" t="s">
        <v>320</v>
      </c>
      <c r="R69" s="1" t="s">
        <v>1552</v>
      </c>
      <c r="S69" s="1"/>
      <c r="T69" s="1" t="s">
        <v>1553</v>
      </c>
      <c r="U69" s="1"/>
      <c r="V69" s="1" t="s">
        <v>1554</v>
      </c>
      <c r="W69" s="1" t="s">
        <v>1555</v>
      </c>
      <c r="X69" s="1" t="s">
        <v>86</v>
      </c>
      <c r="Y69" s="1" t="s">
        <v>731</v>
      </c>
      <c r="Z69" s="1" t="s">
        <v>1556</v>
      </c>
      <c r="AA69" s="1" t="s">
        <v>455</v>
      </c>
      <c r="AB69" s="1"/>
      <c r="AC69" s="1" t="s">
        <v>1557</v>
      </c>
      <c r="AD69" s="1" t="s">
        <v>1557</v>
      </c>
      <c r="AE69" s="1" t="s">
        <v>1558</v>
      </c>
      <c r="AF69" s="1"/>
      <c r="AG69" s="1" t="n">
        <v>9</v>
      </c>
      <c r="AH69" s="1" t="n">
        <v>3</v>
      </c>
      <c r="AI69" s="1" t="n">
        <v>3</v>
      </c>
      <c r="AJ69" s="1" t="n">
        <v>0</v>
      </c>
      <c r="AK69" s="1" t="n">
        <v>1</v>
      </c>
      <c r="AL69" s="1" t="s">
        <v>302</v>
      </c>
      <c r="AM69" s="1" t="s">
        <v>303</v>
      </c>
      <c r="AN69" s="1" t="s">
        <v>304</v>
      </c>
      <c r="AO69" s="1" t="s">
        <v>305</v>
      </c>
      <c r="AP69" s="1" t="s">
        <v>306</v>
      </c>
      <c r="AQ69" s="1" t="s">
        <v>1559</v>
      </c>
      <c r="AR69" s="1" t="s">
        <v>308</v>
      </c>
      <c r="AS69" s="1"/>
      <c r="AT69" s="1"/>
      <c r="AU69" s="1" t="n">
        <v>2021</v>
      </c>
      <c r="AV69" s="1" t="n">
        <v>629</v>
      </c>
      <c r="AW69" s="1"/>
      <c r="AX69" s="1"/>
      <c r="AY69" s="1"/>
      <c r="AZ69" s="1"/>
      <c r="BA69" s="1"/>
      <c r="BB69" s="1" t="n">
        <v>382</v>
      </c>
      <c r="BC69" s="1" t="n">
        <v>389</v>
      </c>
      <c r="BD69" s="1"/>
      <c r="BE69" s="1" t="s">
        <v>1560</v>
      </c>
      <c r="BF69" s="1" t="str">
        <f aca="false">HYPERLINK("http://dx.doi.org/10.1007/978-3-030-85969-5_35","http://dx.doi.org/10.1007/978-3-030-85969-5_35")</f>
        <v>http://dx.doi.org/10.1007/978-3-030-85969-5_35</v>
      </c>
      <c r="BG69" s="1"/>
      <c r="BH69" s="1"/>
      <c r="BI69" s="1" t="n">
        <v>8</v>
      </c>
      <c r="BJ69" s="1" t="s">
        <v>1561</v>
      </c>
      <c r="BK69" s="1" t="s">
        <v>100</v>
      </c>
      <c r="BL69" s="1" t="s">
        <v>1562</v>
      </c>
      <c r="BM69" s="1" t="s">
        <v>1563</v>
      </c>
      <c r="BN69" s="1"/>
      <c r="BO69" s="1"/>
      <c r="BP69" s="1"/>
      <c r="BQ69" s="1"/>
      <c r="BR69" s="1" t="s">
        <v>103</v>
      </c>
      <c r="BS69" s="1" t="s">
        <v>1564</v>
      </c>
      <c r="BT69" s="1" t="str">
        <f aca="false">HYPERLINK("https%3A%2F%2Fwww.webofscience.com%2Fwos%2Fwoscc%2Ffull-record%2FWOS:000765252000035","View Full Record in Web of Science")</f>
        <v>View Full Record in Web of Science</v>
      </c>
    </row>
    <row r="70" customFormat="false" ht="12.75" hidden="false" customHeight="false" outlineLevel="0" collapsed="false">
      <c r="A70" s="1" t="s">
        <v>72</v>
      </c>
      <c r="B70" s="1" t="s">
        <v>1565</v>
      </c>
      <c r="C70" s="1"/>
      <c r="D70" s="1"/>
      <c r="E70" s="1" t="s">
        <v>106</v>
      </c>
      <c r="F70" s="1" t="s">
        <v>1566</v>
      </c>
      <c r="G70" s="1"/>
      <c r="H70" s="1"/>
      <c r="I70" s="1" t="s">
        <v>1567</v>
      </c>
      <c r="J70" s="1" t="s">
        <v>1568</v>
      </c>
      <c r="K70" s="1"/>
      <c r="L70" s="1"/>
      <c r="M70" s="1" t="s">
        <v>78</v>
      </c>
      <c r="N70" s="1" t="s">
        <v>79</v>
      </c>
      <c r="O70" s="1" t="s">
        <v>1569</v>
      </c>
      <c r="P70" s="1" t="s">
        <v>1570</v>
      </c>
      <c r="Q70" s="1" t="s">
        <v>320</v>
      </c>
      <c r="R70" s="1" t="s">
        <v>1571</v>
      </c>
      <c r="S70" s="1"/>
      <c r="T70" s="1" t="s">
        <v>1572</v>
      </c>
      <c r="U70" s="1"/>
      <c r="V70" s="1" t="s">
        <v>1573</v>
      </c>
      <c r="W70" s="1" t="s">
        <v>1574</v>
      </c>
      <c r="X70" s="1" t="s">
        <v>86</v>
      </c>
      <c r="Y70" s="1" t="s">
        <v>1575</v>
      </c>
      <c r="Z70" s="1" t="s">
        <v>1576</v>
      </c>
      <c r="AA70" s="1" t="s">
        <v>557</v>
      </c>
      <c r="AB70" s="1"/>
      <c r="AC70" s="1" t="s">
        <v>531</v>
      </c>
      <c r="AD70" s="1" t="s">
        <v>532</v>
      </c>
      <c r="AE70" s="1" t="s">
        <v>1577</v>
      </c>
      <c r="AF70" s="1"/>
      <c r="AG70" s="1" t="n">
        <v>8</v>
      </c>
      <c r="AH70" s="1" t="n">
        <v>3</v>
      </c>
      <c r="AI70" s="1" t="n">
        <v>3</v>
      </c>
      <c r="AJ70" s="1" t="n">
        <v>0</v>
      </c>
      <c r="AK70" s="1" t="n">
        <v>0</v>
      </c>
      <c r="AL70" s="1" t="s">
        <v>106</v>
      </c>
      <c r="AM70" s="1" t="s">
        <v>95</v>
      </c>
      <c r="AN70" s="1" t="s">
        <v>122</v>
      </c>
      <c r="AO70" s="1"/>
      <c r="AP70" s="1"/>
      <c r="AQ70" s="1" t="s">
        <v>1578</v>
      </c>
      <c r="AR70" s="1"/>
      <c r="AS70" s="1"/>
      <c r="AT70" s="1"/>
      <c r="AU70" s="1" t="n">
        <v>2021</v>
      </c>
      <c r="AV70" s="1"/>
      <c r="AW70" s="1"/>
      <c r="AX70" s="1"/>
      <c r="AY70" s="1"/>
      <c r="AZ70" s="1"/>
      <c r="BA70" s="1"/>
      <c r="BB70" s="1" t="n">
        <v>71</v>
      </c>
      <c r="BC70" s="1" t="n">
        <v>74</v>
      </c>
      <c r="BD70" s="1"/>
      <c r="BE70" s="1" t="s">
        <v>1579</v>
      </c>
      <c r="BF70" s="1" t="str">
        <f aca="false">HYPERLINK("http://dx.doi.org/10.1109/VRW52623.2021.00020","http://dx.doi.org/10.1109/VRW52623.2021.00020")</f>
        <v>http://dx.doi.org/10.1109/VRW52623.2021.00020</v>
      </c>
      <c r="BG70" s="1"/>
      <c r="BH70" s="1"/>
      <c r="BI70" s="1" t="n">
        <v>4</v>
      </c>
      <c r="BJ70" s="1" t="s">
        <v>1580</v>
      </c>
      <c r="BK70" s="1" t="s">
        <v>100</v>
      </c>
      <c r="BL70" s="1" t="s">
        <v>101</v>
      </c>
      <c r="BM70" s="1" t="s">
        <v>1581</v>
      </c>
      <c r="BN70" s="1"/>
      <c r="BO70" s="1" t="s">
        <v>179</v>
      </c>
      <c r="BP70" s="1"/>
      <c r="BQ70" s="1"/>
      <c r="BR70" s="1" t="s">
        <v>103</v>
      </c>
      <c r="BS70" s="1" t="s">
        <v>1582</v>
      </c>
      <c r="BT70" s="1" t="str">
        <f aca="false">HYPERLINK("https%3A%2F%2Fwww.webofscience.com%2Fwos%2Fwoscc%2Ffull-record%2FWOS:000676157600013","View Full Record in Web of Science")</f>
        <v>View Full Record in Web of Science</v>
      </c>
    </row>
    <row r="71" customFormat="false" ht="12.75" hidden="false" customHeight="false" outlineLevel="0" collapsed="false">
      <c r="A71" s="1" t="s">
        <v>181</v>
      </c>
      <c r="B71" s="1" t="s">
        <v>1583</v>
      </c>
      <c r="C71" s="1"/>
      <c r="D71" s="1"/>
      <c r="E71" s="1"/>
      <c r="F71" s="1" t="s">
        <v>1584</v>
      </c>
      <c r="G71" s="1"/>
      <c r="H71" s="1"/>
      <c r="I71" s="1" t="s">
        <v>1585</v>
      </c>
      <c r="J71" s="1" t="s">
        <v>1586</v>
      </c>
      <c r="K71" s="1"/>
      <c r="L71" s="1"/>
      <c r="M71" s="1" t="s">
        <v>78</v>
      </c>
      <c r="N71" s="1" t="s">
        <v>186</v>
      </c>
      <c r="O71" s="1"/>
      <c r="P71" s="1"/>
      <c r="Q71" s="1"/>
      <c r="R71" s="1"/>
      <c r="S71" s="1"/>
      <c r="T71" s="1" t="s">
        <v>1587</v>
      </c>
      <c r="U71" s="1" t="s">
        <v>1588</v>
      </c>
      <c r="V71" s="1" t="s">
        <v>1589</v>
      </c>
      <c r="W71" s="1" t="s">
        <v>1590</v>
      </c>
      <c r="X71" s="1" t="s">
        <v>86</v>
      </c>
      <c r="Y71" s="1" t="s">
        <v>1591</v>
      </c>
      <c r="Z71" s="1" t="s">
        <v>1592</v>
      </c>
      <c r="AA71" s="1" t="s">
        <v>455</v>
      </c>
      <c r="AB71" s="1" t="s">
        <v>1593</v>
      </c>
      <c r="AC71" s="1" t="s">
        <v>1594</v>
      </c>
      <c r="AD71" s="1" t="s">
        <v>1594</v>
      </c>
      <c r="AE71" s="1" t="s">
        <v>1595</v>
      </c>
      <c r="AF71" s="1"/>
      <c r="AG71" s="1" t="n">
        <v>69</v>
      </c>
      <c r="AH71" s="1" t="n">
        <v>6</v>
      </c>
      <c r="AI71" s="1" t="n">
        <v>6</v>
      </c>
      <c r="AJ71" s="1" t="n">
        <v>2</v>
      </c>
      <c r="AK71" s="1" t="n">
        <v>22</v>
      </c>
      <c r="AL71" s="1" t="s">
        <v>679</v>
      </c>
      <c r="AM71" s="1" t="s">
        <v>680</v>
      </c>
      <c r="AN71" s="1" t="s">
        <v>681</v>
      </c>
      <c r="AO71" s="1" t="s">
        <v>1596</v>
      </c>
      <c r="AP71" s="1" t="s">
        <v>1597</v>
      </c>
      <c r="AQ71" s="1"/>
      <c r="AR71" s="1" t="s">
        <v>1598</v>
      </c>
      <c r="AS71" s="1" t="s">
        <v>1599</v>
      </c>
      <c r="AT71" s="1" t="s">
        <v>808</v>
      </c>
      <c r="AU71" s="1" t="n">
        <v>2020</v>
      </c>
      <c r="AV71" s="1" t="n">
        <v>30</v>
      </c>
      <c r="AW71" s="1" t="n">
        <v>3</v>
      </c>
      <c r="AX71" s="1"/>
      <c r="AY71" s="1"/>
      <c r="AZ71" s="1"/>
      <c r="BA71" s="1"/>
      <c r="BB71" s="1" t="n">
        <v>531</v>
      </c>
      <c r="BC71" s="1" t="n">
        <v>552</v>
      </c>
      <c r="BD71" s="1"/>
      <c r="BE71" s="1" t="s">
        <v>1600</v>
      </c>
      <c r="BF71" s="1" t="str">
        <f aca="false">HYPERLINK("http://dx.doi.org/10.1007/s10798-019-09511-x","http://dx.doi.org/10.1007/s10798-019-09511-x")</f>
        <v>http://dx.doi.org/10.1007/s10798-019-09511-x</v>
      </c>
      <c r="BG71" s="1"/>
      <c r="BH71" s="1"/>
      <c r="BI71" s="1" t="n">
        <v>22</v>
      </c>
      <c r="BJ71" s="1" t="s">
        <v>1601</v>
      </c>
      <c r="BK71" s="1" t="s">
        <v>398</v>
      </c>
      <c r="BL71" s="1" t="s">
        <v>1602</v>
      </c>
      <c r="BM71" s="1" t="s">
        <v>1603</v>
      </c>
      <c r="BN71" s="1"/>
      <c r="BO71" s="1" t="s">
        <v>282</v>
      </c>
      <c r="BP71" s="1"/>
      <c r="BQ71" s="1"/>
      <c r="BR71" s="1" t="s">
        <v>103</v>
      </c>
      <c r="BS71" s="1" t="s">
        <v>1604</v>
      </c>
      <c r="BT71" s="1" t="str">
        <f aca="false">HYPERLINK("https%3A%2F%2Fwww.webofscience.com%2Fwos%2Fwoscc%2Ffull-record%2FWOS:000549594100006","View Full Record in Web of Science")</f>
        <v>View Full Record in Web of Science</v>
      </c>
    </row>
    <row r="72" customFormat="false" ht="12.75" hidden="false" customHeight="false" outlineLevel="0" collapsed="false">
      <c r="A72" s="1" t="s">
        <v>181</v>
      </c>
      <c r="B72" s="1" t="s">
        <v>1605</v>
      </c>
      <c r="C72" s="1"/>
      <c r="D72" s="1"/>
      <c r="E72" s="1"/>
      <c r="F72" s="1" t="s">
        <v>1606</v>
      </c>
      <c r="G72" s="1"/>
      <c r="H72" s="1"/>
      <c r="I72" s="1" t="s">
        <v>1607</v>
      </c>
      <c r="J72" s="1" t="s">
        <v>1608</v>
      </c>
      <c r="K72" s="1"/>
      <c r="L72" s="1"/>
      <c r="M72" s="1" t="s">
        <v>78</v>
      </c>
      <c r="N72" s="1" t="s">
        <v>186</v>
      </c>
      <c r="O72" s="1"/>
      <c r="P72" s="1"/>
      <c r="Q72" s="1"/>
      <c r="R72" s="1"/>
      <c r="S72" s="1"/>
      <c r="T72" s="1" t="s">
        <v>1609</v>
      </c>
      <c r="U72" s="1" t="s">
        <v>1610</v>
      </c>
      <c r="V72" s="1" t="s">
        <v>1611</v>
      </c>
      <c r="W72" s="1" t="s">
        <v>1612</v>
      </c>
      <c r="X72" s="1" t="s">
        <v>86</v>
      </c>
      <c r="Y72" s="1" t="s">
        <v>1613</v>
      </c>
      <c r="Z72" s="1" t="s">
        <v>1614</v>
      </c>
      <c r="AA72" s="1" t="s">
        <v>1615</v>
      </c>
      <c r="AB72" s="1" t="s">
        <v>1616</v>
      </c>
      <c r="AC72" s="1" t="s">
        <v>1617</v>
      </c>
      <c r="AD72" s="1" t="s">
        <v>677</v>
      </c>
      <c r="AE72" s="1" t="s">
        <v>1618</v>
      </c>
      <c r="AF72" s="1"/>
      <c r="AG72" s="1" t="n">
        <v>58</v>
      </c>
      <c r="AH72" s="1" t="n">
        <v>8</v>
      </c>
      <c r="AI72" s="1" t="n">
        <v>9</v>
      </c>
      <c r="AJ72" s="1" t="n">
        <v>2</v>
      </c>
      <c r="AK72" s="1" t="n">
        <v>17</v>
      </c>
      <c r="AL72" s="1" t="s">
        <v>270</v>
      </c>
      <c r="AM72" s="1" t="s">
        <v>271</v>
      </c>
      <c r="AN72" s="1" t="s">
        <v>272</v>
      </c>
      <c r="AO72" s="1" t="s">
        <v>1619</v>
      </c>
      <c r="AP72" s="1" t="s">
        <v>1620</v>
      </c>
      <c r="AQ72" s="1"/>
      <c r="AR72" s="1" t="s">
        <v>1621</v>
      </c>
      <c r="AS72" s="1" t="s">
        <v>1622</v>
      </c>
      <c r="AT72" s="1" t="s">
        <v>711</v>
      </c>
      <c r="AU72" s="1" t="n">
        <v>2022</v>
      </c>
      <c r="AV72" s="1" t="n">
        <v>13</v>
      </c>
      <c r="AW72" s="1" t="n">
        <v>4</v>
      </c>
      <c r="AX72" s="1"/>
      <c r="AY72" s="1"/>
      <c r="AZ72" s="1"/>
      <c r="BA72" s="1"/>
      <c r="BB72" s="1" t="n">
        <v>603</v>
      </c>
      <c r="BC72" s="1" t="n">
        <v>623</v>
      </c>
      <c r="BD72" s="1"/>
      <c r="BE72" s="1" t="s">
        <v>1623</v>
      </c>
      <c r="BF72" s="1" t="str">
        <f aca="false">HYPERLINK("http://dx.doi.org/10.1007/s12530-021-09408-y","http://dx.doi.org/10.1007/s12530-021-09408-y")</f>
        <v>http://dx.doi.org/10.1007/s12530-021-09408-y</v>
      </c>
      <c r="BG72" s="1"/>
      <c r="BH72" s="1" t="s">
        <v>1624</v>
      </c>
      <c r="BI72" s="1" t="n">
        <v>21</v>
      </c>
      <c r="BJ72" s="1" t="s">
        <v>1625</v>
      </c>
      <c r="BK72" s="1" t="s">
        <v>204</v>
      </c>
      <c r="BL72" s="1" t="s">
        <v>101</v>
      </c>
      <c r="BM72" s="1" t="s">
        <v>1626</v>
      </c>
      <c r="BN72" s="1"/>
      <c r="BO72" s="1" t="s">
        <v>282</v>
      </c>
      <c r="BP72" s="1"/>
      <c r="BQ72" s="1"/>
      <c r="BR72" s="1" t="s">
        <v>103</v>
      </c>
      <c r="BS72" s="1" t="s">
        <v>1627</v>
      </c>
      <c r="BT72" s="1" t="str">
        <f aca="false">HYPERLINK("https%3A%2F%2Fwww.webofscience.com%2Fwos%2Fwoscc%2Ffull-record%2FWOS:000717906700001","View Full Record in Web of Science")</f>
        <v>View Full Record in Web of Science</v>
      </c>
    </row>
    <row r="73" customFormat="false" ht="12.75" hidden="false" customHeight="false" outlineLevel="0" collapsed="false">
      <c r="A73" s="1" t="s">
        <v>181</v>
      </c>
      <c r="B73" s="1" t="s">
        <v>857</v>
      </c>
      <c r="C73" s="1"/>
      <c r="D73" s="1"/>
      <c r="E73" s="1"/>
      <c r="F73" s="1" t="s">
        <v>858</v>
      </c>
      <c r="G73" s="1"/>
      <c r="H73" s="1"/>
      <c r="I73" s="1" t="s">
        <v>1628</v>
      </c>
      <c r="J73" s="1" t="s">
        <v>1629</v>
      </c>
      <c r="K73" s="1"/>
      <c r="L73" s="1"/>
      <c r="M73" s="1" t="s">
        <v>78</v>
      </c>
      <c r="N73" s="1" t="s">
        <v>186</v>
      </c>
      <c r="O73" s="1"/>
      <c r="P73" s="1"/>
      <c r="Q73" s="1"/>
      <c r="R73" s="1"/>
      <c r="S73" s="1"/>
      <c r="T73" s="1" t="s">
        <v>1630</v>
      </c>
      <c r="U73" s="1" t="s">
        <v>1631</v>
      </c>
      <c r="V73" s="1" t="s">
        <v>1632</v>
      </c>
      <c r="W73" s="1" t="s">
        <v>864</v>
      </c>
      <c r="X73" s="1" t="s">
        <v>86</v>
      </c>
      <c r="Y73" s="1" t="s">
        <v>865</v>
      </c>
      <c r="Z73" s="1" t="s">
        <v>866</v>
      </c>
      <c r="AA73" s="1" t="s">
        <v>266</v>
      </c>
      <c r="AB73" s="1" t="s">
        <v>267</v>
      </c>
      <c r="AC73" s="1" t="s">
        <v>867</v>
      </c>
      <c r="AD73" s="1" t="s">
        <v>868</v>
      </c>
      <c r="AE73" s="1" t="s">
        <v>1633</v>
      </c>
      <c r="AF73" s="1"/>
      <c r="AG73" s="1" t="n">
        <v>20</v>
      </c>
      <c r="AH73" s="1" t="n">
        <v>3</v>
      </c>
      <c r="AI73" s="1" t="n">
        <v>3</v>
      </c>
      <c r="AJ73" s="1" t="n">
        <v>0</v>
      </c>
      <c r="AK73" s="1" t="n">
        <v>1</v>
      </c>
      <c r="AL73" s="1" t="s">
        <v>704</v>
      </c>
      <c r="AM73" s="1" t="s">
        <v>705</v>
      </c>
      <c r="AN73" s="1" t="s">
        <v>706</v>
      </c>
      <c r="AO73" s="1" t="s">
        <v>1634</v>
      </c>
      <c r="AP73" s="1" t="s">
        <v>1635</v>
      </c>
      <c r="AQ73" s="1"/>
      <c r="AR73" s="1" t="s">
        <v>1636</v>
      </c>
      <c r="AS73" s="1" t="s">
        <v>1637</v>
      </c>
      <c r="AT73" s="1" t="s">
        <v>474</v>
      </c>
      <c r="AU73" s="1" t="n">
        <v>2020</v>
      </c>
      <c r="AV73" s="1" t="n">
        <v>19</v>
      </c>
      <c r="AW73" s="1" t="n">
        <v>9</v>
      </c>
      <c r="AX73" s="1"/>
      <c r="AY73" s="1"/>
      <c r="AZ73" s="1"/>
      <c r="BA73" s="1"/>
      <c r="BB73" s="1"/>
      <c r="BC73" s="1"/>
      <c r="BD73" s="1" t="n">
        <v>2050162</v>
      </c>
      <c r="BE73" s="1" t="s">
        <v>1638</v>
      </c>
      <c r="BF73" s="1" t="str">
        <f aca="false">HYPERLINK("http://dx.doi.org/10.1142/S0219498820501625","http://dx.doi.org/10.1142/S0219498820501625")</f>
        <v>http://dx.doi.org/10.1142/S0219498820501625</v>
      </c>
      <c r="BG73" s="1"/>
      <c r="BH73" s="1"/>
      <c r="BI73" s="1" t="n">
        <v>26</v>
      </c>
      <c r="BJ73" s="1" t="s">
        <v>1007</v>
      </c>
      <c r="BK73" s="1" t="s">
        <v>204</v>
      </c>
      <c r="BL73" s="1" t="s">
        <v>280</v>
      </c>
      <c r="BM73" s="1" t="s">
        <v>1639</v>
      </c>
      <c r="BN73" s="1"/>
      <c r="BO73" s="1" t="s">
        <v>227</v>
      </c>
      <c r="BP73" s="1"/>
      <c r="BQ73" s="1"/>
      <c r="BR73" s="1" t="s">
        <v>103</v>
      </c>
      <c r="BS73" s="1" t="s">
        <v>1640</v>
      </c>
      <c r="BT73" s="1" t="str">
        <f aca="false">HYPERLINK("https%3A%2F%2Fwww.webofscience.com%2Fwos%2Fwoscc%2Ffull-record%2FWOS:000563009600001","View Full Record in Web of Science")</f>
        <v>View Full Record in Web of Science</v>
      </c>
    </row>
    <row r="74" customFormat="false" ht="12.75" hidden="false" customHeight="false" outlineLevel="0" collapsed="false">
      <c r="A74" s="1" t="s">
        <v>181</v>
      </c>
      <c r="B74" s="1" t="s">
        <v>1641</v>
      </c>
      <c r="C74" s="1"/>
      <c r="D74" s="1"/>
      <c r="E74" s="1"/>
      <c r="F74" s="1" t="s">
        <v>1642</v>
      </c>
      <c r="G74" s="1"/>
      <c r="H74" s="1"/>
      <c r="I74" s="1" t="s">
        <v>1643</v>
      </c>
      <c r="J74" s="1" t="s">
        <v>1644</v>
      </c>
      <c r="K74" s="1"/>
      <c r="L74" s="1"/>
      <c r="M74" s="1" t="s">
        <v>78</v>
      </c>
      <c r="N74" s="1" t="s">
        <v>186</v>
      </c>
      <c r="O74" s="1"/>
      <c r="P74" s="1"/>
      <c r="Q74" s="1"/>
      <c r="R74" s="1"/>
      <c r="S74" s="1"/>
      <c r="T74" s="1" t="s">
        <v>1645</v>
      </c>
      <c r="U74" s="1" t="s">
        <v>1646</v>
      </c>
      <c r="V74" s="1" t="s">
        <v>1647</v>
      </c>
      <c r="W74" s="1" t="s">
        <v>1648</v>
      </c>
      <c r="X74" s="1" t="s">
        <v>86</v>
      </c>
      <c r="Y74" s="1" t="s">
        <v>1649</v>
      </c>
      <c r="Z74" s="1" t="s">
        <v>1650</v>
      </c>
      <c r="AA74" s="1" t="s">
        <v>699</v>
      </c>
      <c r="AB74" s="1" t="s">
        <v>700</v>
      </c>
      <c r="AC74" s="1"/>
      <c r="AD74" s="1"/>
      <c r="AE74" s="1"/>
      <c r="AF74" s="1"/>
      <c r="AG74" s="1" t="n">
        <v>79</v>
      </c>
      <c r="AH74" s="1" t="n">
        <v>0</v>
      </c>
      <c r="AI74" s="1" t="n">
        <v>0</v>
      </c>
      <c r="AJ74" s="1" t="n">
        <v>2</v>
      </c>
      <c r="AK74" s="1" t="n">
        <v>5</v>
      </c>
      <c r="AL74" s="1" t="s">
        <v>1651</v>
      </c>
      <c r="AM74" s="1" t="s">
        <v>1026</v>
      </c>
      <c r="AN74" s="1" t="s">
        <v>1652</v>
      </c>
      <c r="AO74" s="1" t="s">
        <v>1653</v>
      </c>
      <c r="AP74" s="1" t="s">
        <v>1654</v>
      </c>
      <c r="AQ74" s="1"/>
      <c r="AR74" s="1" t="s">
        <v>1655</v>
      </c>
      <c r="AS74" s="1" t="s">
        <v>1656</v>
      </c>
      <c r="AT74" s="1" t="s">
        <v>711</v>
      </c>
      <c r="AU74" s="1" t="n">
        <v>2024</v>
      </c>
      <c r="AV74" s="1" t="n">
        <v>186</v>
      </c>
      <c r="AW74" s="1"/>
      <c r="AX74" s="1"/>
      <c r="AY74" s="1"/>
      <c r="AZ74" s="1"/>
      <c r="BA74" s="1"/>
      <c r="BB74" s="1"/>
      <c r="BC74" s="1"/>
      <c r="BD74" s="1" t="n">
        <v>104132</v>
      </c>
      <c r="BE74" s="1" t="s">
        <v>1657</v>
      </c>
      <c r="BF74" s="1" t="str">
        <f aca="false">HYPERLINK("http://dx.doi.org/10.1016/j.tra.2024.104132","http://dx.doi.org/10.1016/j.tra.2024.104132")</f>
        <v>http://dx.doi.org/10.1016/j.tra.2024.104132</v>
      </c>
      <c r="BG74" s="1"/>
      <c r="BH74" s="1" t="s">
        <v>1658</v>
      </c>
      <c r="BI74" s="1" t="n">
        <v>15</v>
      </c>
      <c r="BJ74" s="1" t="s">
        <v>1659</v>
      </c>
      <c r="BK74" s="1" t="s">
        <v>398</v>
      </c>
      <c r="BL74" s="1" t="s">
        <v>1660</v>
      </c>
      <c r="BM74" s="1" t="s">
        <v>1661</v>
      </c>
      <c r="BN74" s="1"/>
      <c r="BO74" s="1" t="s">
        <v>282</v>
      </c>
      <c r="BP74" s="1"/>
      <c r="BQ74" s="1"/>
      <c r="BR74" s="1" t="s">
        <v>103</v>
      </c>
      <c r="BS74" s="1" t="s">
        <v>1662</v>
      </c>
      <c r="BT74" s="1" t="str">
        <f aca="false">HYPERLINK("https%3A%2F%2Fwww.webofscience.com%2Fwos%2Fwoscc%2Ffull-record%2FWOS:001253627600001","View Full Record in Web of Science")</f>
        <v>View Full Record in Web of Science</v>
      </c>
    </row>
    <row r="75" customFormat="false" ht="12.75" hidden="false" customHeight="false" outlineLevel="0" collapsed="false">
      <c r="A75" s="1" t="s">
        <v>181</v>
      </c>
      <c r="B75" s="1" t="s">
        <v>1663</v>
      </c>
      <c r="C75" s="1"/>
      <c r="D75" s="1"/>
      <c r="E75" s="1"/>
      <c r="F75" s="1" t="s">
        <v>1664</v>
      </c>
      <c r="G75" s="1"/>
      <c r="H75" s="1"/>
      <c r="I75" s="1" t="s">
        <v>1665</v>
      </c>
      <c r="J75" s="1" t="s">
        <v>1666</v>
      </c>
      <c r="K75" s="1"/>
      <c r="L75" s="1"/>
      <c r="M75" s="1" t="s">
        <v>78</v>
      </c>
      <c r="N75" s="1" t="s">
        <v>186</v>
      </c>
      <c r="O75" s="1"/>
      <c r="P75" s="1"/>
      <c r="Q75" s="1"/>
      <c r="R75" s="1"/>
      <c r="S75" s="1"/>
      <c r="T75" s="1" t="s">
        <v>1667</v>
      </c>
      <c r="U75" s="1" t="s">
        <v>1668</v>
      </c>
      <c r="V75" s="1" t="s">
        <v>1669</v>
      </c>
      <c r="W75" s="1" t="s">
        <v>1670</v>
      </c>
      <c r="X75" s="1" t="s">
        <v>86</v>
      </c>
      <c r="Y75" s="1" t="s">
        <v>1671</v>
      </c>
      <c r="Z75" s="1" t="s">
        <v>1672</v>
      </c>
      <c r="AA75" s="1"/>
      <c r="AB75" s="1"/>
      <c r="AC75" s="1"/>
      <c r="AD75" s="1"/>
      <c r="AE75" s="1"/>
      <c r="AF75" s="1"/>
      <c r="AG75" s="1" t="n">
        <v>41</v>
      </c>
      <c r="AH75" s="1" t="n">
        <v>0</v>
      </c>
      <c r="AI75" s="1" t="n">
        <v>0</v>
      </c>
      <c r="AJ75" s="1" t="n">
        <v>0</v>
      </c>
      <c r="AK75" s="1" t="n">
        <v>0</v>
      </c>
      <c r="AL75" s="1" t="s">
        <v>1673</v>
      </c>
      <c r="AM75" s="1" t="s">
        <v>1026</v>
      </c>
      <c r="AN75" s="1" t="s">
        <v>1674</v>
      </c>
      <c r="AO75" s="1" t="s">
        <v>1675</v>
      </c>
      <c r="AP75" s="1" t="s">
        <v>1676</v>
      </c>
      <c r="AQ75" s="1"/>
      <c r="AR75" s="1" t="s">
        <v>1677</v>
      </c>
      <c r="AS75" s="1" t="s">
        <v>1678</v>
      </c>
      <c r="AT75" s="1" t="s">
        <v>1453</v>
      </c>
      <c r="AU75" s="1" t="n">
        <v>2024</v>
      </c>
      <c r="AV75" s="1" t="n">
        <v>527</v>
      </c>
      <c r="AW75" s="1" t="n">
        <v>3</v>
      </c>
      <c r="AX75" s="1"/>
      <c r="AY75" s="1"/>
      <c r="AZ75" s="1"/>
      <c r="BA75" s="1"/>
      <c r="BB75" s="1" t="n">
        <v>9522</v>
      </c>
      <c r="BC75" s="1" t="n">
        <v>9528</v>
      </c>
      <c r="BD75" s="1"/>
      <c r="BE75" s="1" t="s">
        <v>1679</v>
      </c>
      <c r="BF75" s="1" t="str">
        <f aca="false">HYPERLINK("http://dx.doi.org/10.1093/mnras/stad3852","http://dx.doi.org/10.1093/mnras/stad3852")</f>
        <v>http://dx.doi.org/10.1093/mnras/stad3852</v>
      </c>
      <c r="BG75" s="1"/>
      <c r="BH75" s="1" t="s">
        <v>923</v>
      </c>
      <c r="BI75" s="1" t="n">
        <v>7</v>
      </c>
      <c r="BJ75" s="1" t="s">
        <v>1680</v>
      </c>
      <c r="BK75" s="1" t="s">
        <v>204</v>
      </c>
      <c r="BL75" s="1" t="s">
        <v>1680</v>
      </c>
      <c r="BM75" s="1" t="s">
        <v>1681</v>
      </c>
      <c r="BN75" s="1"/>
      <c r="BO75" s="1" t="s">
        <v>612</v>
      </c>
      <c r="BP75" s="1"/>
      <c r="BQ75" s="1"/>
      <c r="BR75" s="1" t="s">
        <v>103</v>
      </c>
      <c r="BS75" s="1" t="s">
        <v>1682</v>
      </c>
      <c r="BT75" s="1" t="str">
        <f aca="false">HYPERLINK("https%3A%2F%2Fwww.webofscience.com%2Fwos%2Fwoscc%2Ffull-record%2FWOS:001159068100015","View Full Record in Web of Science")</f>
        <v>View Full Record in Web of Science</v>
      </c>
    </row>
    <row r="76" customFormat="false" ht="12.75" hidden="false" customHeight="false" outlineLevel="0" collapsed="false">
      <c r="A76" s="1" t="s">
        <v>181</v>
      </c>
      <c r="B76" s="1" t="s">
        <v>1683</v>
      </c>
      <c r="C76" s="1"/>
      <c r="D76" s="1"/>
      <c r="E76" s="1"/>
      <c r="F76" s="1" t="s">
        <v>1684</v>
      </c>
      <c r="G76" s="1"/>
      <c r="H76" s="1"/>
      <c r="I76" s="1" t="s">
        <v>1685</v>
      </c>
      <c r="J76" s="1" t="s">
        <v>1686</v>
      </c>
      <c r="K76" s="1"/>
      <c r="L76" s="1"/>
      <c r="M76" s="1" t="s">
        <v>78</v>
      </c>
      <c r="N76" s="1" t="s">
        <v>186</v>
      </c>
      <c r="O76" s="1"/>
      <c r="P76" s="1"/>
      <c r="Q76" s="1"/>
      <c r="R76" s="1"/>
      <c r="S76" s="1"/>
      <c r="T76" s="1" t="s">
        <v>1687</v>
      </c>
      <c r="U76" s="1" t="s">
        <v>1688</v>
      </c>
      <c r="V76" s="1" t="s">
        <v>1689</v>
      </c>
      <c r="W76" s="1" t="s">
        <v>1690</v>
      </c>
      <c r="X76" s="1" t="s">
        <v>86</v>
      </c>
      <c r="Y76" s="1" t="s">
        <v>1691</v>
      </c>
      <c r="Z76" s="1" t="s">
        <v>1692</v>
      </c>
      <c r="AA76" s="1"/>
      <c r="AB76" s="1"/>
      <c r="AC76" s="1" t="s">
        <v>1693</v>
      </c>
      <c r="AD76" s="1" t="s">
        <v>1693</v>
      </c>
      <c r="AE76" s="1" t="s">
        <v>1693</v>
      </c>
      <c r="AF76" s="1"/>
      <c r="AG76" s="1" t="n">
        <v>91</v>
      </c>
      <c r="AH76" s="1" t="n">
        <v>3</v>
      </c>
      <c r="AI76" s="1" t="n">
        <v>3</v>
      </c>
      <c r="AJ76" s="1" t="n">
        <v>1</v>
      </c>
      <c r="AK76" s="1" t="n">
        <v>11</v>
      </c>
      <c r="AL76" s="1" t="s">
        <v>600</v>
      </c>
      <c r="AM76" s="1" t="s">
        <v>601</v>
      </c>
      <c r="AN76" s="1" t="s">
        <v>602</v>
      </c>
      <c r="AO76" s="1" t="s">
        <v>1694</v>
      </c>
      <c r="AP76" s="1" t="s">
        <v>1695</v>
      </c>
      <c r="AQ76" s="1"/>
      <c r="AR76" s="1" t="s">
        <v>1696</v>
      </c>
      <c r="AS76" s="1" t="s">
        <v>1697</v>
      </c>
      <c r="AT76" s="1" t="s">
        <v>1453</v>
      </c>
      <c r="AU76" s="1" t="n">
        <v>2023</v>
      </c>
      <c r="AV76" s="1" t="n">
        <v>40</v>
      </c>
      <c r="AW76" s="1" t="n">
        <v>1</v>
      </c>
      <c r="AX76" s="1"/>
      <c r="AY76" s="1"/>
      <c r="AZ76" s="1" t="s">
        <v>1698</v>
      </c>
      <c r="BA76" s="1"/>
      <c r="BB76" s="1"/>
      <c r="BC76" s="1"/>
      <c r="BD76" s="1" t="s">
        <v>1699</v>
      </c>
      <c r="BE76" s="1" t="s">
        <v>1700</v>
      </c>
      <c r="BF76" s="1" t="str">
        <f aca="false">HYPERLINK("http://dx.doi.org/10.1111/exsy.13098","http://dx.doi.org/10.1111/exsy.13098")</f>
        <v>http://dx.doi.org/10.1111/exsy.13098</v>
      </c>
      <c r="BG76" s="1"/>
      <c r="BH76" s="1" t="s">
        <v>1701</v>
      </c>
      <c r="BI76" s="1" t="n">
        <v>24</v>
      </c>
      <c r="BJ76" s="1" t="s">
        <v>374</v>
      </c>
      <c r="BK76" s="1" t="s">
        <v>204</v>
      </c>
      <c r="BL76" s="1" t="s">
        <v>101</v>
      </c>
      <c r="BM76" s="1" t="s">
        <v>1702</v>
      </c>
      <c r="BN76" s="1"/>
      <c r="BO76" s="1" t="s">
        <v>1009</v>
      </c>
      <c r="BP76" s="1"/>
      <c r="BQ76" s="1"/>
      <c r="BR76" s="1" t="s">
        <v>103</v>
      </c>
      <c r="BS76" s="1" t="s">
        <v>1703</v>
      </c>
      <c r="BT76" s="1" t="str">
        <f aca="false">HYPERLINK("https%3A%2F%2Fwww.webofscience.com%2Fwos%2Fwoscc%2Ffull-record%2FWOS:000822883400001","View Full Record in Web of Science")</f>
        <v>View Full Record in Web of Science</v>
      </c>
    </row>
    <row r="77" customFormat="false" ht="12.75" hidden="false" customHeight="false" outlineLevel="0" collapsed="false">
      <c r="A77" s="1" t="s">
        <v>72</v>
      </c>
      <c r="B77" s="1" t="s">
        <v>1704</v>
      </c>
      <c r="C77" s="1"/>
      <c r="D77" s="1" t="s">
        <v>1705</v>
      </c>
      <c r="E77" s="1"/>
      <c r="F77" s="1" t="s">
        <v>1706</v>
      </c>
      <c r="G77" s="1"/>
      <c r="H77" s="1"/>
      <c r="I77" s="1" t="s">
        <v>1707</v>
      </c>
      <c r="J77" s="1" t="s">
        <v>1708</v>
      </c>
      <c r="K77" s="1" t="s">
        <v>1709</v>
      </c>
      <c r="L77" s="1"/>
      <c r="M77" s="1" t="s">
        <v>78</v>
      </c>
      <c r="N77" s="1" t="s">
        <v>79</v>
      </c>
      <c r="O77" s="1" t="s">
        <v>1710</v>
      </c>
      <c r="P77" s="1" t="s">
        <v>1711</v>
      </c>
      <c r="Q77" s="1" t="s">
        <v>320</v>
      </c>
      <c r="R77" s="1"/>
      <c r="S77" s="1"/>
      <c r="T77" s="1" t="s">
        <v>1712</v>
      </c>
      <c r="U77" s="1"/>
      <c r="V77" s="1" t="s">
        <v>1713</v>
      </c>
      <c r="W77" s="1" t="s">
        <v>1714</v>
      </c>
      <c r="X77" s="1" t="s">
        <v>86</v>
      </c>
      <c r="Y77" s="1" t="s">
        <v>1715</v>
      </c>
      <c r="Z77" s="1"/>
      <c r="AA77" s="1" t="s">
        <v>1716</v>
      </c>
      <c r="AB77" s="1" t="s">
        <v>1717</v>
      </c>
      <c r="AC77" s="1" t="s">
        <v>1718</v>
      </c>
      <c r="AD77" s="1" t="s">
        <v>1719</v>
      </c>
      <c r="AE77" s="1" t="s">
        <v>1720</v>
      </c>
      <c r="AF77" s="1"/>
      <c r="AG77" s="1" t="n">
        <v>19</v>
      </c>
      <c r="AH77" s="1" t="n">
        <v>3</v>
      </c>
      <c r="AI77" s="1" t="n">
        <v>3</v>
      </c>
      <c r="AJ77" s="1" t="n">
        <v>0</v>
      </c>
      <c r="AK77" s="1" t="n">
        <v>4</v>
      </c>
      <c r="AL77" s="1" t="s">
        <v>1721</v>
      </c>
      <c r="AM77" s="1" t="s">
        <v>1722</v>
      </c>
      <c r="AN77" s="1" t="s">
        <v>1723</v>
      </c>
      <c r="AO77" s="1" t="s">
        <v>1724</v>
      </c>
      <c r="AP77" s="1"/>
      <c r="AQ77" s="1" t="s">
        <v>1725</v>
      </c>
      <c r="AR77" s="1" t="s">
        <v>1709</v>
      </c>
      <c r="AS77" s="1"/>
      <c r="AT77" s="1"/>
      <c r="AU77" s="1" t="n">
        <v>2022</v>
      </c>
      <c r="AV77" s="1"/>
      <c r="AW77" s="1"/>
      <c r="AX77" s="1"/>
      <c r="AY77" s="1"/>
      <c r="AZ77" s="1"/>
      <c r="BA77" s="1"/>
      <c r="BB77" s="1" t="n">
        <v>108</v>
      </c>
      <c r="BC77" s="1" t="n">
        <v>116</v>
      </c>
      <c r="BD77" s="1"/>
      <c r="BE77" s="1" t="s">
        <v>1726</v>
      </c>
      <c r="BF77" s="1" t="str">
        <f aca="false">HYPERLINK("http://dx.doi.org/10.5220/0011006100003124","http://dx.doi.org/10.5220/0011006100003124")</f>
        <v>http://dx.doi.org/10.5220/0011006100003124</v>
      </c>
      <c r="BG77" s="1"/>
      <c r="BH77" s="1"/>
      <c r="BI77" s="1" t="n">
        <v>9</v>
      </c>
      <c r="BJ77" s="1" t="s">
        <v>1727</v>
      </c>
      <c r="BK77" s="1" t="s">
        <v>100</v>
      </c>
      <c r="BL77" s="1" t="s">
        <v>101</v>
      </c>
      <c r="BM77" s="1" t="s">
        <v>1728</v>
      </c>
      <c r="BN77" s="1"/>
      <c r="BO77" s="1" t="s">
        <v>282</v>
      </c>
      <c r="BP77" s="1"/>
      <c r="BQ77" s="1"/>
      <c r="BR77" s="1" t="s">
        <v>103</v>
      </c>
      <c r="BS77" s="1" t="s">
        <v>1729</v>
      </c>
      <c r="BT77" s="1" t="str">
        <f aca="false">HYPERLINK("https%3A%2F%2Fwww.webofscience.com%2Fwos%2Fwoscc%2Ffull-record%2FWOS:000777494800009","View Full Record in Web of Science")</f>
        <v>View Full Record in Web of Science</v>
      </c>
    </row>
    <row r="78" customFormat="false" ht="12.75" hidden="false" customHeight="false" outlineLevel="0" collapsed="false">
      <c r="A78" s="1" t="s">
        <v>181</v>
      </c>
      <c r="B78" s="1" t="s">
        <v>1730</v>
      </c>
      <c r="C78" s="1"/>
      <c r="D78" s="1"/>
      <c r="E78" s="1"/>
      <c r="F78" s="1" t="s">
        <v>1731</v>
      </c>
      <c r="G78" s="1"/>
      <c r="H78" s="1"/>
      <c r="I78" s="1" t="s">
        <v>1732</v>
      </c>
      <c r="J78" s="1" t="s">
        <v>1733</v>
      </c>
      <c r="K78" s="1"/>
      <c r="L78" s="1"/>
      <c r="M78" s="1" t="s">
        <v>78</v>
      </c>
      <c r="N78" s="1" t="s">
        <v>186</v>
      </c>
      <c r="O78" s="1"/>
      <c r="P78" s="1"/>
      <c r="Q78" s="1"/>
      <c r="R78" s="1"/>
      <c r="S78" s="1"/>
      <c r="T78" s="1" t="s">
        <v>1734</v>
      </c>
      <c r="U78" s="1" t="s">
        <v>1735</v>
      </c>
      <c r="V78" s="1" t="s">
        <v>1736</v>
      </c>
      <c r="W78" s="1" t="s">
        <v>1737</v>
      </c>
      <c r="X78" s="1" t="s">
        <v>86</v>
      </c>
      <c r="Y78" s="1" t="s">
        <v>1738</v>
      </c>
      <c r="Z78" s="1" t="s">
        <v>1739</v>
      </c>
      <c r="AA78" s="1" t="s">
        <v>1740</v>
      </c>
      <c r="AB78" s="1" t="s">
        <v>1741</v>
      </c>
      <c r="AC78" s="1" t="s">
        <v>1742</v>
      </c>
      <c r="AD78" s="1" t="s">
        <v>1742</v>
      </c>
      <c r="AE78" s="1" t="s">
        <v>1743</v>
      </c>
      <c r="AF78" s="1"/>
      <c r="AG78" s="1" t="n">
        <v>28</v>
      </c>
      <c r="AH78" s="1" t="n">
        <v>6</v>
      </c>
      <c r="AI78" s="1" t="n">
        <v>6</v>
      </c>
      <c r="AJ78" s="1" t="n">
        <v>3</v>
      </c>
      <c r="AK78" s="1" t="n">
        <v>20</v>
      </c>
      <c r="AL78" s="1" t="s">
        <v>600</v>
      </c>
      <c r="AM78" s="1" t="s">
        <v>601</v>
      </c>
      <c r="AN78" s="1" t="s">
        <v>1744</v>
      </c>
      <c r="AO78" s="1" t="s">
        <v>1745</v>
      </c>
      <c r="AP78" s="1"/>
      <c r="AQ78" s="1"/>
      <c r="AR78" s="1" t="s">
        <v>1746</v>
      </c>
      <c r="AS78" s="1" t="s">
        <v>1747</v>
      </c>
      <c r="AT78" s="1" t="s">
        <v>808</v>
      </c>
      <c r="AU78" s="1" t="n">
        <v>2021</v>
      </c>
      <c r="AV78" s="1" t="n">
        <v>8</v>
      </c>
      <c r="AW78" s="1" t="n">
        <v>4</v>
      </c>
      <c r="AX78" s="1"/>
      <c r="AY78" s="1"/>
      <c r="AZ78" s="1"/>
      <c r="BA78" s="1"/>
      <c r="BB78" s="1" t="n">
        <v>1863</v>
      </c>
      <c r="BC78" s="1" t="n">
        <v>1869</v>
      </c>
      <c r="BD78" s="1"/>
      <c r="BE78" s="1" t="s">
        <v>1748</v>
      </c>
      <c r="BF78" s="1" t="str">
        <f aca="false">HYPERLINK("http://dx.doi.org/10.1002/nop2.842","http://dx.doi.org/10.1002/nop2.842")</f>
        <v>http://dx.doi.org/10.1002/nop2.842</v>
      </c>
      <c r="BG78" s="1"/>
      <c r="BH78" s="1" t="s">
        <v>1749</v>
      </c>
      <c r="BI78" s="1" t="n">
        <v>7</v>
      </c>
      <c r="BJ78" s="1" t="s">
        <v>609</v>
      </c>
      <c r="BK78" s="1" t="s">
        <v>398</v>
      </c>
      <c r="BL78" s="1" t="s">
        <v>609</v>
      </c>
      <c r="BM78" s="1" t="s">
        <v>1750</v>
      </c>
      <c r="BN78" s="1" t="n">
        <v>33709559</v>
      </c>
      <c r="BO78" s="1" t="s">
        <v>179</v>
      </c>
      <c r="BP78" s="1"/>
      <c r="BQ78" s="1"/>
      <c r="BR78" s="1" t="s">
        <v>103</v>
      </c>
      <c r="BS78" s="1" t="s">
        <v>1751</v>
      </c>
      <c r="BT78" s="1" t="str">
        <f aca="false">HYPERLINK("https%3A%2F%2Fwww.webofscience.com%2Fwos%2Fwoscc%2Ffull-record%2FWOS:000627691900001","View Full Record in Web of Science")</f>
        <v>View Full Record in Web of Science</v>
      </c>
    </row>
    <row r="79" customFormat="false" ht="12.75" hidden="false" customHeight="false" outlineLevel="0" collapsed="false">
      <c r="A79" s="1" t="s">
        <v>72</v>
      </c>
      <c r="B79" s="1" t="s">
        <v>1509</v>
      </c>
      <c r="C79" s="1"/>
      <c r="D79" s="1" t="s">
        <v>1752</v>
      </c>
      <c r="E79" s="1"/>
      <c r="F79" s="1" t="s">
        <v>1511</v>
      </c>
      <c r="G79" s="1"/>
      <c r="H79" s="1"/>
      <c r="I79" s="1" t="s">
        <v>1753</v>
      </c>
      <c r="J79" s="1" t="s">
        <v>1754</v>
      </c>
      <c r="K79" s="1" t="s">
        <v>289</v>
      </c>
      <c r="L79" s="1"/>
      <c r="M79" s="1" t="s">
        <v>78</v>
      </c>
      <c r="N79" s="1" t="s">
        <v>79</v>
      </c>
      <c r="O79" s="1" t="s">
        <v>1755</v>
      </c>
      <c r="P79" s="1" t="s">
        <v>1756</v>
      </c>
      <c r="Q79" s="1" t="s">
        <v>1757</v>
      </c>
      <c r="R79" s="1" t="s">
        <v>1758</v>
      </c>
      <c r="S79" s="1"/>
      <c r="T79" s="1" t="s">
        <v>1759</v>
      </c>
      <c r="U79" s="1"/>
      <c r="V79" s="1" t="s">
        <v>1760</v>
      </c>
      <c r="W79" s="1" t="s">
        <v>1521</v>
      </c>
      <c r="X79" s="1" t="s">
        <v>86</v>
      </c>
      <c r="Y79" s="1" t="s">
        <v>1522</v>
      </c>
      <c r="Z79" s="1" t="s">
        <v>1523</v>
      </c>
      <c r="AA79" s="1" t="s">
        <v>1761</v>
      </c>
      <c r="AB79" s="1" t="s">
        <v>1762</v>
      </c>
      <c r="AC79" s="1" t="s">
        <v>1617</v>
      </c>
      <c r="AD79" s="1" t="s">
        <v>677</v>
      </c>
      <c r="AE79" s="1" t="s">
        <v>1763</v>
      </c>
      <c r="AF79" s="1"/>
      <c r="AG79" s="1" t="n">
        <v>24</v>
      </c>
      <c r="AH79" s="1" t="n">
        <v>3</v>
      </c>
      <c r="AI79" s="1" t="n">
        <v>3</v>
      </c>
      <c r="AJ79" s="1" t="n">
        <v>0</v>
      </c>
      <c r="AK79" s="1" t="n">
        <v>0</v>
      </c>
      <c r="AL79" s="1" t="s">
        <v>302</v>
      </c>
      <c r="AM79" s="1" t="s">
        <v>303</v>
      </c>
      <c r="AN79" s="1" t="s">
        <v>304</v>
      </c>
      <c r="AO79" s="1" t="s">
        <v>305</v>
      </c>
      <c r="AP79" s="1" t="s">
        <v>306</v>
      </c>
      <c r="AQ79" s="1" t="s">
        <v>1764</v>
      </c>
      <c r="AR79" s="1" t="s">
        <v>308</v>
      </c>
      <c r="AS79" s="1"/>
      <c r="AT79" s="1"/>
      <c r="AU79" s="1" t="n">
        <v>2021</v>
      </c>
      <c r="AV79" s="1" t="n">
        <v>627</v>
      </c>
      <c r="AW79" s="1"/>
      <c r="AX79" s="1"/>
      <c r="AY79" s="1"/>
      <c r="AZ79" s="1"/>
      <c r="BA79" s="1"/>
      <c r="BB79" s="1" t="n">
        <v>169</v>
      </c>
      <c r="BC79" s="1" t="n">
        <v>183</v>
      </c>
      <c r="BD79" s="1"/>
      <c r="BE79" s="1" t="s">
        <v>1765</v>
      </c>
      <c r="BF79" s="1" t="str">
        <f aca="false">HYPERLINK("http://dx.doi.org/10.1007/978-3-030-79150-6_14","http://dx.doi.org/10.1007/978-3-030-79150-6_14")</f>
        <v>http://dx.doi.org/10.1007/978-3-030-79150-6_14</v>
      </c>
      <c r="BG79" s="1"/>
      <c r="BH79" s="1"/>
      <c r="BI79" s="1" t="n">
        <v>15</v>
      </c>
      <c r="BJ79" s="1" t="s">
        <v>1766</v>
      </c>
      <c r="BK79" s="1" t="s">
        <v>100</v>
      </c>
      <c r="BL79" s="1" t="s">
        <v>311</v>
      </c>
      <c r="BM79" s="1" t="s">
        <v>1767</v>
      </c>
      <c r="BN79" s="1"/>
      <c r="BO79" s="1"/>
      <c r="BP79" s="1"/>
      <c r="BQ79" s="1"/>
      <c r="BR79" s="1" t="s">
        <v>103</v>
      </c>
      <c r="BS79" s="1" t="s">
        <v>1768</v>
      </c>
      <c r="BT79" s="1" t="str">
        <f aca="false">HYPERLINK("https%3A%2F%2Fwww.webofscience.com%2Fwos%2Fwoscc%2Ffull-record%2FWOS:001289290500014","View Full Record in Web of Science")</f>
        <v>View Full Record in Web of Science</v>
      </c>
    </row>
    <row r="80" customFormat="false" ht="12.75" hidden="false" customHeight="false" outlineLevel="0" collapsed="false">
      <c r="A80" s="1" t="s">
        <v>181</v>
      </c>
      <c r="B80" s="1" t="s">
        <v>1769</v>
      </c>
      <c r="C80" s="1"/>
      <c r="D80" s="1"/>
      <c r="E80" s="1"/>
      <c r="F80" s="1" t="s">
        <v>1770</v>
      </c>
      <c r="G80" s="1"/>
      <c r="H80" s="1"/>
      <c r="I80" s="1" t="s">
        <v>1771</v>
      </c>
      <c r="J80" s="1" t="s">
        <v>1772</v>
      </c>
      <c r="K80" s="1"/>
      <c r="L80" s="1"/>
      <c r="M80" s="1" t="s">
        <v>78</v>
      </c>
      <c r="N80" s="1" t="s">
        <v>186</v>
      </c>
      <c r="O80" s="1"/>
      <c r="P80" s="1"/>
      <c r="Q80" s="1"/>
      <c r="R80" s="1"/>
      <c r="S80" s="1"/>
      <c r="T80" s="1" t="s">
        <v>1773</v>
      </c>
      <c r="U80" s="1"/>
      <c r="V80" s="1" t="s">
        <v>1774</v>
      </c>
      <c r="W80" s="1" t="s">
        <v>1775</v>
      </c>
      <c r="X80" s="1" t="s">
        <v>86</v>
      </c>
      <c r="Y80" s="1" t="s">
        <v>731</v>
      </c>
      <c r="Z80" s="1" t="s">
        <v>1776</v>
      </c>
      <c r="AA80" s="1" t="s">
        <v>888</v>
      </c>
      <c r="AB80" s="1" t="s">
        <v>1777</v>
      </c>
      <c r="AC80" s="1" t="s">
        <v>1778</v>
      </c>
      <c r="AD80" s="1" t="s">
        <v>1778</v>
      </c>
      <c r="AE80" s="1" t="s">
        <v>1779</v>
      </c>
      <c r="AF80" s="1"/>
      <c r="AG80" s="1" t="n">
        <v>27</v>
      </c>
      <c r="AH80" s="1" t="n">
        <v>3</v>
      </c>
      <c r="AI80" s="1" t="n">
        <v>5</v>
      </c>
      <c r="AJ80" s="1" t="n">
        <v>3</v>
      </c>
      <c r="AK80" s="1" t="n">
        <v>11</v>
      </c>
      <c r="AL80" s="1" t="s">
        <v>367</v>
      </c>
      <c r="AM80" s="1" t="s">
        <v>368</v>
      </c>
      <c r="AN80" s="1" t="s">
        <v>369</v>
      </c>
      <c r="AO80" s="1"/>
      <c r="AP80" s="1" t="s">
        <v>1780</v>
      </c>
      <c r="AQ80" s="1"/>
      <c r="AR80" s="1" t="s">
        <v>1781</v>
      </c>
      <c r="AS80" s="1" t="s">
        <v>1782</v>
      </c>
      <c r="AT80" s="1" t="s">
        <v>1453</v>
      </c>
      <c r="AU80" s="1" t="n">
        <v>2020</v>
      </c>
      <c r="AV80" s="1" t="n">
        <v>10</v>
      </c>
      <c r="AW80" s="1" t="n">
        <v>1</v>
      </c>
      <c r="AX80" s="1"/>
      <c r="AY80" s="1"/>
      <c r="AZ80" s="1"/>
      <c r="BA80" s="1"/>
      <c r="BB80" s="1"/>
      <c r="BC80" s="1"/>
      <c r="BD80" s="1" t="n">
        <v>11</v>
      </c>
      <c r="BE80" s="1" t="s">
        <v>1783</v>
      </c>
      <c r="BF80" s="1" t="str">
        <f aca="false">HYPERLINK("http://dx.doi.org/10.3390/educsci10010011","http://dx.doi.org/10.3390/educsci10010011")</f>
        <v>http://dx.doi.org/10.3390/educsci10010011</v>
      </c>
      <c r="BG80" s="1"/>
      <c r="BH80" s="1"/>
      <c r="BI80" s="1" t="n">
        <v>16</v>
      </c>
      <c r="BJ80" s="1" t="s">
        <v>924</v>
      </c>
      <c r="BK80" s="1" t="s">
        <v>253</v>
      </c>
      <c r="BL80" s="1" t="s">
        <v>924</v>
      </c>
      <c r="BM80" s="1" t="s">
        <v>1784</v>
      </c>
      <c r="BN80" s="1"/>
      <c r="BO80" s="1" t="s">
        <v>401</v>
      </c>
      <c r="BP80" s="1"/>
      <c r="BQ80" s="1"/>
      <c r="BR80" s="1" t="s">
        <v>103</v>
      </c>
      <c r="BS80" s="1" t="s">
        <v>1785</v>
      </c>
      <c r="BT80" s="1" t="str">
        <f aca="false">HYPERLINK("https%3A%2F%2Fwww.webofscience.com%2Fwos%2Fwoscc%2Ffull-record%2FWOS:000513524100005","View Full Record in Web of Science")</f>
        <v>View Full Record in Web of Science</v>
      </c>
    </row>
    <row r="81" customFormat="false" ht="12.75" hidden="false" customHeight="false" outlineLevel="0" collapsed="false">
      <c r="A81" s="1" t="s">
        <v>72</v>
      </c>
      <c r="B81" s="1" t="s">
        <v>1786</v>
      </c>
      <c r="C81" s="1"/>
      <c r="D81" s="1"/>
      <c r="E81" s="1" t="s">
        <v>94</v>
      </c>
      <c r="F81" s="1" t="s">
        <v>1787</v>
      </c>
      <c r="G81" s="1"/>
      <c r="H81" s="1"/>
      <c r="I81" s="1" t="s">
        <v>1788</v>
      </c>
      <c r="J81" s="1" t="s">
        <v>1789</v>
      </c>
      <c r="K81" s="1"/>
      <c r="L81" s="1"/>
      <c r="M81" s="1" t="s">
        <v>78</v>
      </c>
      <c r="N81" s="1" t="s">
        <v>79</v>
      </c>
      <c r="O81" s="1" t="s">
        <v>1790</v>
      </c>
      <c r="P81" s="1" t="s">
        <v>1791</v>
      </c>
      <c r="Q81" s="1" t="s">
        <v>1792</v>
      </c>
      <c r="R81" s="1"/>
      <c r="S81" s="1"/>
      <c r="T81" s="1" t="s">
        <v>1793</v>
      </c>
      <c r="U81" s="1"/>
      <c r="V81" s="1" t="s">
        <v>1794</v>
      </c>
      <c r="W81" s="1" t="s">
        <v>1795</v>
      </c>
      <c r="X81" s="1" t="s">
        <v>86</v>
      </c>
      <c r="Y81" s="1" t="s">
        <v>1796</v>
      </c>
      <c r="Z81" s="1" t="s">
        <v>1797</v>
      </c>
      <c r="AA81" s="1" t="s">
        <v>1798</v>
      </c>
      <c r="AB81" s="1"/>
      <c r="AC81" s="1"/>
      <c r="AD81" s="1"/>
      <c r="AE81" s="1"/>
      <c r="AF81" s="1"/>
      <c r="AG81" s="1" t="n">
        <v>38</v>
      </c>
      <c r="AH81" s="1" t="n">
        <v>0</v>
      </c>
      <c r="AI81" s="1" t="n">
        <v>0</v>
      </c>
      <c r="AJ81" s="1" t="n">
        <v>0</v>
      </c>
      <c r="AK81" s="1" t="n">
        <v>0</v>
      </c>
      <c r="AL81" s="1" t="s">
        <v>94</v>
      </c>
      <c r="AM81" s="1" t="s">
        <v>95</v>
      </c>
      <c r="AN81" s="1" t="s">
        <v>96</v>
      </c>
      <c r="AO81" s="1"/>
      <c r="AP81" s="1"/>
      <c r="AQ81" s="1" t="s">
        <v>1799</v>
      </c>
      <c r="AR81" s="1"/>
      <c r="AS81" s="1"/>
      <c r="AT81" s="1"/>
      <c r="AU81" s="1" t="n">
        <v>2024</v>
      </c>
      <c r="AV81" s="1"/>
      <c r="AW81" s="1"/>
      <c r="AX81" s="1"/>
      <c r="AY81" s="1"/>
      <c r="AZ81" s="1"/>
      <c r="BA81" s="1"/>
      <c r="BB81" s="1"/>
      <c r="BC81" s="1"/>
      <c r="BD81" s="1" t="n">
        <v>153</v>
      </c>
      <c r="BE81" s="1" t="s">
        <v>1800</v>
      </c>
      <c r="BF81" s="1" t="str">
        <f aca="false">HYPERLINK("http://dx.doi.org/10.1145/3664476.3670909","http://dx.doi.org/10.1145/3664476.3670909")</f>
        <v>http://dx.doi.org/10.1145/3664476.3670909</v>
      </c>
      <c r="BG81" s="1"/>
      <c r="BH81" s="1"/>
      <c r="BI81" s="1" t="n">
        <v>8</v>
      </c>
      <c r="BJ81" s="1" t="s">
        <v>1801</v>
      </c>
      <c r="BK81" s="1" t="s">
        <v>100</v>
      </c>
      <c r="BL81" s="1" t="s">
        <v>1255</v>
      </c>
      <c r="BM81" s="1" t="s">
        <v>1802</v>
      </c>
      <c r="BN81" s="1"/>
      <c r="BO81" s="1"/>
      <c r="BP81" s="1"/>
      <c r="BQ81" s="1"/>
      <c r="BR81" s="1" t="s">
        <v>103</v>
      </c>
      <c r="BS81" s="1" t="s">
        <v>1803</v>
      </c>
      <c r="BT81" s="1" t="str">
        <f aca="false">HYPERLINK("https%3A%2F%2Fwww.webofscience.com%2Fwos%2Fwoscc%2Ffull-record%2FWOS:001283894700158","View Full Record in Web of Science")</f>
        <v>View Full Record in Web of Science</v>
      </c>
    </row>
    <row r="82" customFormat="false" ht="12.75" hidden="false" customHeight="false" outlineLevel="0" collapsed="false">
      <c r="A82" s="1" t="s">
        <v>181</v>
      </c>
      <c r="B82" s="1" t="s">
        <v>1804</v>
      </c>
      <c r="C82" s="1"/>
      <c r="D82" s="1"/>
      <c r="E82" s="1"/>
      <c r="F82" s="1" t="s">
        <v>1805</v>
      </c>
      <c r="G82" s="1"/>
      <c r="H82" s="1"/>
      <c r="I82" s="1" t="s">
        <v>1806</v>
      </c>
      <c r="J82" s="1" t="s">
        <v>381</v>
      </c>
      <c r="K82" s="1"/>
      <c r="L82" s="1"/>
      <c r="M82" s="1" t="s">
        <v>78</v>
      </c>
      <c r="N82" s="1" t="s">
        <v>186</v>
      </c>
      <c r="O82" s="1"/>
      <c r="P82" s="1"/>
      <c r="Q82" s="1"/>
      <c r="R82" s="1"/>
      <c r="S82" s="1"/>
      <c r="T82" s="1" t="s">
        <v>1807</v>
      </c>
      <c r="U82" s="1" t="s">
        <v>1808</v>
      </c>
      <c r="V82" s="1" t="s">
        <v>1809</v>
      </c>
      <c r="W82" s="1" t="s">
        <v>1810</v>
      </c>
      <c r="X82" s="1" t="s">
        <v>86</v>
      </c>
      <c r="Y82" s="1" t="s">
        <v>1811</v>
      </c>
      <c r="Z82" s="1" t="s">
        <v>1812</v>
      </c>
      <c r="AA82" s="1" t="s">
        <v>1813</v>
      </c>
      <c r="AB82" s="1" t="s">
        <v>1814</v>
      </c>
      <c r="AC82" s="1"/>
      <c r="AD82" s="1"/>
      <c r="AE82" s="1"/>
      <c r="AF82" s="1"/>
      <c r="AG82" s="1" t="n">
        <v>94</v>
      </c>
      <c r="AH82" s="1" t="n">
        <v>13</v>
      </c>
      <c r="AI82" s="1" t="n">
        <v>14</v>
      </c>
      <c r="AJ82" s="1" t="n">
        <v>1</v>
      </c>
      <c r="AK82" s="1" t="n">
        <v>28</v>
      </c>
      <c r="AL82" s="1" t="s">
        <v>367</v>
      </c>
      <c r="AM82" s="1" t="s">
        <v>368</v>
      </c>
      <c r="AN82" s="1" t="s">
        <v>369</v>
      </c>
      <c r="AO82" s="1"/>
      <c r="AP82" s="1" t="s">
        <v>393</v>
      </c>
      <c r="AQ82" s="1"/>
      <c r="AR82" s="1" t="s">
        <v>394</v>
      </c>
      <c r="AS82" s="1" t="s">
        <v>395</v>
      </c>
      <c r="AT82" s="1" t="s">
        <v>277</v>
      </c>
      <c r="AU82" s="1" t="n">
        <v>2022</v>
      </c>
      <c r="AV82" s="1" t="n">
        <v>14</v>
      </c>
      <c r="AW82" s="1" t="n">
        <v>5</v>
      </c>
      <c r="AX82" s="1"/>
      <c r="AY82" s="1"/>
      <c r="AZ82" s="1"/>
      <c r="BA82" s="1"/>
      <c r="BB82" s="1"/>
      <c r="BC82" s="1"/>
      <c r="BD82" s="1" t="n">
        <v>2608</v>
      </c>
      <c r="BE82" s="1" t="s">
        <v>1815</v>
      </c>
      <c r="BF82" s="1" t="str">
        <f aca="false">HYPERLINK("http://dx.doi.org/10.3390/su14052608","http://dx.doi.org/10.3390/su14052608")</f>
        <v>http://dx.doi.org/10.3390/su14052608</v>
      </c>
      <c r="BG82" s="1"/>
      <c r="BH82" s="1"/>
      <c r="BI82" s="1" t="n">
        <v>13</v>
      </c>
      <c r="BJ82" s="1" t="s">
        <v>397</v>
      </c>
      <c r="BK82" s="1" t="s">
        <v>398</v>
      </c>
      <c r="BL82" s="1" t="s">
        <v>399</v>
      </c>
      <c r="BM82" s="1" t="s">
        <v>1816</v>
      </c>
      <c r="BN82" s="1"/>
      <c r="BO82" s="1" t="s">
        <v>542</v>
      </c>
      <c r="BP82" s="1"/>
      <c r="BQ82" s="1"/>
      <c r="BR82" s="1" t="s">
        <v>103</v>
      </c>
      <c r="BS82" s="1" t="s">
        <v>1817</v>
      </c>
      <c r="BT82" s="1" t="str">
        <f aca="false">HYPERLINK("https%3A%2F%2Fwww.webofscience.com%2Fwos%2Fwoscc%2Ffull-record%2FWOS:000768885500001","View Full Record in Web of Science")</f>
        <v>View Full Record in Web of Science</v>
      </c>
    </row>
    <row r="83" customFormat="false" ht="12.75" hidden="false" customHeight="false" outlineLevel="0" collapsed="false">
      <c r="A83" s="1" t="s">
        <v>72</v>
      </c>
      <c r="B83" s="1" t="s">
        <v>1818</v>
      </c>
      <c r="C83" s="1"/>
      <c r="D83" s="1"/>
      <c r="E83" s="1" t="s">
        <v>106</v>
      </c>
      <c r="F83" s="1" t="s">
        <v>1819</v>
      </c>
      <c r="G83" s="1"/>
      <c r="H83" s="1"/>
      <c r="I83" s="1" t="s">
        <v>1820</v>
      </c>
      <c r="J83" s="1" t="s">
        <v>1821</v>
      </c>
      <c r="K83" s="1"/>
      <c r="L83" s="1"/>
      <c r="M83" s="1" t="s">
        <v>78</v>
      </c>
      <c r="N83" s="1" t="s">
        <v>79</v>
      </c>
      <c r="O83" s="1" t="s">
        <v>1822</v>
      </c>
      <c r="P83" s="1" t="s">
        <v>1823</v>
      </c>
      <c r="Q83" s="1" t="s">
        <v>1824</v>
      </c>
      <c r="R83" s="1" t="s">
        <v>1825</v>
      </c>
      <c r="S83" s="1"/>
      <c r="T83" s="1"/>
      <c r="U83" s="1" t="s">
        <v>1826</v>
      </c>
      <c r="V83" s="1" t="s">
        <v>1827</v>
      </c>
      <c r="W83" s="1" t="s">
        <v>1828</v>
      </c>
      <c r="X83" s="1" t="s">
        <v>86</v>
      </c>
      <c r="Y83" s="1" t="s">
        <v>1829</v>
      </c>
      <c r="Z83" s="1" t="s">
        <v>1830</v>
      </c>
      <c r="AA83" s="1" t="s">
        <v>145</v>
      </c>
      <c r="AB83" s="1"/>
      <c r="AC83" s="1"/>
      <c r="AD83" s="1"/>
      <c r="AE83" s="1"/>
      <c r="AF83" s="1"/>
      <c r="AG83" s="1" t="n">
        <v>17</v>
      </c>
      <c r="AH83" s="1" t="n">
        <v>2</v>
      </c>
      <c r="AI83" s="1" t="n">
        <v>2</v>
      </c>
      <c r="AJ83" s="1" t="n">
        <v>0</v>
      </c>
      <c r="AK83" s="1" t="n">
        <v>1</v>
      </c>
      <c r="AL83" s="1" t="s">
        <v>106</v>
      </c>
      <c r="AM83" s="1" t="s">
        <v>95</v>
      </c>
      <c r="AN83" s="1" t="s">
        <v>122</v>
      </c>
      <c r="AO83" s="1"/>
      <c r="AP83" s="1"/>
      <c r="AQ83" s="1" t="s">
        <v>1831</v>
      </c>
      <c r="AR83" s="1"/>
      <c r="AS83" s="1"/>
      <c r="AT83" s="1"/>
      <c r="AU83" s="1" t="n">
        <v>2021</v>
      </c>
      <c r="AV83" s="1"/>
      <c r="AW83" s="1"/>
      <c r="AX83" s="1"/>
      <c r="AY83" s="1"/>
      <c r="AZ83" s="1"/>
      <c r="BA83" s="1"/>
      <c r="BB83" s="1" t="n">
        <v>87</v>
      </c>
      <c r="BC83" s="1" t="n">
        <v>92</v>
      </c>
      <c r="BD83" s="1"/>
      <c r="BE83" s="1" t="s">
        <v>1832</v>
      </c>
      <c r="BF83" s="1" t="str">
        <f aca="false">HYPERLINK("http://dx.doi.org/10.1109/ICCE48956.2021.9352150","http://dx.doi.org/10.1109/ICCE48956.2021.9352150")</f>
        <v>http://dx.doi.org/10.1109/ICCE48956.2021.9352150</v>
      </c>
      <c r="BG83" s="1"/>
      <c r="BH83" s="1"/>
      <c r="BI83" s="1" t="n">
        <v>6</v>
      </c>
      <c r="BJ83" s="1" t="s">
        <v>1833</v>
      </c>
      <c r="BK83" s="1" t="s">
        <v>100</v>
      </c>
      <c r="BL83" s="1" t="s">
        <v>1834</v>
      </c>
      <c r="BM83" s="1" t="s">
        <v>1835</v>
      </c>
      <c r="BN83" s="1"/>
      <c r="BO83" s="1"/>
      <c r="BP83" s="1"/>
      <c r="BQ83" s="1"/>
      <c r="BR83" s="1" t="s">
        <v>103</v>
      </c>
      <c r="BS83" s="1" t="s">
        <v>1836</v>
      </c>
      <c r="BT83" s="1" t="str">
        <f aca="false">HYPERLINK("https%3A%2F%2Fwww.webofscience.com%2Fwos%2Fwoscc%2Ffull-record%2FWOS:000670611800013","View Full Record in Web of Science")</f>
        <v>View Full Record in Web of Science</v>
      </c>
    </row>
    <row r="84" customFormat="false" ht="12.75" hidden="false" customHeight="false" outlineLevel="0" collapsed="false">
      <c r="A84" s="1" t="s">
        <v>72</v>
      </c>
      <c r="B84" s="1" t="s">
        <v>1837</v>
      </c>
      <c r="C84" s="1"/>
      <c r="D84" s="1" t="s">
        <v>1838</v>
      </c>
      <c r="E84" s="1"/>
      <c r="F84" s="1" t="s">
        <v>1839</v>
      </c>
      <c r="G84" s="1"/>
      <c r="H84" s="1"/>
      <c r="I84" s="1" t="s">
        <v>1840</v>
      </c>
      <c r="J84" s="1" t="s">
        <v>1841</v>
      </c>
      <c r="K84" s="1" t="s">
        <v>498</v>
      </c>
      <c r="L84" s="1"/>
      <c r="M84" s="1" t="s">
        <v>78</v>
      </c>
      <c r="N84" s="1" t="s">
        <v>79</v>
      </c>
      <c r="O84" s="1" t="s">
        <v>1842</v>
      </c>
      <c r="P84" s="1" t="s">
        <v>336</v>
      </c>
      <c r="Q84" s="1" t="s">
        <v>1843</v>
      </c>
      <c r="R84" s="1"/>
      <c r="S84" s="1"/>
      <c r="T84" s="1" t="s">
        <v>1844</v>
      </c>
      <c r="U84" s="1" t="s">
        <v>1845</v>
      </c>
      <c r="V84" s="1" t="s">
        <v>1846</v>
      </c>
      <c r="W84" s="1" t="s">
        <v>1847</v>
      </c>
      <c r="X84" s="1" t="s">
        <v>86</v>
      </c>
      <c r="Y84" s="1" t="s">
        <v>1848</v>
      </c>
      <c r="Z84" s="1" t="s">
        <v>1849</v>
      </c>
      <c r="AA84" s="1"/>
      <c r="AB84" s="1"/>
      <c r="AC84" s="1"/>
      <c r="AD84" s="1"/>
      <c r="AE84" s="1"/>
      <c r="AF84" s="1"/>
      <c r="AG84" s="1" t="n">
        <v>28</v>
      </c>
      <c r="AH84" s="1" t="n">
        <v>0</v>
      </c>
      <c r="AI84" s="1" t="n">
        <v>0</v>
      </c>
      <c r="AJ84" s="1" t="n">
        <v>0</v>
      </c>
      <c r="AK84" s="1" t="n">
        <v>1</v>
      </c>
      <c r="AL84" s="1" t="s">
        <v>302</v>
      </c>
      <c r="AM84" s="1" t="s">
        <v>303</v>
      </c>
      <c r="AN84" s="1" t="s">
        <v>304</v>
      </c>
      <c r="AO84" s="1" t="s">
        <v>512</v>
      </c>
      <c r="AP84" s="1" t="s">
        <v>513</v>
      </c>
      <c r="AQ84" s="1" t="s">
        <v>1850</v>
      </c>
      <c r="AR84" s="1" t="s">
        <v>515</v>
      </c>
      <c r="AS84" s="1"/>
      <c r="AT84" s="1"/>
      <c r="AU84" s="1" t="n">
        <v>2021</v>
      </c>
      <c r="AV84" s="1" t="n">
        <v>422</v>
      </c>
      <c r="AW84" s="1"/>
      <c r="AX84" s="1"/>
      <c r="AY84" s="1"/>
      <c r="AZ84" s="1"/>
      <c r="BA84" s="1"/>
      <c r="BB84" s="1" t="n">
        <v>133</v>
      </c>
      <c r="BC84" s="1" t="n">
        <v>153</v>
      </c>
      <c r="BD84" s="1"/>
      <c r="BE84" s="1" t="s">
        <v>1851</v>
      </c>
      <c r="BF84" s="1" t="str">
        <f aca="false">HYPERLINK("http://dx.doi.org/10.1007/978-3-030-79976-2_8","http://dx.doi.org/10.1007/978-3-030-79976-2_8")</f>
        <v>http://dx.doi.org/10.1007/978-3-030-79976-2_8</v>
      </c>
      <c r="BG84" s="1"/>
      <c r="BH84" s="1"/>
      <c r="BI84" s="1" t="n">
        <v>21</v>
      </c>
      <c r="BJ84" s="1" t="s">
        <v>1852</v>
      </c>
      <c r="BK84" s="1" t="s">
        <v>1254</v>
      </c>
      <c r="BL84" s="1" t="s">
        <v>1853</v>
      </c>
      <c r="BM84" s="1" t="s">
        <v>1854</v>
      </c>
      <c r="BN84" s="1"/>
      <c r="BO84" s="1"/>
      <c r="BP84" s="1"/>
      <c r="BQ84" s="1"/>
      <c r="BR84" s="1" t="s">
        <v>103</v>
      </c>
      <c r="BS84" s="1" t="s">
        <v>1855</v>
      </c>
      <c r="BT84" s="1" t="str">
        <f aca="false">HYPERLINK("https%3A%2F%2Fwww.webofscience.com%2Fwos%2Fwoscc%2Ffull-record%2FWOS:000841498500008","View Full Record in Web of Science")</f>
        <v>View Full Record in Web of Science</v>
      </c>
    </row>
    <row r="85" customFormat="false" ht="12.75" hidden="false" customHeight="false" outlineLevel="0" collapsed="false">
      <c r="A85" s="1" t="s">
        <v>181</v>
      </c>
      <c r="B85" s="1" t="s">
        <v>1856</v>
      </c>
      <c r="C85" s="1"/>
      <c r="D85" s="1"/>
      <c r="E85" s="1"/>
      <c r="F85" s="1" t="s">
        <v>1857</v>
      </c>
      <c r="G85" s="1"/>
      <c r="H85" s="1"/>
      <c r="I85" s="1" t="s">
        <v>1858</v>
      </c>
      <c r="J85" s="1" t="s">
        <v>1378</v>
      </c>
      <c r="K85" s="1"/>
      <c r="L85" s="1"/>
      <c r="M85" s="1" t="s">
        <v>78</v>
      </c>
      <c r="N85" s="1" t="s">
        <v>186</v>
      </c>
      <c r="O85" s="1"/>
      <c r="P85" s="1"/>
      <c r="Q85" s="1"/>
      <c r="R85" s="1"/>
      <c r="S85" s="1"/>
      <c r="T85" s="1" t="s">
        <v>1859</v>
      </c>
      <c r="U85" s="1" t="s">
        <v>1860</v>
      </c>
      <c r="V85" s="1" t="s">
        <v>1861</v>
      </c>
      <c r="W85" s="1" t="s">
        <v>1862</v>
      </c>
      <c r="X85" s="1" t="s">
        <v>86</v>
      </c>
      <c r="Y85" s="1" t="s">
        <v>1863</v>
      </c>
      <c r="Z85" s="1" t="s">
        <v>1864</v>
      </c>
      <c r="AA85" s="1" t="s">
        <v>1865</v>
      </c>
      <c r="AB85" s="1" t="s">
        <v>1866</v>
      </c>
      <c r="AC85" s="1" t="s">
        <v>1867</v>
      </c>
      <c r="AD85" s="1" t="s">
        <v>1868</v>
      </c>
      <c r="AE85" s="1" t="s">
        <v>1869</v>
      </c>
      <c r="AF85" s="1"/>
      <c r="AG85" s="1" t="n">
        <v>34</v>
      </c>
      <c r="AH85" s="1" t="n">
        <v>15</v>
      </c>
      <c r="AI85" s="1" t="n">
        <v>15</v>
      </c>
      <c r="AJ85" s="1" t="n">
        <v>1</v>
      </c>
      <c r="AK85" s="1" t="n">
        <v>18</v>
      </c>
      <c r="AL85" s="1" t="s">
        <v>893</v>
      </c>
      <c r="AM85" s="1" t="s">
        <v>894</v>
      </c>
      <c r="AN85" s="1" t="s">
        <v>895</v>
      </c>
      <c r="AO85" s="1" t="s">
        <v>1387</v>
      </c>
      <c r="AP85" s="1" t="s">
        <v>1388</v>
      </c>
      <c r="AQ85" s="1"/>
      <c r="AR85" s="1" t="s">
        <v>1389</v>
      </c>
      <c r="AS85" s="1" t="s">
        <v>1390</v>
      </c>
      <c r="AT85" s="1" t="s">
        <v>421</v>
      </c>
      <c r="AU85" s="1" t="n">
        <v>2020</v>
      </c>
      <c r="AV85" s="1" t="n">
        <v>120</v>
      </c>
      <c r="AW85" s="1"/>
      <c r="AX85" s="1"/>
      <c r="AY85" s="1"/>
      <c r="AZ85" s="1"/>
      <c r="BA85" s="1"/>
      <c r="BB85" s="1"/>
      <c r="BC85" s="1"/>
      <c r="BD85" s="1" t="n">
        <v>106254</v>
      </c>
      <c r="BE85" s="1" t="s">
        <v>1870</v>
      </c>
      <c r="BF85" s="1" t="str">
        <f aca="false">HYPERLINK("http://dx.doi.org/10.1016/j.infsof.2019.106254","http://dx.doi.org/10.1016/j.infsof.2019.106254")</f>
        <v>http://dx.doi.org/10.1016/j.infsof.2019.106254</v>
      </c>
      <c r="BG85" s="1"/>
      <c r="BH85" s="1"/>
      <c r="BI85" s="1" t="n">
        <v>15</v>
      </c>
      <c r="BJ85" s="1" t="s">
        <v>1394</v>
      </c>
      <c r="BK85" s="1" t="s">
        <v>204</v>
      </c>
      <c r="BL85" s="1" t="s">
        <v>101</v>
      </c>
      <c r="BM85" s="1" t="s">
        <v>1871</v>
      </c>
      <c r="BN85" s="1"/>
      <c r="BO85" s="1" t="s">
        <v>227</v>
      </c>
      <c r="BP85" s="1"/>
      <c r="BQ85" s="1"/>
      <c r="BR85" s="1" t="s">
        <v>103</v>
      </c>
      <c r="BS85" s="1" t="s">
        <v>1872</v>
      </c>
      <c r="BT85" s="1" t="str">
        <f aca="false">HYPERLINK("https%3A%2F%2Fwww.webofscience.com%2Fwos%2Fwoscc%2Ffull-record%2FWOS:000514233800006","View Full Record in Web of Science")</f>
        <v>View Full Record in Web of Science</v>
      </c>
    </row>
    <row r="86" customFormat="false" ht="12.75" hidden="false" customHeight="false" outlineLevel="0" collapsed="false">
      <c r="A86" s="1" t="s">
        <v>72</v>
      </c>
      <c r="B86" s="1" t="s">
        <v>1873</v>
      </c>
      <c r="C86" s="1"/>
      <c r="D86" s="1" t="s">
        <v>1874</v>
      </c>
      <c r="E86" s="1"/>
      <c r="F86" s="1" t="s">
        <v>1875</v>
      </c>
      <c r="G86" s="1"/>
      <c r="H86" s="1"/>
      <c r="I86" s="1" t="s">
        <v>1876</v>
      </c>
      <c r="J86" s="1" t="s">
        <v>1877</v>
      </c>
      <c r="K86" s="1" t="s">
        <v>976</v>
      </c>
      <c r="L86" s="1"/>
      <c r="M86" s="1" t="s">
        <v>78</v>
      </c>
      <c r="N86" s="1" t="s">
        <v>79</v>
      </c>
      <c r="O86" s="1" t="s">
        <v>1878</v>
      </c>
      <c r="P86" s="1" t="s">
        <v>1879</v>
      </c>
      <c r="Q86" s="1" t="s">
        <v>1880</v>
      </c>
      <c r="R86" s="1" t="s">
        <v>1881</v>
      </c>
      <c r="S86" s="1"/>
      <c r="T86" s="1" t="s">
        <v>1882</v>
      </c>
      <c r="U86" s="1" t="s">
        <v>1883</v>
      </c>
      <c r="V86" s="1" t="s">
        <v>1884</v>
      </c>
      <c r="W86" s="1" t="s">
        <v>1885</v>
      </c>
      <c r="X86" s="1" t="s">
        <v>86</v>
      </c>
      <c r="Y86" s="1" t="s">
        <v>1886</v>
      </c>
      <c r="Z86" s="1" t="s">
        <v>1887</v>
      </c>
      <c r="AA86" s="1"/>
      <c r="AB86" s="1" t="s">
        <v>1888</v>
      </c>
      <c r="AC86" s="1" t="s">
        <v>1186</v>
      </c>
      <c r="AD86" s="1" t="s">
        <v>1186</v>
      </c>
      <c r="AE86" s="1" t="s">
        <v>1889</v>
      </c>
      <c r="AF86" s="1"/>
      <c r="AG86" s="1" t="n">
        <v>29</v>
      </c>
      <c r="AH86" s="1" t="n">
        <v>0</v>
      </c>
      <c r="AI86" s="1" t="n">
        <v>0</v>
      </c>
      <c r="AJ86" s="1" t="n">
        <v>0</v>
      </c>
      <c r="AK86" s="1" t="n">
        <v>6</v>
      </c>
      <c r="AL86" s="1" t="s">
        <v>302</v>
      </c>
      <c r="AM86" s="1" t="s">
        <v>303</v>
      </c>
      <c r="AN86" s="1" t="s">
        <v>304</v>
      </c>
      <c r="AO86" s="1" t="s">
        <v>989</v>
      </c>
      <c r="AP86" s="1" t="s">
        <v>990</v>
      </c>
      <c r="AQ86" s="1" t="s">
        <v>1890</v>
      </c>
      <c r="AR86" s="1" t="s">
        <v>992</v>
      </c>
      <c r="AS86" s="1"/>
      <c r="AT86" s="1"/>
      <c r="AU86" s="1" t="n">
        <v>2024</v>
      </c>
      <c r="AV86" s="1" t="n">
        <v>14588</v>
      </c>
      <c r="AW86" s="1"/>
      <c r="AX86" s="1"/>
      <c r="AY86" s="1"/>
      <c r="AZ86" s="1"/>
      <c r="BA86" s="1"/>
      <c r="BB86" s="1" t="n">
        <v>20</v>
      </c>
      <c r="BC86" s="1" t="n">
        <v>36</v>
      </c>
      <c r="BD86" s="1"/>
      <c r="BE86" s="1" t="s">
        <v>1891</v>
      </c>
      <c r="BF86" s="1" t="str">
        <f aca="false">HYPERLINK("http://dx.doi.org/10.1007/978-3-031-57327-9_2","http://dx.doi.org/10.1007/978-3-031-57327-9_2")</f>
        <v>http://dx.doi.org/10.1007/978-3-031-57327-9_2</v>
      </c>
      <c r="BG86" s="1"/>
      <c r="BH86" s="1"/>
      <c r="BI86" s="1" t="n">
        <v>17</v>
      </c>
      <c r="BJ86" s="1" t="s">
        <v>994</v>
      </c>
      <c r="BK86" s="1" t="s">
        <v>100</v>
      </c>
      <c r="BL86" s="1" t="s">
        <v>101</v>
      </c>
      <c r="BM86" s="1" t="s">
        <v>1892</v>
      </c>
      <c r="BN86" s="1"/>
      <c r="BO86" s="1"/>
      <c r="BP86" s="1"/>
      <c r="BQ86" s="1"/>
      <c r="BR86" s="1" t="s">
        <v>103</v>
      </c>
      <c r="BS86" s="1" t="s">
        <v>1893</v>
      </c>
      <c r="BT86" s="1" t="str">
        <f aca="false">HYPERLINK("https%3A%2F%2Fwww.webofscience.com%2Fwos%2Fwoscc%2Ffull-record%2FWOS:001209314200002","View Full Record in Web of Science")</f>
        <v>View Full Record in Web of Science</v>
      </c>
    </row>
    <row r="87" customFormat="false" ht="12.75" hidden="false" customHeight="false" outlineLevel="0" collapsed="false">
      <c r="A87" s="1" t="s">
        <v>181</v>
      </c>
      <c r="B87" s="1" t="s">
        <v>1894</v>
      </c>
      <c r="C87" s="1"/>
      <c r="D87" s="1"/>
      <c r="E87" s="1"/>
      <c r="F87" s="1" t="s">
        <v>1895</v>
      </c>
      <c r="G87" s="1"/>
      <c r="H87" s="1"/>
      <c r="I87" s="1" t="s">
        <v>1896</v>
      </c>
      <c r="J87" s="1" t="s">
        <v>1897</v>
      </c>
      <c r="K87" s="1"/>
      <c r="L87" s="1"/>
      <c r="M87" s="1" t="s">
        <v>78</v>
      </c>
      <c r="N87" s="1" t="s">
        <v>186</v>
      </c>
      <c r="O87" s="1"/>
      <c r="P87" s="1"/>
      <c r="Q87" s="1"/>
      <c r="R87" s="1"/>
      <c r="S87" s="1"/>
      <c r="T87" s="1"/>
      <c r="U87" s="1" t="s">
        <v>1898</v>
      </c>
      <c r="V87" s="1" t="s">
        <v>1899</v>
      </c>
      <c r="W87" s="1" t="s">
        <v>1900</v>
      </c>
      <c r="X87" s="1" t="s">
        <v>86</v>
      </c>
      <c r="Y87" s="1" t="s">
        <v>1901</v>
      </c>
      <c r="Z87" s="1" t="s">
        <v>1902</v>
      </c>
      <c r="AA87" s="1" t="s">
        <v>529</v>
      </c>
      <c r="AB87" s="1" t="s">
        <v>1903</v>
      </c>
      <c r="AC87" s="1" t="s">
        <v>1904</v>
      </c>
      <c r="AD87" s="1" t="s">
        <v>1905</v>
      </c>
      <c r="AE87" s="1" t="s">
        <v>1906</v>
      </c>
      <c r="AF87" s="1"/>
      <c r="AG87" s="1" t="n">
        <v>65</v>
      </c>
      <c r="AH87" s="1" t="n">
        <v>0</v>
      </c>
      <c r="AI87" s="1" t="n">
        <v>0</v>
      </c>
      <c r="AJ87" s="1" t="n">
        <v>0</v>
      </c>
      <c r="AK87" s="1" t="n">
        <v>4</v>
      </c>
      <c r="AL87" s="1" t="s">
        <v>1907</v>
      </c>
      <c r="AM87" s="1" t="s">
        <v>1908</v>
      </c>
      <c r="AN87" s="1" t="s">
        <v>1909</v>
      </c>
      <c r="AO87" s="1" t="s">
        <v>1910</v>
      </c>
      <c r="AP87" s="1" t="s">
        <v>1911</v>
      </c>
      <c r="AQ87" s="1"/>
      <c r="AR87" s="1" t="s">
        <v>1912</v>
      </c>
      <c r="AS87" s="1" t="s">
        <v>1913</v>
      </c>
      <c r="AT87" s="1" t="s">
        <v>1914</v>
      </c>
      <c r="AU87" s="1" t="n">
        <v>2023</v>
      </c>
      <c r="AV87" s="1" t="n">
        <v>2023</v>
      </c>
      <c r="AW87" s="1"/>
      <c r="AX87" s="1"/>
      <c r="AY87" s="1"/>
      <c r="AZ87" s="1"/>
      <c r="BA87" s="1"/>
      <c r="BB87" s="1"/>
      <c r="BC87" s="1"/>
      <c r="BD87" s="1" t="n">
        <v>1563506</v>
      </c>
      <c r="BE87" s="1" t="s">
        <v>1915</v>
      </c>
      <c r="BF87" s="1" t="str">
        <f aca="false">HYPERLINK("http://dx.doi.org/10.1155/2023/1563506","http://dx.doi.org/10.1155/2023/1563506")</f>
        <v>http://dx.doi.org/10.1155/2023/1563506</v>
      </c>
      <c r="BG87" s="1"/>
      <c r="BH87" s="1"/>
      <c r="BI87" s="1" t="n">
        <v>18</v>
      </c>
      <c r="BJ87" s="1" t="s">
        <v>1625</v>
      </c>
      <c r="BK87" s="1" t="s">
        <v>253</v>
      </c>
      <c r="BL87" s="1" t="s">
        <v>101</v>
      </c>
      <c r="BM87" s="1" t="s">
        <v>1916</v>
      </c>
      <c r="BN87" s="1"/>
      <c r="BO87" s="1" t="s">
        <v>542</v>
      </c>
      <c r="BP87" s="1"/>
      <c r="BQ87" s="1"/>
      <c r="BR87" s="1" t="s">
        <v>103</v>
      </c>
      <c r="BS87" s="1" t="s">
        <v>1917</v>
      </c>
      <c r="BT87" s="1" t="str">
        <f aca="false">HYPERLINK("https%3A%2F%2Fwww.webofscience.com%2Fwos%2Fwoscc%2Ffull-record%2FWOS:001077344100001","View Full Record in Web of Science")</f>
        <v>View Full Record in Web of Science</v>
      </c>
    </row>
    <row r="88" customFormat="false" ht="12.75" hidden="false" customHeight="false" outlineLevel="0" collapsed="false">
      <c r="A88" s="1" t="s">
        <v>181</v>
      </c>
      <c r="B88" s="1" t="s">
        <v>1918</v>
      </c>
      <c r="C88" s="1"/>
      <c r="D88" s="1"/>
      <c r="E88" s="1"/>
      <c r="F88" s="1" t="s">
        <v>1919</v>
      </c>
      <c r="G88" s="1"/>
      <c r="H88" s="1"/>
      <c r="I88" s="1" t="s">
        <v>1920</v>
      </c>
      <c r="J88" s="1" t="s">
        <v>1921</v>
      </c>
      <c r="K88" s="1"/>
      <c r="L88" s="1"/>
      <c r="M88" s="1" t="s">
        <v>78</v>
      </c>
      <c r="N88" s="1" t="s">
        <v>186</v>
      </c>
      <c r="O88" s="1"/>
      <c r="P88" s="1"/>
      <c r="Q88" s="1"/>
      <c r="R88" s="1"/>
      <c r="S88" s="1"/>
      <c r="T88" s="1" t="s">
        <v>1922</v>
      </c>
      <c r="U88" s="1" t="s">
        <v>1923</v>
      </c>
      <c r="V88" s="1" t="s">
        <v>1924</v>
      </c>
      <c r="W88" s="1" t="s">
        <v>1925</v>
      </c>
      <c r="X88" s="1" t="s">
        <v>86</v>
      </c>
      <c r="Y88" s="1" t="s">
        <v>1926</v>
      </c>
      <c r="Z88" s="1" t="s">
        <v>1927</v>
      </c>
      <c r="AA88" s="1"/>
      <c r="AB88" s="1" t="s">
        <v>1928</v>
      </c>
      <c r="AC88" s="1" t="s">
        <v>268</v>
      </c>
      <c r="AD88" s="1" t="s">
        <v>268</v>
      </c>
      <c r="AE88" s="1" t="s">
        <v>269</v>
      </c>
      <c r="AF88" s="1"/>
      <c r="AG88" s="1" t="n">
        <v>78</v>
      </c>
      <c r="AH88" s="1" t="n">
        <v>1</v>
      </c>
      <c r="AI88" s="1" t="n">
        <v>1</v>
      </c>
      <c r="AJ88" s="1" t="n">
        <v>0</v>
      </c>
      <c r="AK88" s="1" t="n">
        <v>6</v>
      </c>
      <c r="AL88" s="1" t="s">
        <v>679</v>
      </c>
      <c r="AM88" s="1" t="s">
        <v>95</v>
      </c>
      <c r="AN88" s="1" t="s">
        <v>803</v>
      </c>
      <c r="AO88" s="1" t="s">
        <v>1929</v>
      </c>
      <c r="AP88" s="1" t="s">
        <v>1930</v>
      </c>
      <c r="AQ88" s="1"/>
      <c r="AR88" s="1" t="s">
        <v>1931</v>
      </c>
      <c r="AS88" s="1" t="s">
        <v>1932</v>
      </c>
      <c r="AT88" s="1" t="s">
        <v>277</v>
      </c>
      <c r="AU88" s="1" t="n">
        <v>2023</v>
      </c>
      <c r="AV88" s="1" t="n">
        <v>28</v>
      </c>
      <c r="AW88" s="1" t="n">
        <v>1</v>
      </c>
      <c r="AX88" s="1"/>
      <c r="AY88" s="1"/>
      <c r="AZ88" s="1" t="s">
        <v>1698</v>
      </c>
      <c r="BA88" s="1"/>
      <c r="BB88" s="1" t="n">
        <v>117</v>
      </c>
      <c r="BC88" s="1" t="n">
        <v>144</v>
      </c>
      <c r="BD88" s="1"/>
      <c r="BE88" s="1" t="s">
        <v>1933</v>
      </c>
      <c r="BF88" s="1" t="str">
        <f aca="false">HYPERLINK("http://dx.doi.org/10.1007/s00766-022-00379-3","http://dx.doi.org/10.1007/s00766-022-00379-3")</f>
        <v>http://dx.doi.org/10.1007/s00766-022-00379-3</v>
      </c>
      <c r="BG88" s="1"/>
      <c r="BH88" s="1" t="s">
        <v>1934</v>
      </c>
      <c r="BI88" s="1" t="n">
        <v>28</v>
      </c>
      <c r="BJ88" s="1" t="s">
        <v>1394</v>
      </c>
      <c r="BK88" s="1" t="s">
        <v>204</v>
      </c>
      <c r="BL88" s="1" t="s">
        <v>101</v>
      </c>
      <c r="BM88" s="1" t="s">
        <v>1935</v>
      </c>
      <c r="BN88" s="1"/>
      <c r="BO88" s="1" t="s">
        <v>612</v>
      </c>
      <c r="BP88" s="1"/>
      <c r="BQ88" s="1"/>
      <c r="BR88" s="1" t="s">
        <v>103</v>
      </c>
      <c r="BS88" s="1" t="s">
        <v>1936</v>
      </c>
      <c r="BT88" s="1" t="str">
        <f aca="false">HYPERLINK("https%3A%2F%2Fwww.webofscience.com%2Fwos%2Fwoscc%2Ffull-record%2FWOS:000782347800001","View Full Record in Web of Science")</f>
        <v>View Full Record in Web of Science</v>
      </c>
    </row>
    <row r="89" customFormat="false" ht="12.75" hidden="false" customHeight="false" outlineLevel="0" collapsed="false">
      <c r="A89" s="1" t="s">
        <v>181</v>
      </c>
      <c r="B89" s="1" t="s">
        <v>1937</v>
      </c>
      <c r="C89" s="1"/>
      <c r="D89" s="1"/>
      <c r="E89" s="1"/>
      <c r="F89" s="1" t="s">
        <v>1938</v>
      </c>
      <c r="G89" s="1"/>
      <c r="H89" s="1"/>
      <c r="I89" s="1" t="s">
        <v>1939</v>
      </c>
      <c r="J89" s="1" t="s">
        <v>1438</v>
      </c>
      <c r="K89" s="1"/>
      <c r="L89" s="1"/>
      <c r="M89" s="1" t="s">
        <v>78</v>
      </c>
      <c r="N89" s="1" t="s">
        <v>186</v>
      </c>
      <c r="O89" s="1"/>
      <c r="P89" s="1"/>
      <c r="Q89" s="1"/>
      <c r="R89" s="1"/>
      <c r="S89" s="1"/>
      <c r="T89" s="1" t="s">
        <v>1940</v>
      </c>
      <c r="U89" s="1" t="s">
        <v>1941</v>
      </c>
      <c r="V89" s="1" t="s">
        <v>1942</v>
      </c>
      <c r="W89" s="1" t="s">
        <v>1943</v>
      </c>
      <c r="X89" s="1" t="s">
        <v>86</v>
      </c>
      <c r="Y89" s="1" t="s">
        <v>1944</v>
      </c>
      <c r="Z89" s="1" t="s">
        <v>1444</v>
      </c>
      <c r="AA89" s="1" t="s">
        <v>388</v>
      </c>
      <c r="AB89" s="1" t="s">
        <v>1945</v>
      </c>
      <c r="AC89" s="1" t="s">
        <v>1946</v>
      </c>
      <c r="AD89" s="1" t="s">
        <v>1947</v>
      </c>
      <c r="AE89" s="1" t="s">
        <v>1948</v>
      </c>
      <c r="AF89" s="1"/>
      <c r="AG89" s="1" t="n">
        <v>61</v>
      </c>
      <c r="AH89" s="1" t="n">
        <v>18</v>
      </c>
      <c r="AI89" s="1" t="n">
        <v>20</v>
      </c>
      <c r="AJ89" s="1" t="n">
        <v>3</v>
      </c>
      <c r="AK89" s="1" t="n">
        <v>34</v>
      </c>
      <c r="AL89" s="1" t="s">
        <v>600</v>
      </c>
      <c r="AM89" s="1" t="s">
        <v>601</v>
      </c>
      <c r="AN89" s="1" t="s">
        <v>602</v>
      </c>
      <c r="AO89" s="1" t="s">
        <v>1449</v>
      </c>
      <c r="AP89" s="1" t="s">
        <v>1450</v>
      </c>
      <c r="AQ89" s="1"/>
      <c r="AR89" s="1" t="s">
        <v>1451</v>
      </c>
      <c r="AS89" s="1" t="s">
        <v>1452</v>
      </c>
      <c r="AT89" s="1" t="s">
        <v>277</v>
      </c>
      <c r="AU89" s="1" t="n">
        <v>2022</v>
      </c>
      <c r="AV89" s="1" t="n">
        <v>31</v>
      </c>
      <c r="AW89" s="1" t="n">
        <v>3</v>
      </c>
      <c r="AX89" s="1"/>
      <c r="AY89" s="1"/>
      <c r="AZ89" s="1"/>
      <c r="BA89" s="1"/>
      <c r="BB89" s="1" t="n">
        <v>1042</v>
      </c>
      <c r="BC89" s="1" t="n">
        <v>1057</v>
      </c>
      <c r="BD89" s="1"/>
      <c r="BE89" s="1" t="s">
        <v>1949</v>
      </c>
      <c r="BF89" s="1" t="str">
        <f aca="false">HYPERLINK("http://dx.doi.org/10.1002/bse.2934","http://dx.doi.org/10.1002/bse.2934")</f>
        <v>http://dx.doi.org/10.1002/bse.2934</v>
      </c>
      <c r="BG89" s="1"/>
      <c r="BH89" s="1" t="s">
        <v>1624</v>
      </c>
      <c r="BI89" s="1" t="n">
        <v>16</v>
      </c>
      <c r="BJ89" s="1" t="s">
        <v>1456</v>
      </c>
      <c r="BK89" s="1" t="s">
        <v>610</v>
      </c>
      <c r="BL89" s="1" t="s">
        <v>1457</v>
      </c>
      <c r="BM89" s="1" t="s">
        <v>1950</v>
      </c>
      <c r="BN89" s="1"/>
      <c r="BO89" s="1" t="s">
        <v>612</v>
      </c>
      <c r="BP89" s="1"/>
      <c r="BQ89" s="1"/>
      <c r="BR89" s="1" t="s">
        <v>103</v>
      </c>
      <c r="BS89" s="1" t="s">
        <v>1951</v>
      </c>
      <c r="BT89" s="1" t="str">
        <f aca="false">HYPERLINK("https%3A%2F%2Fwww.webofscience.com%2Fwos%2Fwoscc%2Ffull-record%2FWOS:000714350800001","View Full Record in Web of Science")</f>
        <v>View Full Record in Web of Science</v>
      </c>
    </row>
    <row r="90" customFormat="false" ht="12.75" hidden="false" customHeight="false" outlineLevel="0" collapsed="false">
      <c r="A90" s="1" t="s">
        <v>181</v>
      </c>
      <c r="B90" s="1" t="s">
        <v>1952</v>
      </c>
      <c r="C90" s="1"/>
      <c r="D90" s="1"/>
      <c r="E90" s="1"/>
      <c r="F90" s="1" t="s">
        <v>1953</v>
      </c>
      <c r="G90" s="1"/>
      <c r="H90" s="1"/>
      <c r="I90" s="1" t="s">
        <v>1954</v>
      </c>
      <c r="J90" s="1" t="s">
        <v>1955</v>
      </c>
      <c r="K90" s="1"/>
      <c r="L90" s="1"/>
      <c r="M90" s="1" t="s">
        <v>78</v>
      </c>
      <c r="N90" s="1" t="s">
        <v>186</v>
      </c>
      <c r="O90" s="1"/>
      <c r="P90" s="1"/>
      <c r="Q90" s="1"/>
      <c r="R90" s="1"/>
      <c r="S90" s="1"/>
      <c r="T90" s="1" t="s">
        <v>1956</v>
      </c>
      <c r="U90" s="1" t="s">
        <v>1957</v>
      </c>
      <c r="V90" s="1" t="s">
        <v>1958</v>
      </c>
      <c r="W90" s="1" t="s">
        <v>1959</v>
      </c>
      <c r="X90" s="1" t="s">
        <v>86</v>
      </c>
      <c r="Y90" s="1" t="s">
        <v>1960</v>
      </c>
      <c r="Z90" s="1" t="s">
        <v>1961</v>
      </c>
      <c r="AA90" s="1"/>
      <c r="AB90" s="1"/>
      <c r="AC90" s="1" t="s">
        <v>1962</v>
      </c>
      <c r="AD90" s="1" t="s">
        <v>1963</v>
      </c>
      <c r="AE90" s="1" t="s">
        <v>1964</v>
      </c>
      <c r="AF90" s="1"/>
      <c r="AG90" s="1" t="n">
        <v>57</v>
      </c>
      <c r="AH90" s="1" t="n">
        <v>0</v>
      </c>
      <c r="AI90" s="1" t="n">
        <v>0</v>
      </c>
      <c r="AJ90" s="1" t="n">
        <v>2</v>
      </c>
      <c r="AK90" s="1" t="n">
        <v>10</v>
      </c>
      <c r="AL90" s="1" t="s">
        <v>1025</v>
      </c>
      <c r="AM90" s="1" t="s">
        <v>1026</v>
      </c>
      <c r="AN90" s="1" t="s">
        <v>1027</v>
      </c>
      <c r="AO90" s="1" t="s">
        <v>1965</v>
      </c>
      <c r="AP90" s="1" t="s">
        <v>1966</v>
      </c>
      <c r="AQ90" s="1"/>
      <c r="AR90" s="1" t="s">
        <v>1967</v>
      </c>
      <c r="AS90" s="1" t="s">
        <v>1968</v>
      </c>
      <c r="AT90" s="1" t="s">
        <v>754</v>
      </c>
      <c r="AU90" s="1" t="n">
        <v>2021</v>
      </c>
      <c r="AV90" s="1" t="n">
        <v>69</v>
      </c>
      <c r="AW90" s="1"/>
      <c r="AX90" s="1"/>
      <c r="AY90" s="1"/>
      <c r="AZ90" s="1"/>
      <c r="BA90" s="1"/>
      <c r="BB90" s="1"/>
      <c r="BC90" s="1"/>
      <c r="BD90" s="1" t="n">
        <v>102575</v>
      </c>
      <c r="BE90" s="1" t="s">
        <v>1969</v>
      </c>
      <c r="BF90" s="1" t="str">
        <f aca="false">HYPERLINK("http://dx.doi.org/10.1016/j.healthplace.2021.102575","http://dx.doi.org/10.1016/j.healthplace.2021.102575")</f>
        <v>http://dx.doi.org/10.1016/j.healthplace.2021.102575</v>
      </c>
      <c r="BG90" s="1"/>
      <c r="BH90" s="1" t="s">
        <v>1970</v>
      </c>
      <c r="BI90" s="1" t="n">
        <v>7</v>
      </c>
      <c r="BJ90" s="1" t="s">
        <v>1971</v>
      </c>
      <c r="BK90" s="1" t="s">
        <v>398</v>
      </c>
      <c r="BL90" s="1" t="s">
        <v>1971</v>
      </c>
      <c r="BM90" s="1" t="s">
        <v>1972</v>
      </c>
      <c r="BN90" s="1" t="n">
        <v>33962171</v>
      </c>
      <c r="BO90" s="1" t="s">
        <v>612</v>
      </c>
      <c r="BP90" s="1"/>
      <c r="BQ90" s="1"/>
      <c r="BR90" s="1" t="s">
        <v>103</v>
      </c>
      <c r="BS90" s="1" t="s">
        <v>1973</v>
      </c>
      <c r="BT90" s="1" t="str">
        <f aca="false">HYPERLINK("https%3A%2F%2Fwww.webofscience.com%2Fwos%2Fwoscc%2Ffull-record%2FWOS:000663414400006","View Full Record in Web of Science")</f>
        <v>View Full Record in Web of Science</v>
      </c>
    </row>
    <row r="91" customFormat="false" ht="12.75" hidden="false" customHeight="false" outlineLevel="0" collapsed="false">
      <c r="A91" s="1" t="s">
        <v>72</v>
      </c>
      <c r="B91" s="1" t="s">
        <v>1974</v>
      </c>
      <c r="C91" s="1"/>
      <c r="D91" s="1" t="s">
        <v>1975</v>
      </c>
      <c r="E91" s="1"/>
      <c r="F91" s="1" t="s">
        <v>1976</v>
      </c>
      <c r="G91" s="1"/>
      <c r="H91" s="1"/>
      <c r="I91" s="1" t="s">
        <v>1977</v>
      </c>
      <c r="J91" s="1" t="s">
        <v>1978</v>
      </c>
      <c r="K91" s="1"/>
      <c r="L91" s="1"/>
      <c r="M91" s="1" t="s">
        <v>78</v>
      </c>
      <c r="N91" s="1" t="s">
        <v>79</v>
      </c>
      <c r="O91" s="1" t="s">
        <v>1979</v>
      </c>
      <c r="P91" s="1" t="s">
        <v>1980</v>
      </c>
      <c r="Q91" s="1" t="s">
        <v>320</v>
      </c>
      <c r="R91" s="1"/>
      <c r="S91" s="1"/>
      <c r="T91" s="1" t="s">
        <v>1981</v>
      </c>
      <c r="U91" s="1"/>
      <c r="V91" s="1" t="s">
        <v>1982</v>
      </c>
      <c r="W91" s="1" t="s">
        <v>1983</v>
      </c>
      <c r="X91" s="1" t="s">
        <v>86</v>
      </c>
      <c r="Y91" s="1" t="s">
        <v>1984</v>
      </c>
      <c r="Z91" s="1"/>
      <c r="AA91" s="1" t="s">
        <v>1985</v>
      </c>
      <c r="AB91" s="1" t="s">
        <v>1986</v>
      </c>
      <c r="AC91" s="1"/>
      <c r="AD91" s="1"/>
      <c r="AE91" s="1"/>
      <c r="AF91" s="1"/>
      <c r="AG91" s="1" t="n">
        <v>22</v>
      </c>
      <c r="AH91" s="1" t="n">
        <v>3</v>
      </c>
      <c r="AI91" s="1" t="n">
        <v>3</v>
      </c>
      <c r="AJ91" s="1" t="n">
        <v>0</v>
      </c>
      <c r="AK91" s="1" t="n">
        <v>2</v>
      </c>
      <c r="AL91" s="1" t="s">
        <v>1721</v>
      </c>
      <c r="AM91" s="1" t="s">
        <v>1722</v>
      </c>
      <c r="AN91" s="1" t="s">
        <v>1723</v>
      </c>
      <c r="AO91" s="1"/>
      <c r="AP91" s="1"/>
      <c r="AQ91" s="1" t="s">
        <v>1987</v>
      </c>
      <c r="AR91" s="1"/>
      <c r="AS91" s="1"/>
      <c r="AT91" s="1"/>
      <c r="AU91" s="1" t="n">
        <v>2020</v>
      </c>
      <c r="AV91" s="1"/>
      <c r="AW91" s="1"/>
      <c r="AX91" s="1"/>
      <c r="AY91" s="1"/>
      <c r="AZ91" s="1"/>
      <c r="BA91" s="1"/>
      <c r="BB91" s="1" t="n">
        <v>59</v>
      </c>
      <c r="BC91" s="1" t="n">
        <v>66</v>
      </c>
      <c r="BD91" s="1"/>
      <c r="BE91" s="1" t="s">
        <v>1988</v>
      </c>
      <c r="BF91" s="1" t="str">
        <f aca="false">HYPERLINK("http://dx.doi.org/10.5220/0009831400590066","http://dx.doi.org/10.5220/0009831400590066")</f>
        <v>http://dx.doi.org/10.5220/0009831400590066</v>
      </c>
      <c r="BG91" s="1"/>
      <c r="BH91" s="1"/>
      <c r="BI91" s="1" t="n">
        <v>8</v>
      </c>
      <c r="BJ91" s="1" t="s">
        <v>1989</v>
      </c>
      <c r="BK91" s="1" t="s">
        <v>100</v>
      </c>
      <c r="BL91" s="1" t="s">
        <v>1990</v>
      </c>
      <c r="BM91" s="1" t="s">
        <v>1991</v>
      </c>
      <c r="BN91" s="1"/>
      <c r="BO91" s="1" t="s">
        <v>612</v>
      </c>
      <c r="BP91" s="1"/>
      <c r="BQ91" s="1"/>
      <c r="BR91" s="1" t="s">
        <v>103</v>
      </c>
      <c r="BS91" s="1" t="s">
        <v>1992</v>
      </c>
      <c r="BT91" s="1" t="str">
        <f aca="false">HYPERLINK("https%3A%2F%2Fwww.webofscience.com%2Fwos%2Fwoscc%2Ffull-record%2FWOS:000615962300005","View Full Record in Web of Science")</f>
        <v>View Full Record in Web of Science</v>
      </c>
    </row>
    <row r="92" customFormat="false" ht="12.75" hidden="false" customHeight="false" outlineLevel="0" collapsed="false">
      <c r="A92" s="1" t="s">
        <v>181</v>
      </c>
      <c r="B92" s="1" t="s">
        <v>1993</v>
      </c>
      <c r="C92" s="1"/>
      <c r="D92" s="1"/>
      <c r="E92" s="1"/>
      <c r="F92" s="1" t="s">
        <v>1994</v>
      </c>
      <c r="G92" s="1"/>
      <c r="H92" s="1"/>
      <c r="I92" s="1" t="s">
        <v>1995</v>
      </c>
      <c r="J92" s="1" t="s">
        <v>1378</v>
      </c>
      <c r="K92" s="1"/>
      <c r="L92" s="1"/>
      <c r="M92" s="1" t="s">
        <v>78</v>
      </c>
      <c r="N92" s="1" t="s">
        <v>1996</v>
      </c>
      <c r="O92" s="1"/>
      <c r="P92" s="1"/>
      <c r="Q92" s="1"/>
      <c r="R92" s="1"/>
      <c r="S92" s="1"/>
      <c r="T92" s="1"/>
      <c r="U92" s="1"/>
      <c r="V92" s="1"/>
      <c r="W92" s="1" t="s">
        <v>1997</v>
      </c>
      <c r="X92" s="1" t="s">
        <v>86</v>
      </c>
      <c r="Y92" s="1" t="s">
        <v>1998</v>
      </c>
      <c r="Z92" s="1" t="s">
        <v>1999</v>
      </c>
      <c r="AA92" s="1"/>
      <c r="AB92" s="1" t="s">
        <v>2000</v>
      </c>
      <c r="AC92" s="1"/>
      <c r="AD92" s="1"/>
      <c r="AE92" s="1"/>
      <c r="AF92" s="1"/>
      <c r="AG92" s="1" t="n">
        <v>28</v>
      </c>
      <c r="AH92" s="1" t="n">
        <v>0</v>
      </c>
      <c r="AI92" s="1" t="n">
        <v>0</v>
      </c>
      <c r="AJ92" s="1" t="n">
        <v>0</v>
      </c>
      <c r="AK92" s="1" t="n">
        <v>0</v>
      </c>
      <c r="AL92" s="1" t="s">
        <v>893</v>
      </c>
      <c r="AM92" s="1" t="s">
        <v>894</v>
      </c>
      <c r="AN92" s="1" t="s">
        <v>895</v>
      </c>
      <c r="AO92" s="1" t="s">
        <v>1387</v>
      </c>
      <c r="AP92" s="1" t="s">
        <v>1388</v>
      </c>
      <c r="AQ92" s="1"/>
      <c r="AR92" s="1" t="s">
        <v>1389</v>
      </c>
      <c r="AS92" s="1" t="s">
        <v>1390</v>
      </c>
      <c r="AT92" s="1" t="s">
        <v>711</v>
      </c>
      <c r="AU92" s="1" t="n">
        <v>2024</v>
      </c>
      <c r="AV92" s="1" t="n">
        <v>172</v>
      </c>
      <c r="AW92" s="1"/>
      <c r="AX92" s="1"/>
      <c r="AY92" s="1"/>
      <c r="AZ92" s="1"/>
      <c r="BA92" s="1"/>
      <c r="BB92" s="1"/>
      <c r="BC92" s="1"/>
      <c r="BD92" s="1" t="n">
        <v>107487</v>
      </c>
      <c r="BE92" s="1" t="s">
        <v>2001</v>
      </c>
      <c r="BF92" s="1" t="str">
        <f aca="false">HYPERLINK("http://dx.doi.org/10.1016/j.infsof.2024.107487","http://dx.doi.org/10.1016/j.infsof.2024.107487")</f>
        <v>http://dx.doi.org/10.1016/j.infsof.2024.107487</v>
      </c>
      <c r="BG92" s="1"/>
      <c r="BH92" s="1" t="s">
        <v>2002</v>
      </c>
      <c r="BI92" s="1" t="n">
        <v>2</v>
      </c>
      <c r="BJ92" s="1" t="s">
        <v>1394</v>
      </c>
      <c r="BK92" s="1" t="s">
        <v>204</v>
      </c>
      <c r="BL92" s="1" t="s">
        <v>101</v>
      </c>
      <c r="BM92" s="1" t="s">
        <v>2003</v>
      </c>
      <c r="BN92" s="1"/>
      <c r="BO92" s="1" t="s">
        <v>282</v>
      </c>
      <c r="BP92" s="1"/>
      <c r="BQ92" s="1"/>
      <c r="BR92" s="1" t="s">
        <v>103</v>
      </c>
      <c r="BS92" s="1" t="s">
        <v>2004</v>
      </c>
      <c r="BT92" s="1" t="str">
        <f aca="false">HYPERLINK("https%3A%2F%2Fwww.webofscience.com%2Fwos%2Fwoscc%2Ffull-record%2FWOS:001240006600001","View Full Record in Web of Science")</f>
        <v>View Full Record in Web of Science</v>
      </c>
    </row>
    <row r="93" customFormat="false" ht="12.75" hidden="false" customHeight="false" outlineLevel="0" collapsed="false">
      <c r="A93" s="1" t="s">
        <v>181</v>
      </c>
      <c r="B93" s="1" t="s">
        <v>2005</v>
      </c>
      <c r="C93" s="1"/>
      <c r="D93" s="1"/>
      <c r="E93" s="1"/>
      <c r="F93" s="1" t="s">
        <v>2006</v>
      </c>
      <c r="G93" s="1"/>
      <c r="H93" s="1"/>
      <c r="I93" s="1" t="s">
        <v>2007</v>
      </c>
      <c r="J93" s="1" t="s">
        <v>1378</v>
      </c>
      <c r="K93" s="1"/>
      <c r="L93" s="1"/>
      <c r="M93" s="1" t="s">
        <v>78</v>
      </c>
      <c r="N93" s="1" t="s">
        <v>618</v>
      </c>
      <c r="O93" s="1"/>
      <c r="P93" s="1"/>
      <c r="Q93" s="1"/>
      <c r="R93" s="1"/>
      <c r="S93" s="1"/>
      <c r="T93" s="1" t="s">
        <v>2008</v>
      </c>
      <c r="U93" s="1" t="s">
        <v>2009</v>
      </c>
      <c r="V93" s="1" t="s">
        <v>2010</v>
      </c>
      <c r="W93" s="1" t="s">
        <v>2011</v>
      </c>
      <c r="X93" s="1" t="s">
        <v>86</v>
      </c>
      <c r="Y93" s="1" t="s">
        <v>2012</v>
      </c>
      <c r="Z93" s="1" t="s">
        <v>2013</v>
      </c>
      <c r="AA93" s="1"/>
      <c r="AB93" s="1" t="s">
        <v>2014</v>
      </c>
      <c r="AC93" s="1" t="s">
        <v>2015</v>
      </c>
      <c r="AD93" s="1" t="s">
        <v>2016</v>
      </c>
      <c r="AE93" s="1" t="s">
        <v>2017</v>
      </c>
      <c r="AF93" s="1"/>
      <c r="AG93" s="1" t="n">
        <v>58</v>
      </c>
      <c r="AH93" s="1" t="n">
        <v>1</v>
      </c>
      <c r="AI93" s="1" t="n">
        <v>1</v>
      </c>
      <c r="AJ93" s="1" t="n">
        <v>4</v>
      </c>
      <c r="AK93" s="1" t="n">
        <v>7</v>
      </c>
      <c r="AL93" s="1" t="s">
        <v>893</v>
      </c>
      <c r="AM93" s="1" t="s">
        <v>894</v>
      </c>
      <c r="AN93" s="1" t="s">
        <v>895</v>
      </c>
      <c r="AO93" s="1" t="s">
        <v>1387</v>
      </c>
      <c r="AP93" s="1" t="s">
        <v>1388</v>
      </c>
      <c r="AQ93" s="1"/>
      <c r="AR93" s="1" t="s">
        <v>1389</v>
      </c>
      <c r="AS93" s="1" t="s">
        <v>1390</v>
      </c>
      <c r="AT93" s="1" t="s">
        <v>808</v>
      </c>
      <c r="AU93" s="1" t="n">
        <v>2024</v>
      </c>
      <c r="AV93" s="1" t="n">
        <v>171</v>
      </c>
      <c r="AW93" s="1"/>
      <c r="AX93" s="1"/>
      <c r="AY93" s="1"/>
      <c r="AZ93" s="1"/>
      <c r="BA93" s="1"/>
      <c r="BB93" s="1"/>
      <c r="BC93" s="1"/>
      <c r="BD93" s="1" t="n">
        <v>107451</v>
      </c>
      <c r="BE93" s="1" t="s">
        <v>2018</v>
      </c>
      <c r="BF93" s="1" t="str">
        <f aca="false">HYPERLINK("http://dx.doi.org/10.1016/j.infsof.2024.107451","http://dx.doi.org/10.1016/j.infsof.2024.107451")</f>
        <v>http://dx.doi.org/10.1016/j.infsof.2024.107451</v>
      </c>
      <c r="BG93" s="1"/>
      <c r="BH93" s="1" t="s">
        <v>2019</v>
      </c>
      <c r="BI93" s="1" t="n">
        <v>22</v>
      </c>
      <c r="BJ93" s="1" t="s">
        <v>1394</v>
      </c>
      <c r="BK93" s="1" t="s">
        <v>204</v>
      </c>
      <c r="BL93" s="1" t="s">
        <v>101</v>
      </c>
      <c r="BM93" s="1" t="s">
        <v>2020</v>
      </c>
      <c r="BN93" s="1"/>
      <c r="BO93" s="1" t="s">
        <v>1373</v>
      </c>
      <c r="BP93" s="1"/>
      <c r="BQ93" s="1"/>
      <c r="BR93" s="1" t="s">
        <v>103</v>
      </c>
      <c r="BS93" s="1" t="s">
        <v>2021</v>
      </c>
      <c r="BT93" s="1" t="str">
        <f aca="false">HYPERLINK("https%3A%2F%2Fwww.webofscience.com%2Fwos%2Fwoscc%2Ffull-record%2FWOS:001223219600001","View Full Record in Web of Science")</f>
        <v>View Full Record in Web of Science</v>
      </c>
    </row>
    <row r="94" customFormat="false" ht="12.75" hidden="false" customHeight="false" outlineLevel="0" collapsed="false">
      <c r="A94" s="1" t="s">
        <v>181</v>
      </c>
      <c r="B94" s="1" t="s">
        <v>1952</v>
      </c>
      <c r="C94" s="1"/>
      <c r="D94" s="1"/>
      <c r="E94" s="1"/>
      <c r="F94" s="1" t="s">
        <v>1953</v>
      </c>
      <c r="G94" s="1"/>
      <c r="H94" s="1"/>
      <c r="I94" s="1" t="s">
        <v>2022</v>
      </c>
      <c r="J94" s="1" t="s">
        <v>2023</v>
      </c>
      <c r="K94" s="1"/>
      <c r="L94" s="1"/>
      <c r="M94" s="1" t="s">
        <v>78</v>
      </c>
      <c r="N94" s="1" t="s">
        <v>907</v>
      </c>
      <c r="O94" s="1"/>
      <c r="P94" s="1"/>
      <c r="Q94" s="1"/>
      <c r="R94" s="1"/>
      <c r="S94" s="1"/>
      <c r="T94" s="1" t="s">
        <v>2024</v>
      </c>
      <c r="U94" s="1"/>
      <c r="V94" s="1" t="s">
        <v>2025</v>
      </c>
      <c r="W94" s="1" t="s">
        <v>2026</v>
      </c>
      <c r="X94" s="1" t="s">
        <v>86</v>
      </c>
      <c r="Y94" s="1" t="s">
        <v>2027</v>
      </c>
      <c r="Z94" s="1"/>
      <c r="AA94" s="1"/>
      <c r="AB94" s="1" t="s">
        <v>2028</v>
      </c>
      <c r="AC94" s="1" t="s">
        <v>2029</v>
      </c>
      <c r="AD94" s="1" t="s">
        <v>2029</v>
      </c>
      <c r="AE94" s="1" t="s">
        <v>2030</v>
      </c>
      <c r="AF94" s="1"/>
      <c r="AG94" s="1" t="n">
        <v>27</v>
      </c>
      <c r="AH94" s="1" t="n">
        <v>0</v>
      </c>
      <c r="AI94" s="1" t="n">
        <v>0</v>
      </c>
      <c r="AJ94" s="1" t="n">
        <v>0</v>
      </c>
      <c r="AK94" s="1" t="n">
        <v>0</v>
      </c>
      <c r="AL94" s="1" t="s">
        <v>1220</v>
      </c>
      <c r="AM94" s="1" t="s">
        <v>1221</v>
      </c>
      <c r="AN94" s="1" t="s">
        <v>1222</v>
      </c>
      <c r="AO94" s="1" t="s">
        <v>2031</v>
      </c>
      <c r="AP94" s="1" t="s">
        <v>2032</v>
      </c>
      <c r="AQ94" s="1"/>
      <c r="AR94" s="1" t="s">
        <v>2033</v>
      </c>
      <c r="AS94" s="1" t="s">
        <v>2034</v>
      </c>
      <c r="AT94" s="1" t="s">
        <v>2035</v>
      </c>
      <c r="AU94" s="1" t="n">
        <v>2024</v>
      </c>
      <c r="AV94" s="1"/>
      <c r="AW94" s="1"/>
      <c r="AX94" s="1"/>
      <c r="AY94" s="1"/>
      <c r="AZ94" s="1"/>
      <c r="BA94" s="1"/>
      <c r="BB94" s="1"/>
      <c r="BC94" s="1"/>
      <c r="BD94" s="1"/>
      <c r="BE94" s="1" t="s">
        <v>2036</v>
      </c>
      <c r="BF94" s="1" t="str">
        <f aca="false">HYPERLINK("http://dx.doi.org/10.1080/26892618.2024.2329870","http://dx.doi.org/10.1080/26892618.2024.2329870")</f>
        <v>http://dx.doi.org/10.1080/26892618.2024.2329870</v>
      </c>
      <c r="BG94" s="1"/>
      <c r="BH94" s="1" t="s">
        <v>2019</v>
      </c>
      <c r="BI94" s="1" t="n">
        <v>18</v>
      </c>
      <c r="BJ94" s="1" t="s">
        <v>2037</v>
      </c>
      <c r="BK94" s="1" t="s">
        <v>253</v>
      </c>
      <c r="BL94" s="1" t="s">
        <v>2038</v>
      </c>
      <c r="BM94" s="1" t="s">
        <v>2039</v>
      </c>
      <c r="BN94" s="1"/>
      <c r="BO94" s="1" t="s">
        <v>612</v>
      </c>
      <c r="BP94" s="1"/>
      <c r="BQ94" s="1"/>
      <c r="BR94" s="1" t="s">
        <v>103</v>
      </c>
      <c r="BS94" s="1" t="s">
        <v>2040</v>
      </c>
      <c r="BT94" s="1" t="str">
        <f aca="false">HYPERLINK("https%3A%2F%2Fwww.webofscience.com%2Fwos%2Fwoscc%2Ffull-record%2FWOS:001189492900001","View Full Record in Web of Science")</f>
        <v>View Full Record in Web of Science</v>
      </c>
    </row>
    <row r="95" customFormat="false" ht="12.75" hidden="false" customHeight="false" outlineLevel="0" collapsed="false">
      <c r="A95" s="1" t="s">
        <v>72</v>
      </c>
      <c r="B95" s="1" t="s">
        <v>131</v>
      </c>
      <c r="C95" s="1"/>
      <c r="D95" s="1"/>
      <c r="E95" s="1" t="s">
        <v>106</v>
      </c>
      <c r="F95" s="1" t="s">
        <v>132</v>
      </c>
      <c r="G95" s="1"/>
      <c r="H95" s="1"/>
      <c r="I95" s="1" t="s">
        <v>2041</v>
      </c>
      <c r="J95" s="1" t="s">
        <v>2042</v>
      </c>
      <c r="K95" s="1" t="s">
        <v>2043</v>
      </c>
      <c r="L95" s="1"/>
      <c r="M95" s="1" t="s">
        <v>78</v>
      </c>
      <c r="N95" s="1" t="s">
        <v>79</v>
      </c>
      <c r="O95" s="1" t="s">
        <v>2044</v>
      </c>
      <c r="P95" s="1" t="s">
        <v>2045</v>
      </c>
      <c r="Q95" s="1" t="s">
        <v>2046</v>
      </c>
      <c r="R95" s="1" t="s">
        <v>2047</v>
      </c>
      <c r="S95" s="1"/>
      <c r="T95" s="1"/>
      <c r="U95" s="1" t="s">
        <v>2048</v>
      </c>
      <c r="V95" s="1" t="s">
        <v>2049</v>
      </c>
      <c r="W95" s="1" t="s">
        <v>142</v>
      </c>
      <c r="X95" s="1" t="s">
        <v>86</v>
      </c>
      <c r="Y95" s="1" t="s">
        <v>143</v>
      </c>
      <c r="Z95" s="1" t="s">
        <v>144</v>
      </c>
      <c r="AA95" s="1" t="s">
        <v>145</v>
      </c>
      <c r="AB95" s="1"/>
      <c r="AC95" s="1"/>
      <c r="AD95" s="1"/>
      <c r="AE95" s="1"/>
      <c r="AF95" s="1"/>
      <c r="AG95" s="1" t="n">
        <v>17</v>
      </c>
      <c r="AH95" s="1" t="n">
        <v>1</v>
      </c>
      <c r="AI95" s="1" t="n">
        <v>1</v>
      </c>
      <c r="AJ95" s="1" t="n">
        <v>0</v>
      </c>
      <c r="AK95" s="1" t="n">
        <v>0</v>
      </c>
      <c r="AL95" s="1" t="s">
        <v>106</v>
      </c>
      <c r="AM95" s="1" t="s">
        <v>95</v>
      </c>
      <c r="AN95" s="1" t="s">
        <v>122</v>
      </c>
      <c r="AO95" s="1" t="s">
        <v>2050</v>
      </c>
      <c r="AP95" s="1"/>
      <c r="AQ95" s="1" t="s">
        <v>2051</v>
      </c>
      <c r="AR95" s="1" t="s">
        <v>2052</v>
      </c>
      <c r="AS95" s="1"/>
      <c r="AT95" s="1"/>
      <c r="AU95" s="1" t="n">
        <v>2023</v>
      </c>
      <c r="AV95" s="1"/>
      <c r="AW95" s="1"/>
      <c r="AX95" s="1"/>
      <c r="AY95" s="1"/>
      <c r="AZ95" s="1"/>
      <c r="BA95" s="1"/>
      <c r="BB95" s="1"/>
      <c r="BC95" s="1"/>
      <c r="BD95" s="1"/>
      <c r="BE95" s="1" t="s">
        <v>2053</v>
      </c>
      <c r="BF95" s="1" t="str">
        <f aca="false">HYPERLINK("http://dx.doi.org/10.1109/PIMRC56721.2023.10293982","http://dx.doi.org/10.1109/PIMRC56721.2023.10293982")</f>
        <v>http://dx.doi.org/10.1109/PIMRC56721.2023.10293982</v>
      </c>
      <c r="BG95" s="1"/>
      <c r="BH95" s="1"/>
      <c r="BI95" s="1" t="n">
        <v>6</v>
      </c>
      <c r="BJ95" s="1" t="s">
        <v>153</v>
      </c>
      <c r="BK95" s="1" t="s">
        <v>100</v>
      </c>
      <c r="BL95" s="1" t="s">
        <v>154</v>
      </c>
      <c r="BM95" s="1" t="s">
        <v>2054</v>
      </c>
      <c r="BN95" s="1"/>
      <c r="BO95" s="1"/>
      <c r="BP95" s="1"/>
      <c r="BQ95" s="1"/>
      <c r="BR95" s="1" t="s">
        <v>103</v>
      </c>
      <c r="BS95" s="1" t="s">
        <v>2055</v>
      </c>
      <c r="BT95" s="1" t="str">
        <f aca="false">HYPERLINK("https%3A%2F%2Fwww.webofscience.com%2Fwos%2Fwoscc%2Ffull-record%2FWOS:001103214700233","View Full Record in Web of Science")</f>
        <v>View Full Record in Web of Science</v>
      </c>
    </row>
    <row r="96" customFormat="false" ht="12.75" hidden="false" customHeight="false" outlineLevel="0" collapsed="false">
      <c r="A96" s="1" t="s">
        <v>181</v>
      </c>
      <c r="B96" s="1" t="s">
        <v>2056</v>
      </c>
      <c r="C96" s="1"/>
      <c r="D96" s="1"/>
      <c r="E96" s="1"/>
      <c r="F96" s="1" t="s">
        <v>2057</v>
      </c>
      <c r="G96" s="1"/>
      <c r="H96" s="1"/>
      <c r="I96" s="1" t="s">
        <v>2058</v>
      </c>
      <c r="J96" s="1" t="s">
        <v>2059</v>
      </c>
      <c r="K96" s="1"/>
      <c r="L96" s="1"/>
      <c r="M96" s="1" t="s">
        <v>78</v>
      </c>
      <c r="N96" s="1" t="s">
        <v>186</v>
      </c>
      <c r="O96" s="1"/>
      <c r="P96" s="1"/>
      <c r="Q96" s="1"/>
      <c r="R96" s="1"/>
      <c r="S96" s="1"/>
      <c r="T96" s="1" t="s">
        <v>2060</v>
      </c>
      <c r="U96" s="1"/>
      <c r="V96" s="1" t="s">
        <v>2061</v>
      </c>
      <c r="W96" s="1" t="s">
        <v>2062</v>
      </c>
      <c r="X96" s="1" t="s">
        <v>86</v>
      </c>
      <c r="Y96" s="1" t="s">
        <v>2063</v>
      </c>
      <c r="Z96" s="1" t="s">
        <v>2064</v>
      </c>
      <c r="AA96" s="1"/>
      <c r="AB96" s="1" t="s">
        <v>2065</v>
      </c>
      <c r="AC96" s="1" t="s">
        <v>2066</v>
      </c>
      <c r="AD96" s="1" t="s">
        <v>2067</v>
      </c>
      <c r="AE96" s="1" t="s">
        <v>2068</v>
      </c>
      <c r="AF96" s="1"/>
      <c r="AG96" s="1" t="n">
        <v>24</v>
      </c>
      <c r="AH96" s="1" t="n">
        <v>0</v>
      </c>
      <c r="AI96" s="1" t="n">
        <v>0</v>
      </c>
      <c r="AJ96" s="1" t="n">
        <v>15</v>
      </c>
      <c r="AK96" s="1" t="n">
        <v>72</v>
      </c>
      <c r="AL96" s="1" t="s">
        <v>195</v>
      </c>
      <c r="AM96" s="1" t="s">
        <v>196</v>
      </c>
      <c r="AN96" s="1" t="s">
        <v>197</v>
      </c>
      <c r="AO96" s="1" t="s">
        <v>2069</v>
      </c>
      <c r="AP96" s="1" t="s">
        <v>2070</v>
      </c>
      <c r="AQ96" s="1"/>
      <c r="AR96" s="1" t="s">
        <v>2071</v>
      </c>
      <c r="AS96" s="1" t="s">
        <v>2072</v>
      </c>
      <c r="AT96" s="1" t="s">
        <v>1391</v>
      </c>
      <c r="AU96" s="1" t="n">
        <v>2022</v>
      </c>
      <c r="AV96" s="1" t="n">
        <v>65</v>
      </c>
      <c r="AW96" s="1" t="n">
        <v>4</v>
      </c>
      <c r="AX96" s="1"/>
      <c r="AY96" s="1"/>
      <c r="AZ96" s="1"/>
      <c r="BA96" s="1"/>
      <c r="BB96" s="1" t="n">
        <v>684</v>
      </c>
      <c r="BC96" s="1" t="n">
        <v>694</v>
      </c>
      <c r="BD96" s="1"/>
      <c r="BE96" s="1" t="s">
        <v>2073</v>
      </c>
      <c r="BF96" s="1" t="str">
        <f aca="false">HYPERLINK("http://dx.doi.org/10.1109/TE.2022.3163911","http://dx.doi.org/10.1109/TE.2022.3163911")</f>
        <v>http://dx.doi.org/10.1109/TE.2022.3163911</v>
      </c>
      <c r="BG96" s="1"/>
      <c r="BH96" s="1" t="s">
        <v>1934</v>
      </c>
      <c r="BI96" s="1" t="n">
        <v>11</v>
      </c>
      <c r="BJ96" s="1" t="s">
        <v>2074</v>
      </c>
      <c r="BK96" s="1" t="s">
        <v>204</v>
      </c>
      <c r="BL96" s="1" t="s">
        <v>1602</v>
      </c>
      <c r="BM96" s="1" t="s">
        <v>2075</v>
      </c>
      <c r="BN96" s="1"/>
      <c r="BO96" s="1"/>
      <c r="BP96" s="1"/>
      <c r="BQ96" s="1"/>
      <c r="BR96" s="1" t="s">
        <v>103</v>
      </c>
      <c r="BS96" s="1" t="s">
        <v>2076</v>
      </c>
      <c r="BT96" s="1" t="str">
        <f aca="false">HYPERLINK("https%3A%2F%2Fwww.webofscience.com%2Fwos%2Fwoscc%2Ffull-record%2FWOS:000782821200001","View Full Record in Web of Science")</f>
        <v>View Full Record in Web of Science</v>
      </c>
    </row>
    <row r="97" customFormat="false" ht="12.75" hidden="false" customHeight="false" outlineLevel="0" collapsed="false">
      <c r="A97" s="1" t="s">
        <v>72</v>
      </c>
      <c r="B97" s="1" t="s">
        <v>2077</v>
      </c>
      <c r="C97" s="1"/>
      <c r="D97" s="1" t="s">
        <v>2078</v>
      </c>
      <c r="E97" s="1"/>
      <c r="F97" s="1" t="s">
        <v>2079</v>
      </c>
      <c r="G97" s="1"/>
      <c r="H97" s="1"/>
      <c r="I97" s="1" t="s">
        <v>2080</v>
      </c>
      <c r="J97" s="1" t="s">
        <v>2081</v>
      </c>
      <c r="K97" s="1" t="s">
        <v>976</v>
      </c>
      <c r="L97" s="1"/>
      <c r="M97" s="1" t="s">
        <v>78</v>
      </c>
      <c r="N97" s="1" t="s">
        <v>79</v>
      </c>
      <c r="O97" s="1" t="s">
        <v>2082</v>
      </c>
      <c r="P97" s="1" t="s">
        <v>2083</v>
      </c>
      <c r="Q97" s="1" t="s">
        <v>2084</v>
      </c>
      <c r="R97" s="1" t="s">
        <v>2085</v>
      </c>
      <c r="S97" s="1"/>
      <c r="T97" s="1" t="s">
        <v>2086</v>
      </c>
      <c r="U97" s="1"/>
      <c r="V97" s="1" t="s">
        <v>2087</v>
      </c>
      <c r="W97" s="1" t="s">
        <v>2088</v>
      </c>
      <c r="X97" s="1" t="s">
        <v>86</v>
      </c>
      <c r="Y97" s="1" t="s">
        <v>2089</v>
      </c>
      <c r="Z97" s="1" t="s">
        <v>2090</v>
      </c>
      <c r="AA97" s="1" t="s">
        <v>1293</v>
      </c>
      <c r="AB97" s="1" t="s">
        <v>2091</v>
      </c>
      <c r="AC97" s="1" t="s">
        <v>2092</v>
      </c>
      <c r="AD97" s="1" t="s">
        <v>2093</v>
      </c>
      <c r="AE97" s="1" t="s">
        <v>2094</v>
      </c>
      <c r="AF97" s="1"/>
      <c r="AG97" s="1" t="n">
        <v>27</v>
      </c>
      <c r="AH97" s="1" t="n">
        <v>1</v>
      </c>
      <c r="AI97" s="1" t="n">
        <v>1</v>
      </c>
      <c r="AJ97" s="1" t="n">
        <v>1</v>
      </c>
      <c r="AK97" s="1" t="n">
        <v>10</v>
      </c>
      <c r="AL97" s="1" t="s">
        <v>302</v>
      </c>
      <c r="AM97" s="1" t="s">
        <v>303</v>
      </c>
      <c r="AN97" s="1" t="s">
        <v>304</v>
      </c>
      <c r="AO97" s="1" t="s">
        <v>989</v>
      </c>
      <c r="AP97" s="1" t="s">
        <v>990</v>
      </c>
      <c r="AQ97" s="1" t="s">
        <v>2095</v>
      </c>
      <c r="AR97" s="1" t="s">
        <v>992</v>
      </c>
      <c r="AS97" s="1"/>
      <c r="AT97" s="1"/>
      <c r="AU97" s="1" t="n">
        <v>2022</v>
      </c>
      <c r="AV97" s="1" t="n">
        <v>13446</v>
      </c>
      <c r="AW97" s="1"/>
      <c r="AX97" s="1"/>
      <c r="AY97" s="1"/>
      <c r="AZ97" s="1"/>
      <c r="BA97" s="1"/>
      <c r="BB97" s="1" t="n">
        <v>360</v>
      </c>
      <c r="BC97" s="1" t="n">
        <v>372</v>
      </c>
      <c r="BD97" s="1"/>
      <c r="BE97" s="1" t="s">
        <v>2096</v>
      </c>
      <c r="BF97" s="1" t="str">
        <f aca="false">HYPERLINK("http://dx.doi.org/10.1007/978-3-031-15553-6_25","http://dx.doi.org/10.1007/978-3-031-15553-6_25")</f>
        <v>http://dx.doi.org/10.1007/978-3-031-15553-6_25</v>
      </c>
      <c r="BG97" s="1"/>
      <c r="BH97" s="1"/>
      <c r="BI97" s="1" t="n">
        <v>13</v>
      </c>
      <c r="BJ97" s="1" t="s">
        <v>517</v>
      </c>
      <c r="BK97" s="1" t="s">
        <v>100</v>
      </c>
      <c r="BL97" s="1" t="s">
        <v>101</v>
      </c>
      <c r="BM97" s="1" t="s">
        <v>2097</v>
      </c>
      <c r="BN97" s="1"/>
      <c r="BO97" s="1"/>
      <c r="BP97" s="1"/>
      <c r="BQ97" s="1"/>
      <c r="BR97" s="1" t="s">
        <v>103</v>
      </c>
      <c r="BS97" s="1" t="s">
        <v>2098</v>
      </c>
      <c r="BT97" s="1" t="str">
        <f aca="false">HYPERLINK("https%3A%2F%2Fwww.webofscience.com%2Fwos%2Fwoscc%2Ffull-record%2FWOS:000886159800025","View Full Record in Web of Science")</f>
        <v>View Full Record in Web of Science</v>
      </c>
    </row>
    <row r="98" customFormat="false" ht="12.75" hidden="false" customHeight="false" outlineLevel="0" collapsed="false">
      <c r="A98" s="1" t="s">
        <v>181</v>
      </c>
      <c r="B98" s="1" t="s">
        <v>2099</v>
      </c>
      <c r="C98" s="1"/>
      <c r="D98" s="1"/>
      <c r="E98" s="1"/>
      <c r="F98" s="1" t="s">
        <v>2100</v>
      </c>
      <c r="G98" s="1"/>
      <c r="H98" s="1"/>
      <c r="I98" s="1" t="s">
        <v>2101</v>
      </c>
      <c r="J98" s="1" t="s">
        <v>2102</v>
      </c>
      <c r="K98" s="1"/>
      <c r="L98" s="1"/>
      <c r="M98" s="1" t="s">
        <v>78</v>
      </c>
      <c r="N98" s="1" t="s">
        <v>186</v>
      </c>
      <c r="O98" s="1"/>
      <c r="P98" s="1"/>
      <c r="Q98" s="1"/>
      <c r="R98" s="1"/>
      <c r="S98" s="1"/>
      <c r="T98" s="1" t="s">
        <v>2103</v>
      </c>
      <c r="U98" s="1" t="s">
        <v>2104</v>
      </c>
      <c r="V98" s="1" t="s">
        <v>2105</v>
      </c>
      <c r="W98" s="1" t="s">
        <v>2106</v>
      </c>
      <c r="X98" s="1" t="s">
        <v>86</v>
      </c>
      <c r="Y98" s="1" t="s">
        <v>2107</v>
      </c>
      <c r="Z98" s="1" t="s">
        <v>2108</v>
      </c>
      <c r="AA98" s="1" t="s">
        <v>2109</v>
      </c>
      <c r="AB98" s="1" t="s">
        <v>2110</v>
      </c>
      <c r="AC98" s="1" t="s">
        <v>2111</v>
      </c>
      <c r="AD98" s="1" t="s">
        <v>2111</v>
      </c>
      <c r="AE98" s="1" t="s">
        <v>2112</v>
      </c>
      <c r="AF98" s="1"/>
      <c r="AG98" s="1" t="n">
        <v>40</v>
      </c>
      <c r="AH98" s="1" t="n">
        <v>11</v>
      </c>
      <c r="AI98" s="1" t="n">
        <v>11</v>
      </c>
      <c r="AJ98" s="1" t="n">
        <v>0</v>
      </c>
      <c r="AK98" s="1" t="n">
        <v>16</v>
      </c>
      <c r="AL98" s="1" t="s">
        <v>367</v>
      </c>
      <c r="AM98" s="1" t="s">
        <v>368</v>
      </c>
      <c r="AN98" s="1" t="s">
        <v>369</v>
      </c>
      <c r="AO98" s="1"/>
      <c r="AP98" s="1" t="s">
        <v>2113</v>
      </c>
      <c r="AQ98" s="1"/>
      <c r="AR98" s="1" t="s">
        <v>2102</v>
      </c>
      <c r="AS98" s="1" t="s">
        <v>2114</v>
      </c>
      <c r="AT98" s="1" t="s">
        <v>1453</v>
      </c>
      <c r="AU98" s="1" t="n">
        <v>2020</v>
      </c>
      <c r="AV98" s="1" t="n">
        <v>8</v>
      </c>
      <c r="AW98" s="1" t="n">
        <v>1</v>
      </c>
      <c r="AX98" s="1"/>
      <c r="AY98" s="1"/>
      <c r="AZ98" s="1"/>
      <c r="BA98" s="1"/>
      <c r="BB98" s="1"/>
      <c r="BC98" s="1"/>
      <c r="BD98" s="1" t="n">
        <v>89</v>
      </c>
      <c r="BE98" s="1" t="s">
        <v>2115</v>
      </c>
      <c r="BF98" s="1" t="str">
        <f aca="false">HYPERLINK("http://dx.doi.org/10.3390/pr8010089","http://dx.doi.org/10.3390/pr8010089")</f>
        <v>http://dx.doi.org/10.3390/pr8010089</v>
      </c>
      <c r="BG98" s="1"/>
      <c r="BH98" s="1"/>
      <c r="BI98" s="1" t="n">
        <v>11</v>
      </c>
      <c r="BJ98" s="1" t="s">
        <v>2116</v>
      </c>
      <c r="BK98" s="1" t="s">
        <v>204</v>
      </c>
      <c r="BL98" s="1" t="s">
        <v>640</v>
      </c>
      <c r="BM98" s="1" t="s">
        <v>2117</v>
      </c>
      <c r="BN98" s="1"/>
      <c r="BO98" s="1" t="s">
        <v>401</v>
      </c>
      <c r="BP98" s="1"/>
      <c r="BQ98" s="1"/>
      <c r="BR98" s="1" t="s">
        <v>103</v>
      </c>
      <c r="BS98" s="1" t="s">
        <v>2118</v>
      </c>
      <c r="BT98" s="1" t="str">
        <f aca="false">HYPERLINK("https%3A%2F%2Fwww.webofscience.com%2Fwos%2Fwoscc%2Ffull-record%2FWOS:000516825300077","View Full Record in Web of Science")</f>
        <v>View Full Record in Web of Science</v>
      </c>
    </row>
    <row r="99" customFormat="false" ht="12.75" hidden="false" customHeight="false" outlineLevel="0" collapsed="false">
      <c r="A99" s="1" t="s">
        <v>181</v>
      </c>
      <c r="B99" s="1" t="s">
        <v>2119</v>
      </c>
      <c r="C99" s="1"/>
      <c r="D99" s="1"/>
      <c r="E99" s="1"/>
      <c r="F99" s="1" t="s">
        <v>2120</v>
      </c>
      <c r="G99" s="1"/>
      <c r="H99" s="1"/>
      <c r="I99" s="1" t="s">
        <v>2121</v>
      </c>
      <c r="J99" s="1" t="s">
        <v>2122</v>
      </c>
      <c r="K99" s="1"/>
      <c r="L99" s="1"/>
      <c r="M99" s="1" t="s">
        <v>78</v>
      </c>
      <c r="N99" s="1" t="s">
        <v>186</v>
      </c>
      <c r="O99" s="1"/>
      <c r="P99" s="1"/>
      <c r="Q99" s="1"/>
      <c r="R99" s="1"/>
      <c r="S99" s="1"/>
      <c r="T99" s="1" t="s">
        <v>2123</v>
      </c>
      <c r="U99" s="1" t="s">
        <v>2124</v>
      </c>
      <c r="V99" s="1" t="s">
        <v>2125</v>
      </c>
      <c r="W99" s="1" t="s">
        <v>2126</v>
      </c>
      <c r="X99" s="1" t="s">
        <v>86</v>
      </c>
      <c r="Y99" s="1" t="s">
        <v>2127</v>
      </c>
      <c r="Z99" s="1" t="s">
        <v>2128</v>
      </c>
      <c r="AA99" s="1"/>
      <c r="AB99" s="1"/>
      <c r="AC99" s="1"/>
      <c r="AD99" s="1"/>
      <c r="AE99" s="1"/>
      <c r="AF99" s="1"/>
      <c r="AG99" s="1" t="n">
        <v>36</v>
      </c>
      <c r="AH99" s="1" t="n">
        <v>7</v>
      </c>
      <c r="AI99" s="1" t="n">
        <v>7</v>
      </c>
      <c r="AJ99" s="1" t="n">
        <v>1</v>
      </c>
      <c r="AK99" s="1" t="n">
        <v>12</v>
      </c>
      <c r="AL99" s="1" t="s">
        <v>2129</v>
      </c>
      <c r="AM99" s="1" t="s">
        <v>1908</v>
      </c>
      <c r="AN99" s="1" t="s">
        <v>2130</v>
      </c>
      <c r="AO99" s="1"/>
      <c r="AP99" s="1" t="s">
        <v>2131</v>
      </c>
      <c r="AQ99" s="1"/>
      <c r="AR99" s="1" t="s">
        <v>2132</v>
      </c>
      <c r="AS99" s="1" t="s">
        <v>2133</v>
      </c>
      <c r="AT99" s="1" t="s">
        <v>2134</v>
      </c>
      <c r="AU99" s="1" t="n">
        <v>2023</v>
      </c>
      <c r="AV99" s="1" t="n">
        <v>10</v>
      </c>
      <c r="AW99" s="1" t="n">
        <v>1</v>
      </c>
      <c r="AX99" s="1"/>
      <c r="AY99" s="1"/>
      <c r="AZ99" s="1"/>
      <c r="BA99" s="1"/>
      <c r="BB99" s="1"/>
      <c r="BC99" s="1"/>
      <c r="BD99" s="1" t="n">
        <v>112</v>
      </c>
      <c r="BE99" s="1" t="s">
        <v>2135</v>
      </c>
      <c r="BF99" s="1" t="str">
        <f aca="false">HYPERLINK("http://dx.doi.org/10.1186/s40537-023-00793-6","http://dx.doi.org/10.1186/s40537-023-00793-6")</f>
        <v>http://dx.doi.org/10.1186/s40537-023-00793-6</v>
      </c>
      <c r="BG99" s="1"/>
      <c r="BH99" s="1"/>
      <c r="BI99" s="1" t="n">
        <v>27</v>
      </c>
      <c r="BJ99" s="1" t="s">
        <v>2136</v>
      </c>
      <c r="BK99" s="1" t="s">
        <v>204</v>
      </c>
      <c r="BL99" s="1" t="s">
        <v>101</v>
      </c>
      <c r="BM99" s="1" t="s">
        <v>2137</v>
      </c>
      <c r="BN99" s="1"/>
      <c r="BO99" s="1" t="s">
        <v>2138</v>
      </c>
      <c r="BP99" s="1"/>
      <c r="BQ99" s="1"/>
      <c r="BR99" s="1" t="s">
        <v>103</v>
      </c>
      <c r="BS99" s="1" t="s">
        <v>2139</v>
      </c>
      <c r="BT99" s="1" t="str">
        <f aca="false">HYPERLINK("https%3A%2F%2Fwww.webofscience.com%2Fwos%2Fwoscc%2Ffull-record%2FWOS:001022426100002","View Full Record in Web of Science")</f>
        <v>View Full Record in Web of Science</v>
      </c>
    </row>
    <row r="100" customFormat="false" ht="12.75" hidden="false" customHeight="false" outlineLevel="0" collapsed="false">
      <c r="A100" s="1" t="s">
        <v>72</v>
      </c>
      <c r="B100" s="1" t="s">
        <v>284</v>
      </c>
      <c r="C100" s="1"/>
      <c r="D100" s="1" t="s">
        <v>2140</v>
      </c>
      <c r="E100" s="1"/>
      <c r="F100" s="1" t="s">
        <v>286</v>
      </c>
      <c r="G100" s="1"/>
      <c r="H100" s="1"/>
      <c r="I100" s="1" t="s">
        <v>2141</v>
      </c>
      <c r="J100" s="1" t="s">
        <v>2142</v>
      </c>
      <c r="K100" s="1" t="s">
        <v>289</v>
      </c>
      <c r="L100" s="1"/>
      <c r="M100" s="1" t="s">
        <v>78</v>
      </c>
      <c r="N100" s="1" t="s">
        <v>79</v>
      </c>
      <c r="O100" s="1" t="s">
        <v>2143</v>
      </c>
      <c r="P100" s="1" t="s">
        <v>2144</v>
      </c>
      <c r="Q100" s="1" t="s">
        <v>2145</v>
      </c>
      <c r="R100" s="1" t="s">
        <v>2146</v>
      </c>
      <c r="S100" s="1"/>
      <c r="T100" s="1" t="s">
        <v>2147</v>
      </c>
      <c r="U100" s="1" t="s">
        <v>2148</v>
      </c>
      <c r="V100" s="1" t="s">
        <v>2149</v>
      </c>
      <c r="W100" s="1" t="s">
        <v>297</v>
      </c>
      <c r="X100" s="1" t="s">
        <v>86</v>
      </c>
      <c r="Y100" s="1" t="s">
        <v>298</v>
      </c>
      <c r="Z100" s="1" t="s">
        <v>299</v>
      </c>
      <c r="AA100" s="1"/>
      <c r="AB100" s="1"/>
      <c r="AC100" s="1" t="s">
        <v>2150</v>
      </c>
      <c r="AD100" s="1" t="s">
        <v>2151</v>
      </c>
      <c r="AE100" s="1" t="s">
        <v>2152</v>
      </c>
      <c r="AF100" s="1"/>
      <c r="AG100" s="1" t="n">
        <v>32</v>
      </c>
      <c r="AH100" s="1" t="n">
        <v>0</v>
      </c>
      <c r="AI100" s="1" t="n">
        <v>0</v>
      </c>
      <c r="AJ100" s="1" t="n">
        <v>0</v>
      </c>
      <c r="AK100" s="1" t="n">
        <v>0</v>
      </c>
      <c r="AL100" s="1" t="s">
        <v>302</v>
      </c>
      <c r="AM100" s="1" t="s">
        <v>303</v>
      </c>
      <c r="AN100" s="1" t="s">
        <v>304</v>
      </c>
      <c r="AO100" s="1" t="s">
        <v>305</v>
      </c>
      <c r="AP100" s="1" t="s">
        <v>306</v>
      </c>
      <c r="AQ100" s="1" t="s">
        <v>2153</v>
      </c>
      <c r="AR100" s="1" t="s">
        <v>308</v>
      </c>
      <c r="AS100" s="1"/>
      <c r="AT100" s="1"/>
      <c r="AU100" s="1" t="n">
        <v>2023</v>
      </c>
      <c r="AV100" s="1" t="n">
        <v>688</v>
      </c>
      <c r="AW100" s="1"/>
      <c r="AX100" s="1"/>
      <c r="AY100" s="1"/>
      <c r="AZ100" s="1"/>
      <c r="BA100" s="1"/>
      <c r="BB100" s="1" t="n">
        <v>193</v>
      </c>
      <c r="BC100" s="1" t="n">
        <v>206</v>
      </c>
      <c r="BD100" s="1"/>
      <c r="BE100" s="1" t="s">
        <v>2154</v>
      </c>
      <c r="BF100" s="1" t="str">
        <f aca="false">HYPERLINK("http://dx.doi.org/10.1007/978-3-031-42622-3_14","http://dx.doi.org/10.1007/978-3-031-42622-3_14")</f>
        <v>http://dx.doi.org/10.1007/978-3-031-42622-3_14</v>
      </c>
      <c r="BG100" s="1"/>
      <c r="BH100" s="1"/>
      <c r="BI100" s="1" t="n">
        <v>14</v>
      </c>
      <c r="BJ100" s="1" t="s">
        <v>310</v>
      </c>
      <c r="BK100" s="1" t="s">
        <v>100</v>
      </c>
      <c r="BL100" s="1" t="s">
        <v>311</v>
      </c>
      <c r="BM100" s="1" t="s">
        <v>2155</v>
      </c>
      <c r="BN100" s="1"/>
      <c r="BO100" s="1"/>
      <c r="BP100" s="1"/>
      <c r="BQ100" s="1"/>
      <c r="BR100" s="1" t="s">
        <v>103</v>
      </c>
      <c r="BS100" s="1" t="s">
        <v>2156</v>
      </c>
      <c r="BT100" s="1" t="str">
        <f aca="false">HYPERLINK("https%3A%2F%2Fwww.webofscience.com%2Fwos%2Fwoscc%2Ffull-record%2FWOS:001359444600014","View Full Record in Web of Science")</f>
        <v>View Full Record in Web of Science</v>
      </c>
    </row>
    <row r="101" customFormat="false" ht="12.75" hidden="false" customHeight="false" outlineLevel="0" collapsed="false">
      <c r="A101" s="1" t="s">
        <v>181</v>
      </c>
      <c r="B101" s="1" t="s">
        <v>2157</v>
      </c>
      <c r="C101" s="1"/>
      <c r="D101" s="1"/>
      <c r="E101" s="1"/>
      <c r="F101" s="1" t="s">
        <v>2158</v>
      </c>
      <c r="G101" s="1"/>
      <c r="H101" s="1"/>
      <c r="I101" s="1" t="s">
        <v>2159</v>
      </c>
      <c r="J101" s="1" t="s">
        <v>355</v>
      </c>
      <c r="K101" s="1"/>
      <c r="L101" s="1"/>
      <c r="M101" s="1" t="s">
        <v>78</v>
      </c>
      <c r="N101" s="1" t="s">
        <v>186</v>
      </c>
      <c r="O101" s="1"/>
      <c r="P101" s="1"/>
      <c r="Q101" s="1"/>
      <c r="R101" s="1"/>
      <c r="S101" s="1"/>
      <c r="T101" s="1" t="s">
        <v>2160</v>
      </c>
      <c r="U101" s="1" t="s">
        <v>2161</v>
      </c>
      <c r="V101" s="1" t="s">
        <v>2162</v>
      </c>
      <c r="W101" s="1" t="s">
        <v>2163</v>
      </c>
      <c r="X101" s="1" t="s">
        <v>86</v>
      </c>
      <c r="Y101" s="1" t="s">
        <v>2164</v>
      </c>
      <c r="Z101" s="1" t="s">
        <v>2128</v>
      </c>
      <c r="AA101" s="1" t="s">
        <v>2165</v>
      </c>
      <c r="AB101" s="1" t="s">
        <v>2166</v>
      </c>
      <c r="AC101" s="1" t="s">
        <v>2167</v>
      </c>
      <c r="AD101" s="1" t="s">
        <v>2167</v>
      </c>
      <c r="AE101" s="1" t="s">
        <v>2168</v>
      </c>
      <c r="AF101" s="1"/>
      <c r="AG101" s="1" t="n">
        <v>88</v>
      </c>
      <c r="AH101" s="1" t="n">
        <v>2</v>
      </c>
      <c r="AI101" s="1" t="n">
        <v>2</v>
      </c>
      <c r="AJ101" s="1" t="n">
        <v>2</v>
      </c>
      <c r="AK101" s="1" t="n">
        <v>20</v>
      </c>
      <c r="AL101" s="1" t="s">
        <v>367</v>
      </c>
      <c r="AM101" s="1" t="s">
        <v>368</v>
      </c>
      <c r="AN101" s="1" t="s">
        <v>369</v>
      </c>
      <c r="AO101" s="1"/>
      <c r="AP101" s="1" t="s">
        <v>370</v>
      </c>
      <c r="AQ101" s="1"/>
      <c r="AR101" s="1" t="s">
        <v>355</v>
      </c>
      <c r="AS101" s="1" t="s">
        <v>371</v>
      </c>
      <c r="AT101" s="1" t="s">
        <v>711</v>
      </c>
      <c r="AU101" s="1" t="n">
        <v>2022</v>
      </c>
      <c r="AV101" s="1" t="n">
        <v>15</v>
      </c>
      <c r="AW101" s="1" t="n">
        <v>8</v>
      </c>
      <c r="AX101" s="1"/>
      <c r="AY101" s="1"/>
      <c r="AZ101" s="1"/>
      <c r="BA101" s="1"/>
      <c r="BB101" s="1"/>
      <c r="BC101" s="1"/>
      <c r="BD101" s="1" t="n">
        <v>280</v>
      </c>
      <c r="BE101" s="1" t="s">
        <v>2169</v>
      </c>
      <c r="BF101" s="1" t="str">
        <f aca="false">HYPERLINK("http://dx.doi.org/10.3390/a15080280","http://dx.doi.org/10.3390/a15080280")</f>
        <v>http://dx.doi.org/10.3390/a15080280</v>
      </c>
      <c r="BG101" s="1"/>
      <c r="BH101" s="1"/>
      <c r="BI101" s="1" t="n">
        <v>15</v>
      </c>
      <c r="BJ101" s="1" t="s">
        <v>374</v>
      </c>
      <c r="BK101" s="1" t="s">
        <v>253</v>
      </c>
      <c r="BL101" s="1" t="s">
        <v>101</v>
      </c>
      <c r="BM101" s="1" t="s">
        <v>2170</v>
      </c>
      <c r="BN101" s="1"/>
      <c r="BO101" s="1" t="s">
        <v>542</v>
      </c>
      <c r="BP101" s="1"/>
      <c r="BQ101" s="1"/>
      <c r="BR101" s="1" t="s">
        <v>103</v>
      </c>
      <c r="BS101" s="1" t="s">
        <v>2171</v>
      </c>
      <c r="BT101" s="1" t="str">
        <f aca="false">HYPERLINK("https%3A%2F%2Fwww.webofscience.com%2Fwos%2Fwoscc%2Ffull-record%2FWOS:000846415100001","View Full Record in Web of Science")</f>
        <v>View Full Record in Web of Science</v>
      </c>
    </row>
    <row r="102" customFormat="false" ht="12.75" hidden="false" customHeight="false" outlineLevel="0" collapsed="false">
      <c r="A102" s="1" t="s">
        <v>72</v>
      </c>
      <c r="B102" s="1" t="s">
        <v>2077</v>
      </c>
      <c r="C102" s="1"/>
      <c r="D102" s="1" t="s">
        <v>2172</v>
      </c>
      <c r="E102" s="1"/>
      <c r="F102" s="1" t="s">
        <v>2079</v>
      </c>
      <c r="G102" s="1"/>
      <c r="H102" s="1"/>
      <c r="I102" s="1" t="s">
        <v>2173</v>
      </c>
      <c r="J102" s="1" t="s">
        <v>2174</v>
      </c>
      <c r="K102" s="1" t="s">
        <v>1709</v>
      </c>
      <c r="L102" s="1"/>
      <c r="M102" s="1" t="s">
        <v>78</v>
      </c>
      <c r="N102" s="1" t="s">
        <v>79</v>
      </c>
      <c r="O102" s="1" t="s">
        <v>2175</v>
      </c>
      <c r="P102" s="1" t="s">
        <v>1711</v>
      </c>
      <c r="Q102" s="1" t="s">
        <v>320</v>
      </c>
      <c r="R102" s="1"/>
      <c r="S102" s="1"/>
      <c r="T102" s="1" t="s">
        <v>2176</v>
      </c>
      <c r="U102" s="1" t="s">
        <v>2177</v>
      </c>
      <c r="V102" s="1" t="s">
        <v>2178</v>
      </c>
      <c r="W102" s="1" t="s">
        <v>2088</v>
      </c>
      <c r="X102" s="1" t="s">
        <v>86</v>
      </c>
      <c r="Y102" s="1" t="s">
        <v>2179</v>
      </c>
      <c r="Z102" s="1"/>
      <c r="AA102" s="1" t="s">
        <v>1293</v>
      </c>
      <c r="AB102" s="1"/>
      <c r="AC102" s="1" t="s">
        <v>1718</v>
      </c>
      <c r="AD102" s="1" t="s">
        <v>1719</v>
      </c>
      <c r="AE102" s="1" t="s">
        <v>2180</v>
      </c>
      <c r="AF102" s="1"/>
      <c r="AG102" s="1" t="n">
        <v>37</v>
      </c>
      <c r="AH102" s="1" t="n">
        <v>0</v>
      </c>
      <c r="AI102" s="1" t="n">
        <v>0</v>
      </c>
      <c r="AJ102" s="1" t="n">
        <v>2</v>
      </c>
      <c r="AK102" s="1" t="n">
        <v>5</v>
      </c>
      <c r="AL102" s="1" t="s">
        <v>1721</v>
      </c>
      <c r="AM102" s="1" t="s">
        <v>1722</v>
      </c>
      <c r="AN102" s="1" t="s">
        <v>1723</v>
      </c>
      <c r="AO102" s="1" t="s">
        <v>1724</v>
      </c>
      <c r="AP102" s="1"/>
      <c r="AQ102" s="1" t="s">
        <v>1725</v>
      </c>
      <c r="AR102" s="1" t="s">
        <v>1709</v>
      </c>
      <c r="AS102" s="1"/>
      <c r="AT102" s="1"/>
      <c r="AU102" s="1" t="n">
        <v>2022</v>
      </c>
      <c r="AV102" s="1"/>
      <c r="AW102" s="1"/>
      <c r="AX102" s="1"/>
      <c r="AY102" s="1"/>
      <c r="AZ102" s="1"/>
      <c r="BA102" s="1"/>
      <c r="BB102" s="1" t="n">
        <v>171</v>
      </c>
      <c r="BC102" s="1" t="n">
        <v>178</v>
      </c>
      <c r="BD102" s="1"/>
      <c r="BE102" s="1" t="s">
        <v>2181</v>
      </c>
      <c r="BF102" s="1" t="str">
        <f aca="false">HYPERLINK("http://dx.doi.org/10.5220/0010889500003124","http://dx.doi.org/10.5220/0010889500003124")</f>
        <v>http://dx.doi.org/10.5220/0010889500003124</v>
      </c>
      <c r="BG102" s="1"/>
      <c r="BH102" s="1"/>
      <c r="BI102" s="1" t="n">
        <v>8</v>
      </c>
      <c r="BJ102" s="1" t="s">
        <v>252</v>
      </c>
      <c r="BK102" s="1" t="s">
        <v>100</v>
      </c>
      <c r="BL102" s="1" t="s">
        <v>101</v>
      </c>
      <c r="BM102" s="1" t="s">
        <v>2182</v>
      </c>
      <c r="BN102" s="1"/>
      <c r="BO102" s="1" t="s">
        <v>282</v>
      </c>
      <c r="BP102" s="1"/>
      <c r="BQ102" s="1"/>
      <c r="BR102" s="1" t="s">
        <v>103</v>
      </c>
      <c r="BS102" s="1" t="s">
        <v>2183</v>
      </c>
      <c r="BT102" s="1" t="str">
        <f aca="false">HYPERLINK("https%3A%2F%2Fwww.webofscience.com%2Fwos%2Fwoscc%2Ffull-record%2FWOS:000777508400015","View Full Record in Web of Science")</f>
        <v>View Full Record in Web of Science</v>
      </c>
    </row>
    <row r="103" customFormat="false" ht="12.75" hidden="false" customHeight="false" outlineLevel="0" collapsed="false">
      <c r="A103" s="1" t="s">
        <v>72</v>
      </c>
      <c r="B103" s="1" t="s">
        <v>2184</v>
      </c>
      <c r="C103" s="1"/>
      <c r="D103" s="1" t="s">
        <v>285</v>
      </c>
      <c r="E103" s="1"/>
      <c r="F103" s="1" t="s">
        <v>2185</v>
      </c>
      <c r="G103" s="1"/>
      <c r="H103" s="1"/>
      <c r="I103" s="1" t="s">
        <v>2186</v>
      </c>
      <c r="J103" s="1" t="s">
        <v>288</v>
      </c>
      <c r="K103" s="1" t="s">
        <v>289</v>
      </c>
      <c r="L103" s="1"/>
      <c r="M103" s="1" t="s">
        <v>78</v>
      </c>
      <c r="N103" s="1" t="s">
        <v>79</v>
      </c>
      <c r="O103" s="1" t="s">
        <v>290</v>
      </c>
      <c r="P103" s="1" t="s">
        <v>291</v>
      </c>
      <c r="Q103" s="1" t="s">
        <v>292</v>
      </c>
      <c r="R103" s="1" t="s">
        <v>293</v>
      </c>
      <c r="S103" s="1"/>
      <c r="T103" s="1" t="s">
        <v>2187</v>
      </c>
      <c r="U103" s="1"/>
      <c r="V103" s="1" t="s">
        <v>2188</v>
      </c>
      <c r="W103" s="1" t="s">
        <v>2189</v>
      </c>
      <c r="X103" s="1" t="s">
        <v>86</v>
      </c>
      <c r="Y103" s="1" t="s">
        <v>2190</v>
      </c>
      <c r="Z103" s="1" t="s">
        <v>2191</v>
      </c>
      <c r="AA103" s="1" t="s">
        <v>455</v>
      </c>
      <c r="AB103" s="1"/>
      <c r="AC103" s="1" t="s">
        <v>2192</v>
      </c>
      <c r="AD103" s="1" t="s">
        <v>2192</v>
      </c>
      <c r="AE103" s="1" t="s">
        <v>2193</v>
      </c>
      <c r="AF103" s="1"/>
      <c r="AG103" s="1" t="n">
        <v>18</v>
      </c>
      <c r="AH103" s="1" t="n">
        <v>2</v>
      </c>
      <c r="AI103" s="1" t="n">
        <v>2</v>
      </c>
      <c r="AJ103" s="1" t="n">
        <v>0</v>
      </c>
      <c r="AK103" s="1" t="n">
        <v>0</v>
      </c>
      <c r="AL103" s="1" t="s">
        <v>302</v>
      </c>
      <c r="AM103" s="1" t="s">
        <v>303</v>
      </c>
      <c r="AN103" s="1" t="s">
        <v>304</v>
      </c>
      <c r="AO103" s="1" t="s">
        <v>305</v>
      </c>
      <c r="AP103" s="1" t="s">
        <v>306</v>
      </c>
      <c r="AQ103" s="1" t="s">
        <v>307</v>
      </c>
      <c r="AR103" s="1" t="s">
        <v>308</v>
      </c>
      <c r="AS103" s="1"/>
      <c r="AT103" s="1"/>
      <c r="AU103" s="1" t="n">
        <v>2022</v>
      </c>
      <c r="AV103" s="1" t="n">
        <v>662</v>
      </c>
      <c r="AW103" s="1"/>
      <c r="AX103" s="1"/>
      <c r="AY103" s="1"/>
      <c r="AZ103" s="1"/>
      <c r="BA103" s="1"/>
      <c r="BB103" s="1" t="n">
        <v>613</v>
      </c>
      <c r="BC103" s="1" t="n">
        <v>622</v>
      </c>
      <c r="BD103" s="1"/>
      <c r="BE103" s="1" t="s">
        <v>2194</v>
      </c>
      <c r="BF103" s="1" t="str">
        <f aca="false">HYPERLINK("http://dx.doi.org/10.1007/978-3-031-14844-6_49","http://dx.doi.org/10.1007/978-3-031-14844-6_49")</f>
        <v>http://dx.doi.org/10.1007/978-3-031-14844-6_49</v>
      </c>
      <c r="BG103" s="1"/>
      <c r="BH103" s="1"/>
      <c r="BI103" s="1" t="n">
        <v>10</v>
      </c>
      <c r="BJ103" s="1" t="s">
        <v>310</v>
      </c>
      <c r="BK103" s="1" t="s">
        <v>100</v>
      </c>
      <c r="BL103" s="1" t="s">
        <v>311</v>
      </c>
      <c r="BM103" s="1" t="s">
        <v>312</v>
      </c>
      <c r="BN103" s="1"/>
      <c r="BO103" s="1"/>
      <c r="BP103" s="1"/>
      <c r="BQ103" s="1"/>
      <c r="BR103" s="1" t="s">
        <v>103</v>
      </c>
      <c r="BS103" s="1" t="s">
        <v>2195</v>
      </c>
      <c r="BT103" s="1" t="str">
        <f aca="false">HYPERLINK("https%3A%2F%2Fwww.webofscience.com%2Fwos%2Fwoscc%2Ffull-record%2FWOS:001359443000049","View Full Record in Web of Science")</f>
        <v>View Full Record in Web of Science</v>
      </c>
    </row>
    <row r="104" customFormat="false" ht="12.75" hidden="false" customHeight="false" outlineLevel="0" collapsed="false">
      <c r="A104" s="1" t="s">
        <v>181</v>
      </c>
      <c r="B104" s="1" t="s">
        <v>352</v>
      </c>
      <c r="C104" s="1"/>
      <c r="D104" s="1"/>
      <c r="E104" s="1"/>
      <c r="F104" s="1" t="s">
        <v>353</v>
      </c>
      <c r="G104" s="1"/>
      <c r="H104" s="1"/>
      <c r="I104" s="1" t="s">
        <v>2196</v>
      </c>
      <c r="J104" s="1" t="s">
        <v>2197</v>
      </c>
      <c r="K104" s="1"/>
      <c r="L104" s="1"/>
      <c r="M104" s="1" t="s">
        <v>78</v>
      </c>
      <c r="N104" s="1" t="s">
        <v>186</v>
      </c>
      <c r="O104" s="1"/>
      <c r="P104" s="1"/>
      <c r="Q104" s="1"/>
      <c r="R104" s="1"/>
      <c r="S104" s="1"/>
      <c r="T104" s="1" t="s">
        <v>2198</v>
      </c>
      <c r="U104" s="1" t="s">
        <v>2199</v>
      </c>
      <c r="V104" s="1" t="s">
        <v>2200</v>
      </c>
      <c r="W104" s="1" t="s">
        <v>359</v>
      </c>
      <c r="X104" s="1" t="s">
        <v>86</v>
      </c>
      <c r="Y104" s="1" t="s">
        <v>360</v>
      </c>
      <c r="Z104" s="1" t="s">
        <v>2201</v>
      </c>
      <c r="AA104" s="1" t="s">
        <v>362</v>
      </c>
      <c r="AB104" s="1"/>
      <c r="AC104" s="1" t="s">
        <v>2202</v>
      </c>
      <c r="AD104" s="1" t="s">
        <v>2203</v>
      </c>
      <c r="AE104" s="1" t="s">
        <v>2204</v>
      </c>
      <c r="AF104" s="1"/>
      <c r="AG104" s="1" t="n">
        <v>27</v>
      </c>
      <c r="AH104" s="1" t="n">
        <v>6</v>
      </c>
      <c r="AI104" s="1" t="n">
        <v>6</v>
      </c>
      <c r="AJ104" s="1" t="n">
        <v>0</v>
      </c>
      <c r="AK104" s="1" t="n">
        <v>6</v>
      </c>
      <c r="AL104" s="1" t="s">
        <v>195</v>
      </c>
      <c r="AM104" s="1" t="s">
        <v>196</v>
      </c>
      <c r="AN104" s="1" t="s">
        <v>197</v>
      </c>
      <c r="AO104" s="1" t="s">
        <v>2205</v>
      </c>
      <c r="AP104" s="1"/>
      <c r="AQ104" s="1"/>
      <c r="AR104" s="1" t="s">
        <v>2206</v>
      </c>
      <c r="AS104" s="1" t="s">
        <v>2207</v>
      </c>
      <c r="AT104" s="1" t="s">
        <v>2208</v>
      </c>
      <c r="AU104" s="1" t="n">
        <v>2021</v>
      </c>
      <c r="AV104" s="1" t="n">
        <v>9</v>
      </c>
      <c r="AW104" s="1" t="n">
        <v>4</v>
      </c>
      <c r="AX104" s="1"/>
      <c r="AY104" s="1"/>
      <c r="AZ104" s="1"/>
      <c r="BA104" s="1"/>
      <c r="BB104" s="1" t="n">
        <v>1683</v>
      </c>
      <c r="BC104" s="1" t="n">
        <v>1696</v>
      </c>
      <c r="BD104" s="1"/>
      <c r="BE104" s="1" t="s">
        <v>2209</v>
      </c>
      <c r="BF104" s="1" t="str">
        <f aca="false">HYPERLINK("http://dx.doi.org/10.1109/TETC.2020.3030984","http://dx.doi.org/10.1109/TETC.2020.3030984")</f>
        <v>http://dx.doi.org/10.1109/TETC.2020.3030984</v>
      </c>
      <c r="BG104" s="1"/>
      <c r="BH104" s="1"/>
      <c r="BI104" s="1" t="n">
        <v>14</v>
      </c>
      <c r="BJ104" s="1" t="s">
        <v>2210</v>
      </c>
      <c r="BK104" s="1" t="s">
        <v>204</v>
      </c>
      <c r="BL104" s="1" t="s">
        <v>311</v>
      </c>
      <c r="BM104" s="1" t="s">
        <v>2211</v>
      </c>
      <c r="BN104" s="1"/>
      <c r="BO104" s="1" t="s">
        <v>1373</v>
      </c>
      <c r="BP104" s="1"/>
      <c r="BQ104" s="1"/>
      <c r="BR104" s="1" t="s">
        <v>103</v>
      </c>
      <c r="BS104" s="1" t="s">
        <v>2212</v>
      </c>
      <c r="BT104" s="1" t="str">
        <f aca="false">HYPERLINK("https%3A%2F%2Fwww.webofscience.com%2Fwos%2Fwoscc%2Ffull-record%2FWOS:000725807100007","View Full Record in Web of Science")</f>
        <v>View Full Record in Web of Science</v>
      </c>
    </row>
    <row r="105" customFormat="false" ht="12.75" hidden="false" customHeight="false" outlineLevel="0" collapsed="false">
      <c r="A105" s="1" t="s">
        <v>72</v>
      </c>
      <c r="B105" s="1" t="s">
        <v>182</v>
      </c>
      <c r="C105" s="1"/>
      <c r="D105" s="1"/>
      <c r="E105" s="1" t="s">
        <v>106</v>
      </c>
      <c r="F105" s="1" t="s">
        <v>183</v>
      </c>
      <c r="G105" s="1"/>
      <c r="H105" s="1"/>
      <c r="I105" s="1" t="s">
        <v>2213</v>
      </c>
      <c r="J105" s="1" t="s">
        <v>334</v>
      </c>
      <c r="K105" s="1"/>
      <c r="L105" s="1"/>
      <c r="M105" s="1" t="s">
        <v>78</v>
      </c>
      <c r="N105" s="1" t="s">
        <v>79</v>
      </c>
      <c r="O105" s="1" t="s">
        <v>335</v>
      </c>
      <c r="P105" s="1" t="s">
        <v>336</v>
      </c>
      <c r="Q105" s="1" t="s">
        <v>337</v>
      </c>
      <c r="R105" s="1" t="s">
        <v>338</v>
      </c>
      <c r="S105" s="1"/>
      <c r="T105" s="1" t="s">
        <v>2214</v>
      </c>
      <c r="U105" s="1" t="s">
        <v>2215</v>
      </c>
      <c r="V105" s="1" t="s">
        <v>2216</v>
      </c>
      <c r="W105" s="1" t="s">
        <v>2217</v>
      </c>
      <c r="X105" s="1" t="s">
        <v>86</v>
      </c>
      <c r="Y105" s="1" t="s">
        <v>2218</v>
      </c>
      <c r="Z105" s="1" t="s">
        <v>2219</v>
      </c>
      <c r="AA105" s="1" t="s">
        <v>193</v>
      </c>
      <c r="AB105" s="1" t="s">
        <v>194</v>
      </c>
      <c r="AC105" s="1" t="s">
        <v>2220</v>
      </c>
      <c r="AD105" s="1" t="s">
        <v>2220</v>
      </c>
      <c r="AE105" s="1" t="s">
        <v>2221</v>
      </c>
      <c r="AF105" s="1"/>
      <c r="AG105" s="1" t="n">
        <v>11</v>
      </c>
      <c r="AH105" s="1" t="n">
        <v>0</v>
      </c>
      <c r="AI105" s="1" t="n">
        <v>0</v>
      </c>
      <c r="AJ105" s="1" t="n">
        <v>2</v>
      </c>
      <c r="AK105" s="1" t="n">
        <v>7</v>
      </c>
      <c r="AL105" s="1" t="s">
        <v>106</v>
      </c>
      <c r="AM105" s="1" t="s">
        <v>95</v>
      </c>
      <c r="AN105" s="1" t="s">
        <v>122</v>
      </c>
      <c r="AO105" s="1"/>
      <c r="AP105" s="1"/>
      <c r="AQ105" s="1" t="s">
        <v>346</v>
      </c>
      <c r="AR105" s="1"/>
      <c r="AS105" s="1"/>
      <c r="AT105" s="1"/>
      <c r="AU105" s="1" t="n">
        <v>2021</v>
      </c>
      <c r="AV105" s="1"/>
      <c r="AW105" s="1"/>
      <c r="AX105" s="1"/>
      <c r="AY105" s="1"/>
      <c r="AZ105" s="1"/>
      <c r="BA105" s="1"/>
      <c r="BB105" s="1"/>
      <c r="BC105" s="1"/>
      <c r="BD105" s="1"/>
      <c r="BE105" s="1" t="s">
        <v>2222</v>
      </c>
      <c r="BF105" s="1" t="str">
        <f aca="false">HYPERLINK("http://dx.doi.org/10.1109/IWMTS51331.2021.9486769","http://dx.doi.org/10.1109/IWMTS51331.2021.9486769")</f>
        <v>http://dx.doi.org/10.1109/IWMTS51331.2021.9486769</v>
      </c>
      <c r="BG105" s="1"/>
      <c r="BH105" s="1"/>
      <c r="BI105" s="1" t="n">
        <v>5</v>
      </c>
      <c r="BJ105" s="1" t="s">
        <v>348</v>
      </c>
      <c r="BK105" s="1" t="s">
        <v>100</v>
      </c>
      <c r="BL105" s="1" t="s">
        <v>349</v>
      </c>
      <c r="BM105" s="1" t="s">
        <v>350</v>
      </c>
      <c r="BN105" s="1"/>
      <c r="BO105" s="1" t="s">
        <v>179</v>
      </c>
      <c r="BP105" s="1"/>
      <c r="BQ105" s="1"/>
      <c r="BR105" s="1" t="s">
        <v>103</v>
      </c>
      <c r="BS105" s="1" t="s">
        <v>2223</v>
      </c>
      <c r="BT105" s="1" t="str">
        <f aca="false">HYPERLINK("https%3A%2F%2Fwww.webofscience.com%2Fwos%2Fwoscc%2Ffull-record%2FWOS:000713452400002","View Full Record in Web of Science")</f>
        <v>View Full Record in Web of Science</v>
      </c>
    </row>
    <row r="106" customFormat="false" ht="12.75" hidden="false" customHeight="false" outlineLevel="0" collapsed="false">
      <c r="A106" s="1" t="s">
        <v>181</v>
      </c>
      <c r="B106" s="1" t="s">
        <v>1398</v>
      </c>
      <c r="C106" s="1"/>
      <c r="D106" s="1"/>
      <c r="E106" s="1"/>
      <c r="F106" s="1" t="s">
        <v>2224</v>
      </c>
      <c r="G106" s="1"/>
      <c r="H106" s="1"/>
      <c r="I106" s="1" t="s">
        <v>2225</v>
      </c>
      <c r="J106" s="1" t="s">
        <v>2226</v>
      </c>
      <c r="K106" s="1"/>
      <c r="L106" s="1"/>
      <c r="M106" s="1" t="s">
        <v>78</v>
      </c>
      <c r="N106" s="1" t="s">
        <v>186</v>
      </c>
      <c r="O106" s="1"/>
      <c r="P106" s="1"/>
      <c r="Q106" s="1"/>
      <c r="R106" s="1"/>
      <c r="S106" s="1"/>
      <c r="T106" s="1" t="s">
        <v>2227</v>
      </c>
      <c r="U106" s="1" t="s">
        <v>2228</v>
      </c>
      <c r="V106" s="1" t="s">
        <v>2229</v>
      </c>
      <c r="W106" s="1" t="s">
        <v>2230</v>
      </c>
      <c r="X106" s="1" t="s">
        <v>912</v>
      </c>
      <c r="Y106" s="1" t="s">
        <v>1404</v>
      </c>
      <c r="Z106" s="1" t="s">
        <v>2231</v>
      </c>
      <c r="AA106" s="1" t="s">
        <v>1406</v>
      </c>
      <c r="AB106" s="1" t="s">
        <v>2232</v>
      </c>
      <c r="AC106" s="1" t="s">
        <v>1408</v>
      </c>
      <c r="AD106" s="1" t="s">
        <v>1408</v>
      </c>
      <c r="AE106" s="1" t="s">
        <v>2233</v>
      </c>
      <c r="AF106" s="1"/>
      <c r="AG106" s="1" t="n">
        <v>31</v>
      </c>
      <c r="AH106" s="1" t="n">
        <v>3</v>
      </c>
      <c r="AI106" s="1" t="n">
        <v>3</v>
      </c>
      <c r="AJ106" s="1" t="n">
        <v>0</v>
      </c>
      <c r="AK106" s="1" t="n">
        <v>15</v>
      </c>
      <c r="AL106" s="1" t="s">
        <v>367</v>
      </c>
      <c r="AM106" s="1" t="s">
        <v>368</v>
      </c>
      <c r="AN106" s="1" t="s">
        <v>369</v>
      </c>
      <c r="AO106" s="1"/>
      <c r="AP106" s="1" t="s">
        <v>2234</v>
      </c>
      <c r="AQ106" s="1"/>
      <c r="AR106" s="1" t="s">
        <v>2235</v>
      </c>
      <c r="AS106" s="1" t="s">
        <v>2236</v>
      </c>
      <c r="AT106" s="1" t="s">
        <v>754</v>
      </c>
      <c r="AU106" s="1" t="n">
        <v>2020</v>
      </c>
      <c r="AV106" s="1" t="n">
        <v>12</v>
      </c>
      <c r="AW106" s="1" t="n">
        <v>9</v>
      </c>
      <c r="AX106" s="1"/>
      <c r="AY106" s="1"/>
      <c r="AZ106" s="1"/>
      <c r="BA106" s="1"/>
      <c r="BB106" s="1"/>
      <c r="BC106" s="1"/>
      <c r="BD106" s="1" t="n">
        <v>1404</v>
      </c>
      <c r="BE106" s="1" t="s">
        <v>2237</v>
      </c>
      <c r="BF106" s="1" t="str">
        <f aca="false">HYPERLINK("http://dx.doi.org/10.3390/rs12091404","http://dx.doi.org/10.3390/rs12091404")</f>
        <v>http://dx.doi.org/10.3390/rs12091404</v>
      </c>
      <c r="BG106" s="1"/>
      <c r="BH106" s="1"/>
      <c r="BI106" s="1" t="n">
        <v>14</v>
      </c>
      <c r="BJ106" s="1" t="s">
        <v>2238</v>
      </c>
      <c r="BK106" s="1" t="s">
        <v>204</v>
      </c>
      <c r="BL106" s="1" t="s">
        <v>2239</v>
      </c>
      <c r="BM106" s="1" t="s">
        <v>2240</v>
      </c>
      <c r="BN106" s="1"/>
      <c r="BO106" s="1" t="s">
        <v>542</v>
      </c>
      <c r="BP106" s="1"/>
      <c r="BQ106" s="1"/>
      <c r="BR106" s="1" t="s">
        <v>103</v>
      </c>
      <c r="BS106" s="1" t="s">
        <v>2241</v>
      </c>
      <c r="BT106" s="1" t="str">
        <f aca="false">HYPERLINK("https%3A%2F%2Fwww.webofscience.com%2Fwos%2Fwoscc%2Ffull-record%2FWOS:000543394000051","View Full Record in Web of Science")</f>
        <v>View Full Record in Web of Science</v>
      </c>
    </row>
    <row r="107" customFormat="false" ht="12.75" hidden="false" customHeight="false" outlineLevel="0" collapsed="false">
      <c r="A107" s="1" t="s">
        <v>72</v>
      </c>
      <c r="B107" s="1" t="s">
        <v>1398</v>
      </c>
      <c r="C107" s="1"/>
      <c r="D107" s="1"/>
      <c r="E107" s="1" t="s">
        <v>74</v>
      </c>
      <c r="F107" s="1" t="s">
        <v>1399</v>
      </c>
      <c r="G107" s="1"/>
      <c r="H107" s="1"/>
      <c r="I107" s="1" t="s">
        <v>2242</v>
      </c>
      <c r="J107" s="1" t="s">
        <v>2243</v>
      </c>
      <c r="K107" s="1"/>
      <c r="L107" s="1"/>
      <c r="M107" s="1" t="s">
        <v>78</v>
      </c>
      <c r="N107" s="1" t="s">
        <v>79</v>
      </c>
      <c r="O107" s="1" t="s">
        <v>2244</v>
      </c>
      <c r="P107" s="1" t="s">
        <v>2245</v>
      </c>
      <c r="Q107" s="1" t="s">
        <v>2246</v>
      </c>
      <c r="R107" s="1" t="s">
        <v>2247</v>
      </c>
      <c r="S107" s="1"/>
      <c r="T107" s="1" t="s">
        <v>2248</v>
      </c>
      <c r="U107" s="1"/>
      <c r="V107" s="1" t="s">
        <v>2249</v>
      </c>
      <c r="W107" s="1" t="s">
        <v>2250</v>
      </c>
      <c r="X107" s="1" t="s">
        <v>86</v>
      </c>
      <c r="Y107" s="1" t="s">
        <v>1404</v>
      </c>
      <c r="Z107" s="1" t="s">
        <v>2231</v>
      </c>
      <c r="AA107" s="1" t="s">
        <v>2251</v>
      </c>
      <c r="AB107" s="1" t="s">
        <v>2232</v>
      </c>
      <c r="AC107" s="1"/>
      <c r="AD107" s="1"/>
      <c r="AE107" s="1"/>
      <c r="AF107" s="1"/>
      <c r="AG107" s="1" t="n">
        <v>13</v>
      </c>
      <c r="AH107" s="1" t="n">
        <v>5</v>
      </c>
      <c r="AI107" s="1" t="n">
        <v>5</v>
      </c>
      <c r="AJ107" s="1" t="n">
        <v>0</v>
      </c>
      <c r="AK107" s="1" t="n">
        <v>5</v>
      </c>
      <c r="AL107" s="1" t="s">
        <v>94</v>
      </c>
      <c r="AM107" s="1" t="s">
        <v>95</v>
      </c>
      <c r="AN107" s="1" t="s">
        <v>2252</v>
      </c>
      <c r="AO107" s="1"/>
      <c r="AP107" s="1"/>
      <c r="AQ107" s="1" t="s">
        <v>2253</v>
      </c>
      <c r="AR107" s="1"/>
      <c r="AS107" s="1"/>
      <c r="AT107" s="1"/>
      <c r="AU107" s="1" t="n">
        <v>2020</v>
      </c>
      <c r="AV107" s="1"/>
      <c r="AW107" s="1"/>
      <c r="AX107" s="1"/>
      <c r="AY107" s="1"/>
      <c r="AZ107" s="1"/>
      <c r="BA107" s="1"/>
      <c r="BB107" s="1" t="n">
        <v>57</v>
      </c>
      <c r="BC107" s="1" t="n">
        <v>61</v>
      </c>
      <c r="BD107" s="1"/>
      <c r="BE107" s="1" t="s">
        <v>2254</v>
      </c>
      <c r="BF107" s="1" t="str">
        <f aca="false">HYPERLINK("http://dx.doi.org/10.1145/3383812.3383830","http://dx.doi.org/10.1145/3383812.3383830")</f>
        <v>http://dx.doi.org/10.1145/3383812.3383830</v>
      </c>
      <c r="BG107" s="1"/>
      <c r="BH107" s="1"/>
      <c r="BI107" s="1" t="n">
        <v>5</v>
      </c>
      <c r="BJ107" s="1" t="s">
        <v>2255</v>
      </c>
      <c r="BK107" s="1" t="s">
        <v>100</v>
      </c>
      <c r="BL107" s="1" t="s">
        <v>2256</v>
      </c>
      <c r="BM107" s="1" t="s">
        <v>2257</v>
      </c>
      <c r="BN107" s="1"/>
      <c r="BO107" s="1" t="s">
        <v>2258</v>
      </c>
      <c r="BP107" s="1"/>
      <c r="BQ107" s="1"/>
      <c r="BR107" s="1" t="s">
        <v>103</v>
      </c>
      <c r="BS107" s="1" t="s">
        <v>2259</v>
      </c>
      <c r="BT107" s="1" t="str">
        <f aca="false">HYPERLINK("https%3A%2F%2Fwww.webofscience.com%2Fwos%2Fwoscc%2Ffull-record%2FWOS:000579359200011","View Full Record in Web of Science")</f>
        <v>View Full Record in Web of Science</v>
      </c>
    </row>
    <row r="108" customFormat="false" ht="12.75" hidden="false" customHeight="false" outlineLevel="0" collapsed="false">
      <c r="A108" s="1" t="s">
        <v>181</v>
      </c>
      <c r="B108" s="1" t="s">
        <v>792</v>
      </c>
      <c r="C108" s="1"/>
      <c r="D108" s="1"/>
      <c r="E108" s="1"/>
      <c r="F108" s="1" t="s">
        <v>793</v>
      </c>
      <c r="G108" s="1"/>
      <c r="H108" s="1"/>
      <c r="I108" s="1" t="s">
        <v>2260</v>
      </c>
      <c r="J108" s="1" t="s">
        <v>2261</v>
      </c>
      <c r="K108" s="1"/>
      <c r="L108" s="1"/>
      <c r="M108" s="1" t="s">
        <v>78</v>
      </c>
      <c r="N108" s="1" t="s">
        <v>907</v>
      </c>
      <c r="O108" s="1"/>
      <c r="P108" s="1"/>
      <c r="Q108" s="1"/>
      <c r="R108" s="1"/>
      <c r="S108" s="1"/>
      <c r="T108" s="1" t="s">
        <v>2262</v>
      </c>
      <c r="U108" s="1" t="s">
        <v>2263</v>
      </c>
      <c r="V108" s="1" t="s">
        <v>2264</v>
      </c>
      <c r="W108" s="1" t="s">
        <v>2265</v>
      </c>
      <c r="X108" s="1" t="s">
        <v>86</v>
      </c>
      <c r="Y108" s="1" t="s">
        <v>2266</v>
      </c>
      <c r="Z108" s="1" t="s">
        <v>801</v>
      </c>
      <c r="AA108" s="1"/>
      <c r="AB108" s="1" t="s">
        <v>802</v>
      </c>
      <c r="AC108" s="1" t="s">
        <v>2267</v>
      </c>
      <c r="AD108" s="1" t="s">
        <v>2267</v>
      </c>
      <c r="AE108" s="1" t="s">
        <v>2268</v>
      </c>
      <c r="AF108" s="1"/>
      <c r="AG108" s="1" t="n">
        <v>169</v>
      </c>
      <c r="AH108" s="1" t="n">
        <v>1</v>
      </c>
      <c r="AI108" s="1" t="n">
        <v>1</v>
      </c>
      <c r="AJ108" s="1" t="n">
        <v>5</v>
      </c>
      <c r="AK108" s="1" t="n">
        <v>7</v>
      </c>
      <c r="AL108" s="1" t="s">
        <v>600</v>
      </c>
      <c r="AM108" s="1" t="s">
        <v>601</v>
      </c>
      <c r="AN108" s="1" t="s">
        <v>602</v>
      </c>
      <c r="AO108" s="1" t="s">
        <v>2269</v>
      </c>
      <c r="AP108" s="1" t="s">
        <v>2270</v>
      </c>
      <c r="AQ108" s="1"/>
      <c r="AR108" s="1" t="s">
        <v>2271</v>
      </c>
      <c r="AS108" s="1" t="s">
        <v>2272</v>
      </c>
      <c r="AT108" s="1" t="s">
        <v>2273</v>
      </c>
      <c r="AU108" s="1" t="n">
        <v>2024</v>
      </c>
      <c r="AV108" s="1"/>
      <c r="AW108" s="1"/>
      <c r="AX108" s="1"/>
      <c r="AY108" s="1"/>
      <c r="AZ108" s="1"/>
      <c r="BA108" s="1"/>
      <c r="BB108" s="1"/>
      <c r="BC108" s="1"/>
      <c r="BD108" s="1"/>
      <c r="BE108" s="1" t="s">
        <v>2274</v>
      </c>
      <c r="BF108" s="1" t="str">
        <f aca="false">HYPERLINK("http://dx.doi.org/10.1111/cgf.15059","http://dx.doi.org/10.1111/cgf.15059")</f>
        <v>http://dx.doi.org/10.1111/cgf.15059</v>
      </c>
      <c r="BG108" s="1"/>
      <c r="BH108" s="1" t="s">
        <v>2275</v>
      </c>
      <c r="BI108" s="1" t="n">
        <v>27</v>
      </c>
      <c r="BJ108" s="1" t="s">
        <v>252</v>
      </c>
      <c r="BK108" s="1" t="s">
        <v>204</v>
      </c>
      <c r="BL108" s="1" t="s">
        <v>101</v>
      </c>
      <c r="BM108" s="1" t="s">
        <v>2276</v>
      </c>
      <c r="BN108" s="1"/>
      <c r="BO108" s="1" t="s">
        <v>612</v>
      </c>
      <c r="BP108" s="1"/>
      <c r="BQ108" s="1"/>
      <c r="BR108" s="1" t="s">
        <v>103</v>
      </c>
      <c r="BS108" s="1" t="s">
        <v>2277</v>
      </c>
      <c r="BT108" s="1" t="str">
        <f aca="false">HYPERLINK("https%3A%2F%2Fwww.webofscience.com%2Fwos%2Fwoscc%2Ffull-record%2FWOS:001216639600001","View Full Record in Web of Science")</f>
        <v>View Full Record in Web of Science</v>
      </c>
    </row>
    <row r="109" customFormat="false" ht="12.75" hidden="false" customHeight="false" outlineLevel="0" collapsed="false">
      <c r="A109" s="1" t="s">
        <v>181</v>
      </c>
      <c r="B109" s="1" t="s">
        <v>2278</v>
      </c>
      <c r="C109" s="1"/>
      <c r="D109" s="1"/>
      <c r="E109" s="1"/>
      <c r="F109" s="1" t="s">
        <v>2279</v>
      </c>
      <c r="G109" s="1"/>
      <c r="H109" s="1"/>
      <c r="I109" s="1" t="s">
        <v>2280</v>
      </c>
      <c r="J109" s="1" t="s">
        <v>2281</v>
      </c>
      <c r="K109" s="1"/>
      <c r="L109" s="1"/>
      <c r="M109" s="1" t="s">
        <v>78</v>
      </c>
      <c r="N109" s="1" t="s">
        <v>186</v>
      </c>
      <c r="O109" s="1"/>
      <c r="P109" s="1"/>
      <c r="Q109" s="1"/>
      <c r="R109" s="1"/>
      <c r="S109" s="1"/>
      <c r="T109" s="1" t="s">
        <v>2282</v>
      </c>
      <c r="U109" s="1" t="s">
        <v>2283</v>
      </c>
      <c r="V109" s="1" t="s">
        <v>2284</v>
      </c>
      <c r="W109" s="1" t="s">
        <v>2285</v>
      </c>
      <c r="X109" s="1" t="s">
        <v>86</v>
      </c>
      <c r="Y109" s="1" t="s">
        <v>2286</v>
      </c>
      <c r="Z109" s="1" t="s">
        <v>2287</v>
      </c>
      <c r="AA109" s="1" t="s">
        <v>699</v>
      </c>
      <c r="AB109" s="1" t="s">
        <v>2288</v>
      </c>
      <c r="AC109" s="1" t="s">
        <v>268</v>
      </c>
      <c r="AD109" s="1" t="s">
        <v>268</v>
      </c>
      <c r="AE109" s="1" t="s">
        <v>269</v>
      </c>
      <c r="AF109" s="1"/>
      <c r="AG109" s="1" t="n">
        <v>85</v>
      </c>
      <c r="AH109" s="1" t="n">
        <v>9</v>
      </c>
      <c r="AI109" s="1" t="n">
        <v>9</v>
      </c>
      <c r="AJ109" s="1" t="n">
        <v>4</v>
      </c>
      <c r="AK109" s="1" t="n">
        <v>25</v>
      </c>
      <c r="AL109" s="1" t="s">
        <v>2289</v>
      </c>
      <c r="AM109" s="1" t="s">
        <v>2290</v>
      </c>
      <c r="AN109" s="1" t="s">
        <v>2291</v>
      </c>
      <c r="AO109" s="1" t="s">
        <v>2292</v>
      </c>
      <c r="AP109" s="1" t="s">
        <v>2293</v>
      </c>
      <c r="AQ109" s="1"/>
      <c r="AR109" s="1" t="s">
        <v>2294</v>
      </c>
      <c r="AS109" s="1" t="s">
        <v>2295</v>
      </c>
      <c r="AT109" s="1" t="s">
        <v>474</v>
      </c>
      <c r="AU109" s="1" t="n">
        <v>2023</v>
      </c>
      <c r="AV109" s="1" t="n">
        <v>11</v>
      </c>
      <c r="AW109" s="1" t="n">
        <v>3</v>
      </c>
      <c r="AX109" s="1"/>
      <c r="AY109" s="1"/>
      <c r="AZ109" s="1"/>
      <c r="BA109" s="1"/>
      <c r="BB109" s="1" t="n">
        <v>426</v>
      </c>
      <c r="BC109" s="1" t="n">
        <v>442</v>
      </c>
      <c r="BD109" s="1"/>
      <c r="BE109" s="1" t="s">
        <v>2296</v>
      </c>
      <c r="BF109" s="1" t="str">
        <f aca="false">HYPERLINK("http://dx.doi.org/10.1057/s41270-022-00171-w","http://dx.doi.org/10.1057/s41270-022-00171-w")</f>
        <v>http://dx.doi.org/10.1057/s41270-022-00171-w</v>
      </c>
      <c r="BG109" s="1"/>
      <c r="BH109" s="1" t="s">
        <v>2297</v>
      </c>
      <c r="BI109" s="1" t="n">
        <v>17</v>
      </c>
      <c r="BJ109" s="1" t="s">
        <v>2298</v>
      </c>
      <c r="BK109" s="1" t="s">
        <v>253</v>
      </c>
      <c r="BL109" s="1" t="s">
        <v>715</v>
      </c>
      <c r="BM109" s="1" t="s">
        <v>2299</v>
      </c>
      <c r="BN109" s="1"/>
      <c r="BO109" s="1" t="s">
        <v>207</v>
      </c>
      <c r="BP109" s="1"/>
      <c r="BQ109" s="1"/>
      <c r="BR109" s="1" t="s">
        <v>103</v>
      </c>
      <c r="BS109" s="1" t="s">
        <v>2300</v>
      </c>
      <c r="BT109" s="1" t="str">
        <f aca="false">HYPERLINK("https%3A%2F%2Fwww.webofscience.com%2Fwos%2Fwoscc%2Ffull-record%2FWOS:000803882500001","View Full Record in Web of Science")</f>
        <v>View Full Record in Web of Science</v>
      </c>
    </row>
    <row r="110" customFormat="false" ht="12.75" hidden="false" customHeight="false" outlineLevel="0" collapsed="false">
      <c r="A110" s="1" t="s">
        <v>181</v>
      </c>
      <c r="B110" s="1" t="s">
        <v>1952</v>
      </c>
      <c r="C110" s="1"/>
      <c r="D110" s="1"/>
      <c r="E110" s="1"/>
      <c r="F110" s="1" t="s">
        <v>1953</v>
      </c>
      <c r="G110" s="1"/>
      <c r="H110" s="1"/>
      <c r="I110" s="1" t="s">
        <v>2301</v>
      </c>
      <c r="J110" s="1" t="s">
        <v>2302</v>
      </c>
      <c r="K110" s="1"/>
      <c r="L110" s="1"/>
      <c r="M110" s="1" t="s">
        <v>78</v>
      </c>
      <c r="N110" s="1" t="s">
        <v>186</v>
      </c>
      <c r="O110" s="1"/>
      <c r="P110" s="1"/>
      <c r="Q110" s="1"/>
      <c r="R110" s="1"/>
      <c r="S110" s="1"/>
      <c r="T110" s="1" t="s">
        <v>2303</v>
      </c>
      <c r="U110" s="1" t="s">
        <v>2304</v>
      </c>
      <c r="V110" s="1" t="s">
        <v>2305</v>
      </c>
      <c r="W110" s="1" t="s">
        <v>2026</v>
      </c>
      <c r="X110" s="1" t="s">
        <v>86</v>
      </c>
      <c r="Y110" s="1" t="s">
        <v>2027</v>
      </c>
      <c r="Z110" s="1" t="s">
        <v>1961</v>
      </c>
      <c r="AA110" s="1"/>
      <c r="AB110" s="1"/>
      <c r="AC110" s="1" t="s">
        <v>2306</v>
      </c>
      <c r="AD110" s="1" t="s">
        <v>2307</v>
      </c>
      <c r="AE110" s="1" t="s">
        <v>2308</v>
      </c>
      <c r="AF110" s="1"/>
      <c r="AG110" s="1" t="n">
        <v>63</v>
      </c>
      <c r="AH110" s="1" t="n">
        <v>3</v>
      </c>
      <c r="AI110" s="1" t="n">
        <v>3</v>
      </c>
      <c r="AJ110" s="1" t="n">
        <v>2</v>
      </c>
      <c r="AK110" s="1" t="n">
        <v>7</v>
      </c>
      <c r="AL110" s="1" t="s">
        <v>1220</v>
      </c>
      <c r="AM110" s="1" t="s">
        <v>1221</v>
      </c>
      <c r="AN110" s="1" t="s">
        <v>1222</v>
      </c>
      <c r="AO110" s="1" t="s">
        <v>2309</v>
      </c>
      <c r="AP110" s="1" t="s">
        <v>2310</v>
      </c>
      <c r="AQ110" s="1"/>
      <c r="AR110" s="1" t="s">
        <v>2311</v>
      </c>
      <c r="AS110" s="1" t="s">
        <v>2312</v>
      </c>
      <c r="AT110" s="1" t="s">
        <v>2313</v>
      </c>
      <c r="AU110" s="1" t="n">
        <v>2022</v>
      </c>
      <c r="AV110" s="1" t="n">
        <v>56</v>
      </c>
      <c r="AW110" s="1" t="n">
        <v>2</v>
      </c>
      <c r="AX110" s="1"/>
      <c r="AY110" s="1"/>
      <c r="AZ110" s="1"/>
      <c r="BA110" s="1"/>
      <c r="BB110" s="1" t="n">
        <v>427</v>
      </c>
      <c r="BC110" s="1" t="n">
        <v>451</v>
      </c>
      <c r="BD110" s="1"/>
      <c r="BE110" s="1" t="s">
        <v>2314</v>
      </c>
      <c r="BF110" s="1" t="str">
        <f aca="false">HYPERLINK("http://dx.doi.org/10.1080/00083968.2021.1938618","http://dx.doi.org/10.1080/00083968.2021.1938618")</f>
        <v>http://dx.doi.org/10.1080/00083968.2021.1938618</v>
      </c>
      <c r="BG110" s="1"/>
      <c r="BH110" s="1" t="s">
        <v>2315</v>
      </c>
      <c r="BI110" s="1" t="n">
        <v>25</v>
      </c>
      <c r="BJ110" s="1" t="s">
        <v>2316</v>
      </c>
      <c r="BK110" s="1" t="s">
        <v>253</v>
      </c>
      <c r="BL110" s="1" t="s">
        <v>2316</v>
      </c>
      <c r="BM110" s="1" t="s">
        <v>2317</v>
      </c>
      <c r="BN110" s="1"/>
      <c r="BO110" s="1" t="s">
        <v>207</v>
      </c>
      <c r="BP110" s="1"/>
      <c r="BQ110" s="1"/>
      <c r="BR110" s="1" t="s">
        <v>103</v>
      </c>
      <c r="BS110" s="1" t="s">
        <v>2318</v>
      </c>
      <c r="BT110" s="1" t="str">
        <f aca="false">HYPERLINK("https%3A%2F%2Fwww.webofscience.com%2Fwos%2Fwoscc%2Ffull-record%2FWOS:000696872500001","View Full Record in Web of Science")</f>
        <v>View Full Record in Web of Science</v>
      </c>
    </row>
    <row r="111" customFormat="false" ht="12.75" hidden="false" customHeight="false" outlineLevel="0" collapsed="false">
      <c r="A111" s="1" t="s">
        <v>181</v>
      </c>
      <c r="B111" s="1" t="s">
        <v>2319</v>
      </c>
      <c r="C111" s="1"/>
      <c r="D111" s="1"/>
      <c r="E111" s="1"/>
      <c r="F111" s="1" t="s">
        <v>2320</v>
      </c>
      <c r="G111" s="1"/>
      <c r="H111" s="1"/>
      <c r="I111" s="1" t="s">
        <v>2321</v>
      </c>
      <c r="J111" s="1" t="s">
        <v>2322</v>
      </c>
      <c r="K111" s="1"/>
      <c r="L111" s="1"/>
      <c r="M111" s="1" t="s">
        <v>78</v>
      </c>
      <c r="N111" s="1" t="s">
        <v>186</v>
      </c>
      <c r="O111" s="1"/>
      <c r="P111" s="1"/>
      <c r="Q111" s="1"/>
      <c r="R111" s="1"/>
      <c r="S111" s="1"/>
      <c r="T111" s="1" t="s">
        <v>2323</v>
      </c>
      <c r="U111" s="1" t="s">
        <v>2324</v>
      </c>
      <c r="V111" s="1" t="s">
        <v>2325</v>
      </c>
      <c r="W111" s="1" t="s">
        <v>2326</v>
      </c>
      <c r="X111" s="1" t="s">
        <v>86</v>
      </c>
      <c r="Y111" s="1" t="s">
        <v>191</v>
      </c>
      <c r="Z111" s="1" t="s">
        <v>192</v>
      </c>
      <c r="AA111" s="1" t="s">
        <v>2327</v>
      </c>
      <c r="AB111" s="1"/>
      <c r="AC111" s="1"/>
      <c r="AD111" s="1"/>
      <c r="AE111" s="1"/>
      <c r="AF111" s="1"/>
      <c r="AG111" s="1" t="n">
        <v>13</v>
      </c>
      <c r="AH111" s="1" t="n">
        <v>4</v>
      </c>
      <c r="AI111" s="1" t="n">
        <v>5</v>
      </c>
      <c r="AJ111" s="1" t="n">
        <v>1</v>
      </c>
      <c r="AK111" s="1" t="n">
        <v>7</v>
      </c>
      <c r="AL111" s="1" t="s">
        <v>195</v>
      </c>
      <c r="AM111" s="1" t="s">
        <v>196</v>
      </c>
      <c r="AN111" s="1" t="s">
        <v>197</v>
      </c>
      <c r="AO111" s="1" t="s">
        <v>2328</v>
      </c>
      <c r="AP111" s="1" t="s">
        <v>2329</v>
      </c>
      <c r="AQ111" s="1"/>
      <c r="AR111" s="1" t="s">
        <v>2330</v>
      </c>
      <c r="AS111" s="1" t="s">
        <v>2331</v>
      </c>
      <c r="AT111" s="1" t="s">
        <v>421</v>
      </c>
      <c r="AU111" s="1" t="n">
        <v>2021</v>
      </c>
      <c r="AV111" s="1" t="n">
        <v>57</v>
      </c>
      <c r="AW111" s="1" t="n">
        <v>2</v>
      </c>
      <c r="AX111" s="1"/>
      <c r="AY111" s="1"/>
      <c r="AZ111" s="1"/>
      <c r="BA111" s="1"/>
      <c r="BB111" s="1" t="n">
        <v>1371</v>
      </c>
      <c r="BC111" s="1" t="n">
        <v>1377</v>
      </c>
      <c r="BD111" s="1"/>
      <c r="BE111" s="1" t="s">
        <v>2332</v>
      </c>
      <c r="BF111" s="1" t="str">
        <f aca="false">HYPERLINK("http://dx.doi.org/10.1109/TAES.2020.3040067","http://dx.doi.org/10.1109/TAES.2020.3040067")</f>
        <v>http://dx.doi.org/10.1109/TAES.2020.3040067</v>
      </c>
      <c r="BG111" s="1"/>
      <c r="BH111" s="1"/>
      <c r="BI111" s="1" t="n">
        <v>7</v>
      </c>
      <c r="BJ111" s="1" t="s">
        <v>2333</v>
      </c>
      <c r="BK111" s="1" t="s">
        <v>204</v>
      </c>
      <c r="BL111" s="1" t="s">
        <v>154</v>
      </c>
      <c r="BM111" s="1" t="s">
        <v>2334</v>
      </c>
      <c r="BN111" s="1"/>
      <c r="BO111" s="1" t="s">
        <v>2335</v>
      </c>
      <c r="BP111" s="1"/>
      <c r="BQ111" s="1"/>
      <c r="BR111" s="1" t="s">
        <v>103</v>
      </c>
      <c r="BS111" s="1" t="s">
        <v>2336</v>
      </c>
      <c r="BT111" s="1" t="str">
        <f aca="false">HYPERLINK("https%3A%2F%2Fwww.webofscience.com%2Fwos%2Fwoscc%2Ffull-record%2FWOS:000639747300044","View Full Record in Web of Science")</f>
        <v>View Full Record in Web of Science</v>
      </c>
    </row>
    <row r="112" customFormat="false" ht="12.75" hidden="false" customHeight="false" outlineLevel="0" collapsed="false">
      <c r="A112" s="1" t="s">
        <v>181</v>
      </c>
      <c r="B112" s="1" t="s">
        <v>2337</v>
      </c>
      <c r="C112" s="1"/>
      <c r="D112" s="1"/>
      <c r="E112" s="1"/>
      <c r="F112" s="1" t="s">
        <v>2338</v>
      </c>
      <c r="G112" s="1"/>
      <c r="H112" s="1"/>
      <c r="I112" s="1" t="s">
        <v>2339</v>
      </c>
      <c r="J112" s="1" t="s">
        <v>1261</v>
      </c>
      <c r="K112" s="1"/>
      <c r="L112" s="1"/>
      <c r="M112" s="1" t="s">
        <v>78</v>
      </c>
      <c r="N112" s="1" t="s">
        <v>186</v>
      </c>
      <c r="O112" s="1"/>
      <c r="P112" s="1"/>
      <c r="Q112" s="1"/>
      <c r="R112" s="1"/>
      <c r="S112" s="1"/>
      <c r="T112" s="1" t="s">
        <v>2340</v>
      </c>
      <c r="U112" s="1" t="s">
        <v>2341</v>
      </c>
      <c r="V112" s="1" t="s">
        <v>2342</v>
      </c>
      <c r="W112" s="1" t="s">
        <v>2343</v>
      </c>
      <c r="X112" s="1" t="s">
        <v>86</v>
      </c>
      <c r="Y112" s="1" t="s">
        <v>2344</v>
      </c>
      <c r="Z112" s="1" t="s">
        <v>1267</v>
      </c>
      <c r="AA112" s="1" t="s">
        <v>1268</v>
      </c>
      <c r="AB112" s="1" t="s">
        <v>1269</v>
      </c>
      <c r="AC112" s="1" t="s">
        <v>1270</v>
      </c>
      <c r="AD112" s="1" t="s">
        <v>1270</v>
      </c>
      <c r="AE112" s="1" t="s">
        <v>2345</v>
      </c>
      <c r="AF112" s="1"/>
      <c r="AG112" s="1" t="n">
        <v>42</v>
      </c>
      <c r="AH112" s="1" t="n">
        <v>31</v>
      </c>
      <c r="AI112" s="1" t="n">
        <v>33</v>
      </c>
      <c r="AJ112" s="1" t="n">
        <v>1</v>
      </c>
      <c r="AK112" s="1" t="n">
        <v>14</v>
      </c>
      <c r="AL112" s="1" t="s">
        <v>195</v>
      </c>
      <c r="AM112" s="1" t="s">
        <v>196</v>
      </c>
      <c r="AN112" s="1" t="s">
        <v>197</v>
      </c>
      <c r="AO112" s="1" t="s">
        <v>1272</v>
      </c>
      <c r="AP112" s="1" t="s">
        <v>1273</v>
      </c>
      <c r="AQ112" s="1"/>
      <c r="AR112" s="1" t="s">
        <v>1274</v>
      </c>
      <c r="AS112" s="1" t="s">
        <v>1275</v>
      </c>
      <c r="AT112" s="1" t="s">
        <v>2346</v>
      </c>
      <c r="AU112" s="1" t="n">
        <v>2021</v>
      </c>
      <c r="AV112" s="1" t="n">
        <v>21</v>
      </c>
      <c r="AW112" s="1" t="n">
        <v>5</v>
      </c>
      <c r="AX112" s="1"/>
      <c r="AY112" s="1"/>
      <c r="AZ112" s="1"/>
      <c r="BA112" s="1"/>
      <c r="BB112" s="1" t="n">
        <v>6575</v>
      </c>
      <c r="BC112" s="1" t="n">
        <v>6586</v>
      </c>
      <c r="BD112" s="1"/>
      <c r="BE112" s="1" t="s">
        <v>2347</v>
      </c>
      <c r="BF112" s="1" t="str">
        <f aca="false">HYPERLINK("http://dx.doi.org/10.1109/JSEN.2020.3042061","http://dx.doi.org/10.1109/JSEN.2020.3042061")</f>
        <v>http://dx.doi.org/10.1109/JSEN.2020.3042061</v>
      </c>
      <c r="BG112" s="1"/>
      <c r="BH112" s="1"/>
      <c r="BI112" s="1" t="n">
        <v>12</v>
      </c>
      <c r="BJ112" s="1" t="s">
        <v>1278</v>
      </c>
      <c r="BK112" s="1" t="s">
        <v>204</v>
      </c>
      <c r="BL112" s="1" t="s">
        <v>1279</v>
      </c>
      <c r="BM112" s="1" t="s">
        <v>2348</v>
      </c>
      <c r="BN112" s="1"/>
      <c r="BO112" s="1" t="s">
        <v>1373</v>
      </c>
      <c r="BP112" s="1"/>
      <c r="BQ112" s="1"/>
      <c r="BR112" s="1" t="s">
        <v>103</v>
      </c>
      <c r="BS112" s="1" t="s">
        <v>2349</v>
      </c>
      <c r="BT112" s="1" t="str">
        <f aca="false">HYPERLINK("https%3A%2F%2Fwww.webofscience.com%2Fwos%2Fwoscc%2Ffull-record%2FWOS:000616329300107","View Full Record in Web of Science")</f>
        <v>View Full Record in Web of Science</v>
      </c>
    </row>
    <row r="113" customFormat="false" ht="12.75" hidden="false" customHeight="false" outlineLevel="0" collapsed="false">
      <c r="A113" s="1" t="s">
        <v>181</v>
      </c>
      <c r="B113" s="1" t="s">
        <v>2350</v>
      </c>
      <c r="C113" s="1"/>
      <c r="D113" s="1"/>
      <c r="E113" s="1"/>
      <c r="F113" s="1" t="s">
        <v>2351</v>
      </c>
      <c r="G113" s="1"/>
      <c r="H113" s="1"/>
      <c r="I113" s="1" t="s">
        <v>2352</v>
      </c>
      <c r="J113" s="1" t="s">
        <v>2353</v>
      </c>
      <c r="K113" s="1"/>
      <c r="L113" s="1"/>
      <c r="M113" s="1" t="s">
        <v>78</v>
      </c>
      <c r="N113" s="1" t="s">
        <v>186</v>
      </c>
      <c r="O113" s="1"/>
      <c r="P113" s="1"/>
      <c r="Q113" s="1"/>
      <c r="R113" s="1"/>
      <c r="S113" s="1"/>
      <c r="T113" s="1" t="s">
        <v>2354</v>
      </c>
      <c r="U113" s="1"/>
      <c r="V113" s="1" t="s">
        <v>2355</v>
      </c>
      <c r="W113" s="1" t="s">
        <v>2356</v>
      </c>
      <c r="X113" s="1" t="s">
        <v>86</v>
      </c>
      <c r="Y113" s="1" t="s">
        <v>2357</v>
      </c>
      <c r="Z113" s="1" t="s">
        <v>2358</v>
      </c>
      <c r="AA113" s="1"/>
      <c r="AB113" s="1"/>
      <c r="AC113" s="1"/>
      <c r="AD113" s="1"/>
      <c r="AE113" s="1"/>
      <c r="AF113" s="1"/>
      <c r="AG113" s="1" t="n">
        <v>46</v>
      </c>
      <c r="AH113" s="1" t="n">
        <v>0</v>
      </c>
      <c r="AI113" s="1" t="n">
        <v>0</v>
      </c>
      <c r="AJ113" s="1" t="n">
        <v>0</v>
      </c>
      <c r="AK113" s="1" t="n">
        <v>2</v>
      </c>
      <c r="AL113" s="1" t="s">
        <v>600</v>
      </c>
      <c r="AM113" s="1" t="s">
        <v>601</v>
      </c>
      <c r="AN113" s="1" t="s">
        <v>602</v>
      </c>
      <c r="AO113" s="1" t="s">
        <v>2359</v>
      </c>
      <c r="AP113" s="1"/>
      <c r="AQ113" s="1"/>
      <c r="AR113" s="1" t="s">
        <v>2360</v>
      </c>
      <c r="AS113" s="1" t="s">
        <v>2361</v>
      </c>
      <c r="AT113" s="1" t="s">
        <v>277</v>
      </c>
      <c r="AU113" s="1" t="n">
        <v>2020</v>
      </c>
      <c r="AV113" s="1" t="n">
        <v>86</v>
      </c>
      <c r="AW113" s="1" t="n">
        <v>2</v>
      </c>
      <c r="AX113" s="1"/>
      <c r="AY113" s="1"/>
      <c r="AZ113" s="1"/>
      <c r="BA113" s="1"/>
      <c r="BB113" s="1"/>
      <c r="BC113" s="1"/>
      <c r="BD113" s="1" t="s">
        <v>2362</v>
      </c>
      <c r="BE113" s="1" t="s">
        <v>2363</v>
      </c>
      <c r="BF113" s="1" t="str">
        <f aca="false">HYPERLINK("http://dx.doi.org/10.1002/isd2.12116","http://dx.doi.org/10.1002/isd2.12116")</f>
        <v>http://dx.doi.org/10.1002/isd2.12116</v>
      </c>
      <c r="BG113" s="1"/>
      <c r="BH113" s="1"/>
      <c r="BI113" s="1" t="n">
        <v>11</v>
      </c>
      <c r="BJ113" s="1" t="s">
        <v>2364</v>
      </c>
      <c r="BK113" s="1" t="s">
        <v>253</v>
      </c>
      <c r="BL113" s="1" t="s">
        <v>2365</v>
      </c>
      <c r="BM113" s="1" t="s">
        <v>2366</v>
      </c>
      <c r="BN113" s="1"/>
      <c r="BO113" s="1" t="s">
        <v>444</v>
      </c>
      <c r="BP113" s="1"/>
      <c r="BQ113" s="1"/>
      <c r="BR113" s="1" t="s">
        <v>103</v>
      </c>
      <c r="BS113" s="1" t="s">
        <v>2367</v>
      </c>
      <c r="BT113" s="1" t="str">
        <f aca="false">HYPERLINK("https%3A%2F%2Fwww.webofscience.com%2Fwos%2Fwoscc%2Ffull-record%2FWOS:000519219500001","View Full Record in Web of Science")</f>
        <v>View Full Record in Web of Science</v>
      </c>
    </row>
    <row r="114" customFormat="false" ht="12.75" hidden="false" customHeight="false" outlineLevel="0" collapsed="false">
      <c r="A114" s="1" t="s">
        <v>181</v>
      </c>
      <c r="B114" s="1" t="s">
        <v>2368</v>
      </c>
      <c r="C114" s="1"/>
      <c r="D114" s="1"/>
      <c r="E114" s="1"/>
      <c r="F114" s="1" t="s">
        <v>2369</v>
      </c>
      <c r="G114" s="1"/>
      <c r="H114" s="1"/>
      <c r="I114" s="1" t="s">
        <v>2370</v>
      </c>
      <c r="J114" s="1" t="s">
        <v>2371</v>
      </c>
      <c r="K114" s="1"/>
      <c r="L114" s="1"/>
      <c r="M114" s="1" t="s">
        <v>78</v>
      </c>
      <c r="N114" s="1" t="s">
        <v>186</v>
      </c>
      <c r="O114" s="1"/>
      <c r="P114" s="1"/>
      <c r="Q114" s="1"/>
      <c r="R114" s="1"/>
      <c r="S114" s="1"/>
      <c r="T114" s="1" t="s">
        <v>2372</v>
      </c>
      <c r="U114" s="1" t="s">
        <v>2373</v>
      </c>
      <c r="V114" s="1" t="s">
        <v>2374</v>
      </c>
      <c r="W114" s="1" t="s">
        <v>2375</v>
      </c>
      <c r="X114" s="1" t="s">
        <v>86</v>
      </c>
      <c r="Y114" s="1" t="s">
        <v>2376</v>
      </c>
      <c r="Z114" s="1" t="s">
        <v>2377</v>
      </c>
      <c r="AA114" s="1"/>
      <c r="AB114" s="1"/>
      <c r="AC114" s="1" t="s">
        <v>2378</v>
      </c>
      <c r="AD114" s="1" t="s">
        <v>2379</v>
      </c>
      <c r="AE114" s="1" t="s">
        <v>2380</v>
      </c>
      <c r="AF114" s="1"/>
      <c r="AG114" s="1" t="n">
        <v>56</v>
      </c>
      <c r="AH114" s="1" t="n">
        <v>73</v>
      </c>
      <c r="AI114" s="1" t="n">
        <v>76</v>
      </c>
      <c r="AJ114" s="1" t="n">
        <v>2</v>
      </c>
      <c r="AK114" s="1" t="n">
        <v>32</v>
      </c>
      <c r="AL114" s="1" t="s">
        <v>2381</v>
      </c>
      <c r="AM114" s="1" t="s">
        <v>2382</v>
      </c>
      <c r="AN114" s="1" t="s">
        <v>2383</v>
      </c>
      <c r="AO114" s="1" t="s">
        <v>2384</v>
      </c>
      <c r="AP114" s="1" t="s">
        <v>2385</v>
      </c>
      <c r="AQ114" s="1"/>
      <c r="AR114" s="1" t="s">
        <v>2386</v>
      </c>
      <c r="AS114" s="1" t="s">
        <v>2387</v>
      </c>
      <c r="AT114" s="1" t="s">
        <v>2208</v>
      </c>
      <c r="AU114" s="1" t="n">
        <v>2020</v>
      </c>
      <c r="AV114" s="1" t="n">
        <v>14</v>
      </c>
      <c r="AW114" s="1" t="n">
        <v>12</v>
      </c>
      <c r="AX114" s="1"/>
      <c r="AY114" s="1"/>
      <c r="AZ114" s="1"/>
      <c r="BA114" s="1"/>
      <c r="BB114" s="1" t="n">
        <v>956</v>
      </c>
      <c r="BC114" s="1" t="n">
        <v>971</v>
      </c>
      <c r="BD114" s="1"/>
      <c r="BE114" s="1" t="s">
        <v>2388</v>
      </c>
      <c r="BF114" s="1" t="str">
        <f aca="false">HYPERLINK("http://dx.doi.org/10.1080/15568318.2019.1666324","http://dx.doi.org/10.1080/15568318.2019.1666324")</f>
        <v>http://dx.doi.org/10.1080/15568318.2019.1666324</v>
      </c>
      <c r="BG114" s="1"/>
      <c r="BH114" s="1" t="s">
        <v>2389</v>
      </c>
      <c r="BI114" s="1" t="n">
        <v>16</v>
      </c>
      <c r="BJ114" s="1" t="s">
        <v>2390</v>
      </c>
      <c r="BK114" s="1" t="s">
        <v>610</v>
      </c>
      <c r="BL114" s="1" t="s">
        <v>2391</v>
      </c>
      <c r="BM114" s="1" t="s">
        <v>2392</v>
      </c>
      <c r="BN114" s="1"/>
      <c r="BO114" s="1" t="s">
        <v>612</v>
      </c>
      <c r="BP114" s="1"/>
      <c r="BQ114" s="1"/>
      <c r="BR114" s="1" t="s">
        <v>103</v>
      </c>
      <c r="BS114" s="1" t="s">
        <v>2393</v>
      </c>
      <c r="BT114" s="1" t="str">
        <f aca="false">HYPERLINK("https%3A%2F%2Fwww.webofscience.com%2Fwos%2Fwoscc%2Ffull-record%2FWOS:000486808900001","View Full Record in Web of Science")</f>
        <v>View Full Record in Web of Science</v>
      </c>
    </row>
    <row r="115" customFormat="false" ht="12.75" hidden="false" customHeight="false" outlineLevel="0" collapsed="false">
      <c r="A115" s="1" t="s">
        <v>181</v>
      </c>
      <c r="B115" s="1" t="s">
        <v>2394</v>
      </c>
      <c r="C115" s="1"/>
      <c r="D115" s="1"/>
      <c r="E115" s="1"/>
      <c r="F115" s="1" t="s">
        <v>2395</v>
      </c>
      <c r="G115" s="1"/>
      <c r="H115" s="1"/>
      <c r="I115" s="1" t="s">
        <v>2396</v>
      </c>
      <c r="J115" s="1" t="s">
        <v>671</v>
      </c>
      <c r="K115" s="1"/>
      <c r="L115" s="1"/>
      <c r="M115" s="1" t="s">
        <v>78</v>
      </c>
      <c r="N115" s="1" t="s">
        <v>186</v>
      </c>
      <c r="O115" s="1"/>
      <c r="P115" s="1"/>
      <c r="Q115" s="1"/>
      <c r="R115" s="1"/>
      <c r="S115" s="1"/>
      <c r="T115" s="1" t="s">
        <v>2397</v>
      </c>
      <c r="U115" s="1" t="s">
        <v>2398</v>
      </c>
      <c r="V115" s="1" t="s">
        <v>2399</v>
      </c>
      <c r="W115" s="1" t="s">
        <v>2400</v>
      </c>
      <c r="X115" s="1" t="s">
        <v>86</v>
      </c>
      <c r="Y115" s="1" t="s">
        <v>1182</v>
      </c>
      <c r="Z115" s="1" t="s">
        <v>2401</v>
      </c>
      <c r="AA115" s="1"/>
      <c r="AB115" s="1"/>
      <c r="AC115" s="1" t="s">
        <v>2402</v>
      </c>
      <c r="AD115" s="1" t="s">
        <v>2402</v>
      </c>
      <c r="AE115" s="1" t="s">
        <v>2403</v>
      </c>
      <c r="AF115" s="1"/>
      <c r="AG115" s="1" t="n">
        <v>64</v>
      </c>
      <c r="AH115" s="1" t="n">
        <v>0</v>
      </c>
      <c r="AI115" s="1" t="n">
        <v>0</v>
      </c>
      <c r="AJ115" s="1" t="n">
        <v>4</v>
      </c>
      <c r="AK115" s="1" t="n">
        <v>4</v>
      </c>
      <c r="AL115" s="1" t="s">
        <v>679</v>
      </c>
      <c r="AM115" s="1" t="s">
        <v>680</v>
      </c>
      <c r="AN115" s="1" t="s">
        <v>681</v>
      </c>
      <c r="AO115" s="1" t="s">
        <v>682</v>
      </c>
      <c r="AP115" s="1" t="s">
        <v>683</v>
      </c>
      <c r="AQ115" s="1"/>
      <c r="AR115" s="1" t="s">
        <v>684</v>
      </c>
      <c r="AS115" s="1" t="s">
        <v>685</v>
      </c>
      <c r="AT115" s="1" t="s">
        <v>1391</v>
      </c>
      <c r="AU115" s="1" t="n">
        <v>2024</v>
      </c>
      <c r="AV115" s="1" t="n">
        <v>29</v>
      </c>
      <c r="AW115" s="1" t="n">
        <v>6</v>
      </c>
      <c r="AX115" s="1"/>
      <c r="AY115" s="1"/>
      <c r="AZ115" s="1"/>
      <c r="BA115" s="1"/>
      <c r="BB115" s="1"/>
      <c r="BC115" s="1"/>
      <c r="BD115" s="1" t="n">
        <v>140</v>
      </c>
      <c r="BE115" s="1" t="s">
        <v>2404</v>
      </c>
      <c r="BF115" s="1" t="str">
        <f aca="false">HYPERLINK("http://dx.doi.org/10.1007/s10664-024-10522-z","http://dx.doi.org/10.1007/s10664-024-10522-z")</f>
        <v>http://dx.doi.org/10.1007/s10664-024-10522-z</v>
      </c>
      <c r="BG115" s="1"/>
      <c r="BH115" s="1"/>
      <c r="BI115" s="1" t="n">
        <v>40</v>
      </c>
      <c r="BJ115" s="1" t="s">
        <v>252</v>
      </c>
      <c r="BK115" s="1" t="s">
        <v>204</v>
      </c>
      <c r="BL115" s="1" t="s">
        <v>101</v>
      </c>
      <c r="BM115" s="1" t="s">
        <v>2405</v>
      </c>
      <c r="BN115" s="1"/>
      <c r="BO115" s="1" t="s">
        <v>282</v>
      </c>
      <c r="BP115" s="1"/>
      <c r="BQ115" s="1"/>
      <c r="BR115" s="1" t="s">
        <v>103</v>
      </c>
      <c r="BS115" s="1" t="s">
        <v>2406</v>
      </c>
      <c r="BT115" s="1" t="str">
        <f aca="false">HYPERLINK("https%3A%2F%2Fwww.webofscience.com%2Fwos%2Fwoscc%2Ffull-record%2FWOS:001292331700002","View Full Record in Web of Science")</f>
        <v>View Full Record in Web of Science</v>
      </c>
    </row>
    <row r="116" customFormat="false" ht="12.75" hidden="false" customHeight="false" outlineLevel="0" collapsed="false">
      <c r="A116" s="1" t="s">
        <v>72</v>
      </c>
      <c r="B116" s="1" t="s">
        <v>2407</v>
      </c>
      <c r="C116" s="1"/>
      <c r="D116" s="1"/>
      <c r="E116" s="1" t="s">
        <v>106</v>
      </c>
      <c r="F116" s="1" t="s">
        <v>2408</v>
      </c>
      <c r="G116" s="1"/>
      <c r="H116" s="1"/>
      <c r="I116" s="1" t="s">
        <v>2409</v>
      </c>
      <c r="J116" s="1" t="s">
        <v>2410</v>
      </c>
      <c r="K116" s="1" t="s">
        <v>1324</v>
      </c>
      <c r="L116" s="1"/>
      <c r="M116" s="1" t="s">
        <v>78</v>
      </c>
      <c r="N116" s="1" t="s">
        <v>79</v>
      </c>
      <c r="O116" s="1" t="s">
        <v>2411</v>
      </c>
      <c r="P116" s="1" t="s">
        <v>2412</v>
      </c>
      <c r="Q116" s="1" t="s">
        <v>2413</v>
      </c>
      <c r="R116" s="1" t="s">
        <v>2414</v>
      </c>
      <c r="S116" s="1" t="s">
        <v>2415</v>
      </c>
      <c r="T116" s="1"/>
      <c r="U116" s="1"/>
      <c r="V116" s="1" t="s">
        <v>2416</v>
      </c>
      <c r="W116" s="1" t="s">
        <v>2417</v>
      </c>
      <c r="X116" s="1" t="s">
        <v>86</v>
      </c>
      <c r="Y116" s="1" t="s">
        <v>2418</v>
      </c>
      <c r="Z116" s="1" t="s">
        <v>2419</v>
      </c>
      <c r="AA116" s="1"/>
      <c r="AB116" s="1"/>
      <c r="AC116" s="1"/>
      <c r="AD116" s="1"/>
      <c r="AE116" s="1"/>
      <c r="AF116" s="1"/>
      <c r="AG116" s="1" t="n">
        <v>13</v>
      </c>
      <c r="AH116" s="1" t="n">
        <v>0</v>
      </c>
      <c r="AI116" s="1" t="n">
        <v>0</v>
      </c>
      <c r="AJ116" s="1" t="n">
        <v>1</v>
      </c>
      <c r="AK116" s="1" t="n">
        <v>1</v>
      </c>
      <c r="AL116" s="1" t="s">
        <v>106</v>
      </c>
      <c r="AM116" s="1" t="s">
        <v>95</v>
      </c>
      <c r="AN116" s="1" t="s">
        <v>122</v>
      </c>
      <c r="AO116" s="1" t="s">
        <v>1335</v>
      </c>
      <c r="AP116" s="1" t="s">
        <v>1336</v>
      </c>
      <c r="AQ116" s="1" t="s">
        <v>2420</v>
      </c>
      <c r="AR116" s="1" t="s">
        <v>1338</v>
      </c>
      <c r="AS116" s="1"/>
      <c r="AT116" s="1"/>
      <c r="AU116" s="1" t="n">
        <v>2024</v>
      </c>
      <c r="AV116" s="1"/>
      <c r="AW116" s="1"/>
      <c r="AX116" s="1"/>
      <c r="AY116" s="1"/>
      <c r="AZ116" s="1"/>
      <c r="BA116" s="1"/>
      <c r="BB116" s="1" t="n">
        <v>68</v>
      </c>
      <c r="BC116" s="1" t="n">
        <v>71</v>
      </c>
      <c r="BD116" s="1"/>
      <c r="BE116" s="1" t="s">
        <v>2421</v>
      </c>
      <c r="BF116" s="1" t="str">
        <f aca="false">HYPERLINK("http://dx.doi.org/10.1109/QoMEX61742.2024.10598243","http://dx.doi.org/10.1109/QoMEX61742.2024.10598243")</f>
        <v>http://dx.doi.org/10.1109/QoMEX61742.2024.10598243</v>
      </c>
      <c r="BG116" s="1"/>
      <c r="BH116" s="1"/>
      <c r="BI116" s="1" t="n">
        <v>4</v>
      </c>
      <c r="BJ116" s="1" t="s">
        <v>2422</v>
      </c>
      <c r="BK116" s="1" t="s">
        <v>100</v>
      </c>
      <c r="BL116" s="1" t="s">
        <v>1341</v>
      </c>
      <c r="BM116" s="1" t="s">
        <v>2423</v>
      </c>
      <c r="BN116" s="1"/>
      <c r="BO116" s="1"/>
      <c r="BP116" s="1"/>
      <c r="BQ116" s="1"/>
      <c r="BR116" s="1" t="s">
        <v>103</v>
      </c>
      <c r="BS116" s="1" t="s">
        <v>2424</v>
      </c>
      <c r="BT116" s="1" t="str">
        <f aca="false">HYPERLINK("https%3A%2F%2Fwww.webofscience.com%2Fwos%2Fwoscc%2Ffull-record%2FWOS:001289486600012","View Full Record in Web of Science")</f>
        <v>View Full Record in Web of Science</v>
      </c>
    </row>
    <row r="117" customFormat="false" ht="12.75" hidden="false" customHeight="false" outlineLevel="0" collapsed="false">
      <c r="A117" s="1" t="s">
        <v>72</v>
      </c>
      <c r="B117" s="1" t="s">
        <v>2425</v>
      </c>
      <c r="C117" s="1"/>
      <c r="D117" s="1" t="s">
        <v>1838</v>
      </c>
      <c r="E117" s="1"/>
      <c r="F117" s="1" t="s">
        <v>2426</v>
      </c>
      <c r="G117" s="1"/>
      <c r="H117" s="1"/>
      <c r="I117" s="1" t="s">
        <v>2427</v>
      </c>
      <c r="J117" s="1" t="s">
        <v>2428</v>
      </c>
      <c r="K117" s="1" t="s">
        <v>498</v>
      </c>
      <c r="L117" s="1"/>
      <c r="M117" s="1" t="s">
        <v>78</v>
      </c>
      <c r="N117" s="1" t="s">
        <v>79</v>
      </c>
      <c r="O117" s="1" t="s">
        <v>2429</v>
      </c>
      <c r="P117" s="1" t="s">
        <v>2430</v>
      </c>
      <c r="Q117" s="1" t="s">
        <v>2431</v>
      </c>
      <c r="R117" s="1" t="s">
        <v>2432</v>
      </c>
      <c r="S117" s="1"/>
      <c r="T117" s="1" t="s">
        <v>2433</v>
      </c>
      <c r="U117" s="1"/>
      <c r="V117" s="1" t="s">
        <v>2434</v>
      </c>
      <c r="W117" s="1" t="s">
        <v>2435</v>
      </c>
      <c r="X117" s="1" t="s">
        <v>86</v>
      </c>
      <c r="Y117" s="1" t="s">
        <v>2436</v>
      </c>
      <c r="Z117" s="1" t="s">
        <v>2437</v>
      </c>
      <c r="AA117" s="1"/>
      <c r="AB117" s="1"/>
      <c r="AC117" s="1"/>
      <c r="AD117" s="1"/>
      <c r="AE117" s="1"/>
      <c r="AF117" s="1"/>
      <c r="AG117" s="1" t="n">
        <v>15</v>
      </c>
      <c r="AH117" s="1" t="n">
        <v>0</v>
      </c>
      <c r="AI117" s="1" t="n">
        <v>0</v>
      </c>
      <c r="AJ117" s="1" t="n">
        <v>1</v>
      </c>
      <c r="AK117" s="1" t="n">
        <v>1</v>
      </c>
      <c r="AL117" s="1" t="s">
        <v>302</v>
      </c>
      <c r="AM117" s="1" t="s">
        <v>303</v>
      </c>
      <c r="AN117" s="1" t="s">
        <v>304</v>
      </c>
      <c r="AO117" s="1" t="s">
        <v>512</v>
      </c>
      <c r="AP117" s="1" t="s">
        <v>513</v>
      </c>
      <c r="AQ117" s="1" t="s">
        <v>2438</v>
      </c>
      <c r="AR117" s="1" t="s">
        <v>515</v>
      </c>
      <c r="AS117" s="1"/>
      <c r="AT117" s="1"/>
      <c r="AU117" s="1" t="n">
        <v>2023</v>
      </c>
      <c r="AV117" s="1" t="n">
        <v>483</v>
      </c>
      <c r="AW117" s="1"/>
      <c r="AX117" s="1"/>
      <c r="AY117" s="1"/>
      <c r="AZ117" s="1"/>
      <c r="BA117" s="1"/>
      <c r="BB117" s="1" t="n">
        <v>256</v>
      </c>
      <c r="BC117" s="1" t="n">
        <v>267</v>
      </c>
      <c r="BD117" s="1"/>
      <c r="BE117" s="1" t="s">
        <v>2439</v>
      </c>
      <c r="BF117" s="1" t="str">
        <f aca="false">HYPERLINK("http://dx.doi.org/10.1007/978-3-031-36757-1_17","http://dx.doi.org/10.1007/978-3-031-36757-1_17")</f>
        <v>http://dx.doi.org/10.1007/978-3-031-36757-1_17</v>
      </c>
      <c r="BG117" s="1"/>
      <c r="BH117" s="1"/>
      <c r="BI117" s="1" t="n">
        <v>12</v>
      </c>
      <c r="BJ117" s="1" t="s">
        <v>2440</v>
      </c>
      <c r="BK117" s="1" t="s">
        <v>1254</v>
      </c>
      <c r="BL117" s="1" t="s">
        <v>1853</v>
      </c>
      <c r="BM117" s="1" t="s">
        <v>2441</v>
      </c>
      <c r="BN117" s="1"/>
      <c r="BO117" s="1"/>
      <c r="BP117" s="1"/>
      <c r="BQ117" s="1"/>
      <c r="BR117" s="1" t="s">
        <v>103</v>
      </c>
      <c r="BS117" s="1" t="s">
        <v>2442</v>
      </c>
      <c r="BT117" s="1" t="str">
        <f aca="false">HYPERLINK("https%3A%2F%2Fwww.webofscience.com%2Fwos%2Fwoscc%2Ffull-record%2FWOS:001316087100017","View Full Record in Web of Science")</f>
        <v>View Full Record in Web of Science</v>
      </c>
    </row>
    <row r="118" customFormat="false" ht="12.75" hidden="false" customHeight="false" outlineLevel="0" collapsed="false">
      <c r="A118" s="1" t="s">
        <v>181</v>
      </c>
      <c r="B118" s="1" t="s">
        <v>2443</v>
      </c>
      <c r="C118" s="1"/>
      <c r="D118" s="1"/>
      <c r="E118" s="1"/>
      <c r="F118" s="1" t="s">
        <v>2444</v>
      </c>
      <c r="G118" s="1"/>
      <c r="H118" s="1"/>
      <c r="I118" s="1" t="s">
        <v>2445</v>
      </c>
      <c r="J118" s="1" t="s">
        <v>2446</v>
      </c>
      <c r="K118" s="1"/>
      <c r="L118" s="1"/>
      <c r="M118" s="1" t="s">
        <v>78</v>
      </c>
      <c r="N118" s="1" t="s">
        <v>186</v>
      </c>
      <c r="O118" s="1"/>
      <c r="P118" s="1"/>
      <c r="Q118" s="1"/>
      <c r="R118" s="1"/>
      <c r="S118" s="1"/>
      <c r="T118" s="1" t="s">
        <v>2447</v>
      </c>
      <c r="U118" s="1" t="s">
        <v>2448</v>
      </c>
      <c r="V118" s="1" t="s">
        <v>2449</v>
      </c>
      <c r="W118" s="1" t="s">
        <v>2450</v>
      </c>
      <c r="X118" s="1" t="s">
        <v>86</v>
      </c>
      <c r="Y118" s="1" t="s">
        <v>2451</v>
      </c>
      <c r="Z118" s="1" t="s">
        <v>2452</v>
      </c>
      <c r="AA118" s="1"/>
      <c r="AB118" s="1"/>
      <c r="AC118" s="1" t="s">
        <v>2453</v>
      </c>
      <c r="AD118" s="1" t="s">
        <v>2454</v>
      </c>
      <c r="AE118" s="1" t="s">
        <v>2455</v>
      </c>
      <c r="AF118" s="1"/>
      <c r="AG118" s="1" t="n">
        <v>29</v>
      </c>
      <c r="AH118" s="1" t="n">
        <v>1</v>
      </c>
      <c r="AI118" s="1" t="n">
        <v>1</v>
      </c>
      <c r="AJ118" s="1" t="n">
        <v>0</v>
      </c>
      <c r="AK118" s="1" t="n">
        <v>1</v>
      </c>
      <c r="AL118" s="1" t="s">
        <v>679</v>
      </c>
      <c r="AM118" s="1" t="s">
        <v>95</v>
      </c>
      <c r="AN118" s="1" t="s">
        <v>803</v>
      </c>
      <c r="AO118" s="1" t="s">
        <v>2456</v>
      </c>
      <c r="AP118" s="1" t="s">
        <v>2457</v>
      </c>
      <c r="AQ118" s="1"/>
      <c r="AR118" s="1" t="s">
        <v>2458</v>
      </c>
      <c r="AS118" s="1" t="s">
        <v>2459</v>
      </c>
      <c r="AT118" s="1" t="s">
        <v>474</v>
      </c>
      <c r="AU118" s="1" t="n">
        <v>2023</v>
      </c>
      <c r="AV118" s="1" t="n">
        <v>58</v>
      </c>
      <c r="AW118" s="1" t="n">
        <v>2</v>
      </c>
      <c r="AX118" s="1"/>
      <c r="AY118" s="1"/>
      <c r="AZ118" s="1" t="s">
        <v>1698</v>
      </c>
      <c r="BA118" s="1"/>
      <c r="BB118" s="1" t="n">
        <v>387</v>
      </c>
      <c r="BC118" s="1" t="n">
        <v>397</v>
      </c>
      <c r="BD118" s="1"/>
      <c r="BE118" s="1" t="s">
        <v>2460</v>
      </c>
      <c r="BF118" s="1" t="str">
        <f aca="false">HYPERLINK("http://dx.doi.org/10.1007/s10801-022-01183-6","http://dx.doi.org/10.1007/s10801-022-01183-6")</f>
        <v>http://dx.doi.org/10.1007/s10801-022-01183-6</v>
      </c>
      <c r="BG118" s="1"/>
      <c r="BH118" s="1" t="s">
        <v>2461</v>
      </c>
      <c r="BI118" s="1" t="n">
        <v>11</v>
      </c>
      <c r="BJ118" s="1" t="s">
        <v>280</v>
      </c>
      <c r="BK118" s="1" t="s">
        <v>204</v>
      </c>
      <c r="BL118" s="1" t="s">
        <v>280</v>
      </c>
      <c r="BM118" s="1" t="s">
        <v>2462</v>
      </c>
      <c r="BN118" s="1"/>
      <c r="BO118" s="1" t="s">
        <v>282</v>
      </c>
      <c r="BP118" s="1"/>
      <c r="BQ118" s="1"/>
      <c r="BR118" s="1" t="s">
        <v>103</v>
      </c>
      <c r="BS118" s="1" t="s">
        <v>2463</v>
      </c>
      <c r="BT118" s="1" t="str">
        <f aca="false">HYPERLINK("https%3A%2F%2Fwww.webofscience.com%2Fwos%2Fwoscc%2Ffull-record%2FWOS:000871156400001","View Full Record in Web of Science")</f>
        <v>View Full Record in Web of Science</v>
      </c>
    </row>
    <row r="119" customFormat="false" ht="12.75" hidden="false" customHeight="false" outlineLevel="0" collapsed="false">
      <c r="A119" s="1" t="s">
        <v>181</v>
      </c>
      <c r="B119" s="1" t="s">
        <v>2464</v>
      </c>
      <c r="C119" s="1"/>
      <c r="D119" s="1"/>
      <c r="E119" s="1"/>
      <c r="F119" s="1" t="s">
        <v>2465</v>
      </c>
      <c r="G119" s="1"/>
      <c r="H119" s="1"/>
      <c r="I119" s="1" t="s">
        <v>2466</v>
      </c>
      <c r="J119" s="1" t="s">
        <v>232</v>
      </c>
      <c r="K119" s="1"/>
      <c r="L119" s="1"/>
      <c r="M119" s="1" t="s">
        <v>78</v>
      </c>
      <c r="N119" s="1" t="s">
        <v>186</v>
      </c>
      <c r="O119" s="1"/>
      <c r="P119" s="1"/>
      <c r="Q119" s="1"/>
      <c r="R119" s="1"/>
      <c r="S119" s="1"/>
      <c r="T119" s="1" t="s">
        <v>2467</v>
      </c>
      <c r="U119" s="1" t="s">
        <v>2468</v>
      </c>
      <c r="V119" s="1" t="s">
        <v>2469</v>
      </c>
      <c r="W119" s="1" t="s">
        <v>2470</v>
      </c>
      <c r="X119" s="1" t="s">
        <v>86</v>
      </c>
      <c r="Y119" s="1" t="s">
        <v>2471</v>
      </c>
      <c r="Z119" s="1" t="s">
        <v>2472</v>
      </c>
      <c r="AA119" s="1"/>
      <c r="AB119" s="1"/>
      <c r="AC119" s="1" t="s">
        <v>2473</v>
      </c>
      <c r="AD119" s="1" t="s">
        <v>2474</v>
      </c>
      <c r="AE119" s="1" t="s">
        <v>2475</v>
      </c>
      <c r="AF119" s="1"/>
      <c r="AG119" s="1" t="n">
        <v>39</v>
      </c>
      <c r="AH119" s="1" t="n">
        <v>5</v>
      </c>
      <c r="AI119" s="1" t="n">
        <v>5</v>
      </c>
      <c r="AJ119" s="1" t="n">
        <v>2</v>
      </c>
      <c r="AK119" s="1" t="n">
        <v>13</v>
      </c>
      <c r="AL119" s="1" t="s">
        <v>244</v>
      </c>
      <c r="AM119" s="1" t="s">
        <v>245</v>
      </c>
      <c r="AN119" s="1" t="s">
        <v>246</v>
      </c>
      <c r="AO119" s="1" t="s">
        <v>247</v>
      </c>
      <c r="AP119" s="1" t="s">
        <v>248</v>
      </c>
      <c r="AQ119" s="1"/>
      <c r="AR119" s="1" t="s">
        <v>249</v>
      </c>
      <c r="AS119" s="1" t="s">
        <v>250</v>
      </c>
      <c r="AT119" s="1"/>
      <c r="AU119" s="1" t="n">
        <v>2022</v>
      </c>
      <c r="AV119" s="1" t="n">
        <v>16</v>
      </c>
      <c r="AW119" s="1" t="n">
        <v>1</v>
      </c>
      <c r="AX119" s="1"/>
      <c r="AY119" s="1"/>
      <c r="AZ119" s="1"/>
      <c r="BA119" s="1"/>
      <c r="BB119" s="1"/>
      <c r="BC119" s="1"/>
      <c r="BD119" s="1" t="n">
        <v>220110</v>
      </c>
      <c r="BE119" s="1" t="s">
        <v>2476</v>
      </c>
      <c r="BF119" s="1" t="str">
        <f aca="false">HYPERLINK("http://dx.doi.org/10.37190/e-Inf220110","http://dx.doi.org/10.37190/e-Inf220110")</f>
        <v>http://dx.doi.org/10.37190/e-Inf220110</v>
      </c>
      <c r="BG119" s="1"/>
      <c r="BH119" s="1"/>
      <c r="BI119" s="1" t="n">
        <v>28</v>
      </c>
      <c r="BJ119" s="1" t="s">
        <v>252</v>
      </c>
      <c r="BK119" s="1" t="s">
        <v>253</v>
      </c>
      <c r="BL119" s="1" t="s">
        <v>101</v>
      </c>
      <c r="BM119" s="1" t="s">
        <v>2477</v>
      </c>
      <c r="BN119" s="1"/>
      <c r="BO119" s="1" t="s">
        <v>401</v>
      </c>
      <c r="BP119" s="1"/>
      <c r="BQ119" s="1"/>
      <c r="BR119" s="1" t="s">
        <v>103</v>
      </c>
      <c r="BS119" s="1" t="s">
        <v>2478</v>
      </c>
      <c r="BT119" s="1" t="str">
        <f aca="false">HYPERLINK("https%3A%2F%2Fwww.webofscience.com%2Fwos%2Fwoscc%2Ffull-record%2FWOS:000850816000001","View Full Record in Web of Science")</f>
        <v>View Full Record in Web of Science</v>
      </c>
    </row>
    <row r="120" customFormat="false" ht="12.75" hidden="false" customHeight="false" outlineLevel="0" collapsed="false">
      <c r="A120" s="1" t="s">
        <v>72</v>
      </c>
      <c r="B120" s="1" t="s">
        <v>2479</v>
      </c>
      <c r="C120" s="1"/>
      <c r="D120" s="1"/>
      <c r="E120" s="1" t="s">
        <v>94</v>
      </c>
      <c r="F120" s="1" t="s">
        <v>2480</v>
      </c>
      <c r="G120" s="1"/>
      <c r="H120" s="1"/>
      <c r="I120" s="1" t="s">
        <v>2481</v>
      </c>
      <c r="J120" s="1" t="s">
        <v>2482</v>
      </c>
      <c r="K120" s="1"/>
      <c r="L120" s="1"/>
      <c r="M120" s="1" t="s">
        <v>78</v>
      </c>
      <c r="N120" s="1" t="s">
        <v>79</v>
      </c>
      <c r="O120" s="1" t="s">
        <v>2483</v>
      </c>
      <c r="P120" s="1" t="s">
        <v>2484</v>
      </c>
      <c r="Q120" s="1" t="s">
        <v>292</v>
      </c>
      <c r="R120" s="1" t="s">
        <v>2485</v>
      </c>
      <c r="S120" s="1"/>
      <c r="T120" s="1" t="s">
        <v>2486</v>
      </c>
      <c r="U120" s="1"/>
      <c r="V120" s="1" t="s">
        <v>2487</v>
      </c>
      <c r="W120" s="1" t="s">
        <v>2488</v>
      </c>
      <c r="X120" s="1" t="s">
        <v>86</v>
      </c>
      <c r="Y120" s="1" t="s">
        <v>2489</v>
      </c>
      <c r="Z120" s="1" t="s">
        <v>2490</v>
      </c>
      <c r="AA120" s="1" t="s">
        <v>2491</v>
      </c>
      <c r="AB120" s="1" t="s">
        <v>2492</v>
      </c>
      <c r="AC120" s="1" t="s">
        <v>2493</v>
      </c>
      <c r="AD120" s="1" t="s">
        <v>2493</v>
      </c>
      <c r="AE120" s="1" t="s">
        <v>1187</v>
      </c>
      <c r="AF120" s="1"/>
      <c r="AG120" s="1" t="n">
        <v>11</v>
      </c>
      <c r="AH120" s="1" t="n">
        <v>0</v>
      </c>
      <c r="AI120" s="1" t="n">
        <v>0</v>
      </c>
      <c r="AJ120" s="1" t="n">
        <v>0</v>
      </c>
      <c r="AK120" s="1" t="n">
        <v>0</v>
      </c>
      <c r="AL120" s="1" t="s">
        <v>94</v>
      </c>
      <c r="AM120" s="1" t="s">
        <v>95</v>
      </c>
      <c r="AN120" s="1" t="s">
        <v>96</v>
      </c>
      <c r="AO120" s="1"/>
      <c r="AP120" s="1"/>
      <c r="AQ120" s="1" t="s">
        <v>2494</v>
      </c>
      <c r="AR120" s="1"/>
      <c r="AS120" s="1"/>
      <c r="AT120" s="1"/>
      <c r="AU120" s="1" t="n">
        <v>2024</v>
      </c>
      <c r="AV120" s="1"/>
      <c r="AW120" s="1"/>
      <c r="AX120" s="1"/>
      <c r="AY120" s="1"/>
      <c r="AZ120" s="1"/>
      <c r="BA120" s="1"/>
      <c r="BB120" s="1" t="n">
        <v>64</v>
      </c>
      <c r="BC120" s="1" t="n">
        <v>67</v>
      </c>
      <c r="BD120" s="1"/>
      <c r="BE120" s="1" t="s">
        <v>2495</v>
      </c>
      <c r="BF120" s="1" t="str">
        <f aca="false">HYPERLINK("http://dx.doi.org/10.1145/3643664.3648201","http://dx.doi.org/10.1145/3643664.3648201")</f>
        <v>http://dx.doi.org/10.1145/3643664.3648201</v>
      </c>
      <c r="BG120" s="1"/>
      <c r="BH120" s="1"/>
      <c r="BI120" s="1" t="n">
        <v>4</v>
      </c>
      <c r="BJ120" s="1" t="s">
        <v>994</v>
      </c>
      <c r="BK120" s="1" t="s">
        <v>100</v>
      </c>
      <c r="BL120" s="1" t="s">
        <v>101</v>
      </c>
      <c r="BM120" s="1" t="s">
        <v>2496</v>
      </c>
      <c r="BN120" s="1"/>
      <c r="BO120" s="1"/>
      <c r="BP120" s="1"/>
      <c r="BQ120" s="1"/>
      <c r="BR120" s="1" t="s">
        <v>103</v>
      </c>
      <c r="BS120" s="1" t="s">
        <v>2497</v>
      </c>
      <c r="BT120" s="1" t="str">
        <f aca="false">HYPERLINK("https%3A%2F%2Fwww.webofscience.com%2Fwos%2Fwoscc%2Ffull-record%2FWOS:001293147200012","View Full Record in Web of Science")</f>
        <v>View Full Record in Web of Science</v>
      </c>
    </row>
    <row r="121" customFormat="false" ht="12.75" hidden="false" customHeight="false" outlineLevel="0" collapsed="false">
      <c r="A121" s="1" t="s">
        <v>72</v>
      </c>
      <c r="B121" s="1" t="s">
        <v>2498</v>
      </c>
      <c r="C121" s="1"/>
      <c r="D121" s="1" t="s">
        <v>2140</v>
      </c>
      <c r="E121" s="1"/>
      <c r="F121" s="1" t="s">
        <v>2499</v>
      </c>
      <c r="G121" s="1"/>
      <c r="H121" s="1"/>
      <c r="I121" s="1" t="s">
        <v>2500</v>
      </c>
      <c r="J121" s="1" t="s">
        <v>2142</v>
      </c>
      <c r="K121" s="1" t="s">
        <v>289</v>
      </c>
      <c r="L121" s="1"/>
      <c r="M121" s="1" t="s">
        <v>78</v>
      </c>
      <c r="N121" s="1" t="s">
        <v>79</v>
      </c>
      <c r="O121" s="1" t="s">
        <v>2143</v>
      </c>
      <c r="P121" s="1" t="s">
        <v>2144</v>
      </c>
      <c r="Q121" s="1" t="s">
        <v>2145</v>
      </c>
      <c r="R121" s="1" t="s">
        <v>2146</v>
      </c>
      <c r="S121" s="1"/>
      <c r="T121" s="1" t="s">
        <v>2501</v>
      </c>
      <c r="U121" s="1" t="s">
        <v>2502</v>
      </c>
      <c r="V121" s="1" t="s">
        <v>2503</v>
      </c>
      <c r="W121" s="1" t="s">
        <v>2504</v>
      </c>
      <c r="X121" s="1" t="s">
        <v>86</v>
      </c>
      <c r="Y121" s="1" t="s">
        <v>623</v>
      </c>
      <c r="Z121" s="1" t="s">
        <v>2505</v>
      </c>
      <c r="AA121" s="1" t="s">
        <v>455</v>
      </c>
      <c r="AB121" s="1"/>
      <c r="AC121" s="1" t="s">
        <v>2506</v>
      </c>
      <c r="AD121" s="1" t="s">
        <v>2507</v>
      </c>
      <c r="AE121" s="1" t="s">
        <v>2508</v>
      </c>
      <c r="AF121" s="1"/>
      <c r="AG121" s="1" t="n">
        <v>36</v>
      </c>
      <c r="AH121" s="1" t="n">
        <v>0</v>
      </c>
      <c r="AI121" s="1" t="n">
        <v>0</v>
      </c>
      <c r="AJ121" s="1" t="n">
        <v>0</v>
      </c>
      <c r="AK121" s="1" t="n">
        <v>0</v>
      </c>
      <c r="AL121" s="1" t="s">
        <v>302</v>
      </c>
      <c r="AM121" s="1" t="s">
        <v>303</v>
      </c>
      <c r="AN121" s="1" t="s">
        <v>304</v>
      </c>
      <c r="AO121" s="1" t="s">
        <v>305</v>
      </c>
      <c r="AP121" s="1" t="s">
        <v>306</v>
      </c>
      <c r="AQ121" s="1" t="s">
        <v>2153</v>
      </c>
      <c r="AR121" s="1" t="s">
        <v>308</v>
      </c>
      <c r="AS121" s="1"/>
      <c r="AT121" s="1"/>
      <c r="AU121" s="1" t="n">
        <v>2023</v>
      </c>
      <c r="AV121" s="1" t="n">
        <v>688</v>
      </c>
      <c r="AW121" s="1"/>
      <c r="AX121" s="1"/>
      <c r="AY121" s="1"/>
      <c r="AZ121" s="1"/>
      <c r="BA121" s="1"/>
      <c r="BB121" s="1" t="n">
        <v>255</v>
      </c>
      <c r="BC121" s="1" t="n">
        <v>268</v>
      </c>
      <c r="BD121" s="1"/>
      <c r="BE121" s="1" t="s">
        <v>2509</v>
      </c>
      <c r="BF121" s="1" t="str">
        <f aca="false">HYPERLINK("http://dx.doi.org/10.1007/978-3-031-42622-3_18","http://dx.doi.org/10.1007/978-3-031-42622-3_18")</f>
        <v>http://dx.doi.org/10.1007/978-3-031-42622-3_18</v>
      </c>
      <c r="BG121" s="1"/>
      <c r="BH121" s="1"/>
      <c r="BI121" s="1" t="n">
        <v>14</v>
      </c>
      <c r="BJ121" s="1" t="s">
        <v>310</v>
      </c>
      <c r="BK121" s="1" t="s">
        <v>100</v>
      </c>
      <c r="BL121" s="1" t="s">
        <v>311</v>
      </c>
      <c r="BM121" s="1" t="s">
        <v>2155</v>
      </c>
      <c r="BN121" s="1"/>
      <c r="BO121" s="1"/>
      <c r="BP121" s="1"/>
      <c r="BQ121" s="1"/>
      <c r="BR121" s="1" t="s">
        <v>103</v>
      </c>
      <c r="BS121" s="1" t="s">
        <v>2510</v>
      </c>
      <c r="BT121" s="1" t="str">
        <f aca="false">HYPERLINK("https%3A%2F%2Fwww.webofscience.com%2Fwos%2Fwoscc%2Ffull-record%2FWOS:001359444600018","View Full Record in Web of Science")</f>
        <v>View Full Record in Web of Science</v>
      </c>
    </row>
    <row r="122" customFormat="false" ht="12.75" hidden="false" customHeight="false" outlineLevel="0" collapsed="false">
      <c r="A122" s="1" t="s">
        <v>72</v>
      </c>
      <c r="B122" s="1" t="s">
        <v>2511</v>
      </c>
      <c r="C122" s="1"/>
      <c r="D122" s="1" t="s">
        <v>2140</v>
      </c>
      <c r="E122" s="1"/>
      <c r="F122" s="1" t="s">
        <v>2512</v>
      </c>
      <c r="G122" s="1"/>
      <c r="H122" s="1"/>
      <c r="I122" s="1" t="s">
        <v>2513</v>
      </c>
      <c r="J122" s="1" t="s">
        <v>2142</v>
      </c>
      <c r="K122" s="1" t="s">
        <v>289</v>
      </c>
      <c r="L122" s="1"/>
      <c r="M122" s="1" t="s">
        <v>78</v>
      </c>
      <c r="N122" s="1" t="s">
        <v>79</v>
      </c>
      <c r="O122" s="1" t="s">
        <v>2143</v>
      </c>
      <c r="P122" s="1" t="s">
        <v>2144</v>
      </c>
      <c r="Q122" s="1" t="s">
        <v>2145</v>
      </c>
      <c r="R122" s="1" t="s">
        <v>2146</v>
      </c>
      <c r="S122" s="1"/>
      <c r="T122" s="1" t="s">
        <v>2514</v>
      </c>
      <c r="U122" s="1" t="s">
        <v>2515</v>
      </c>
      <c r="V122" s="1" t="s">
        <v>2516</v>
      </c>
      <c r="W122" s="1" t="s">
        <v>2517</v>
      </c>
      <c r="X122" s="1" t="s">
        <v>86</v>
      </c>
      <c r="Y122" s="1" t="s">
        <v>2518</v>
      </c>
      <c r="Z122" s="1" t="s">
        <v>2519</v>
      </c>
      <c r="AA122" s="1"/>
      <c r="AB122" s="1"/>
      <c r="AC122" s="1"/>
      <c r="AD122" s="1"/>
      <c r="AE122" s="1"/>
      <c r="AF122" s="1"/>
      <c r="AG122" s="1" t="n">
        <v>37</v>
      </c>
      <c r="AH122" s="1" t="n">
        <v>0</v>
      </c>
      <c r="AI122" s="1" t="n">
        <v>0</v>
      </c>
      <c r="AJ122" s="1" t="n">
        <v>0</v>
      </c>
      <c r="AK122" s="1" t="n">
        <v>0</v>
      </c>
      <c r="AL122" s="1" t="s">
        <v>302</v>
      </c>
      <c r="AM122" s="1" t="s">
        <v>303</v>
      </c>
      <c r="AN122" s="1" t="s">
        <v>304</v>
      </c>
      <c r="AO122" s="1" t="s">
        <v>305</v>
      </c>
      <c r="AP122" s="1" t="s">
        <v>306</v>
      </c>
      <c r="AQ122" s="1" t="s">
        <v>2153</v>
      </c>
      <c r="AR122" s="1" t="s">
        <v>308</v>
      </c>
      <c r="AS122" s="1"/>
      <c r="AT122" s="1"/>
      <c r="AU122" s="1" t="n">
        <v>2023</v>
      </c>
      <c r="AV122" s="1" t="n">
        <v>688</v>
      </c>
      <c r="AW122" s="1"/>
      <c r="AX122" s="1"/>
      <c r="AY122" s="1"/>
      <c r="AZ122" s="1"/>
      <c r="BA122" s="1"/>
      <c r="BB122" s="1" t="n">
        <v>269</v>
      </c>
      <c r="BC122" s="1" t="n">
        <v>281</v>
      </c>
      <c r="BD122" s="1"/>
      <c r="BE122" s="1" t="s">
        <v>2520</v>
      </c>
      <c r="BF122" s="1" t="str">
        <f aca="false">HYPERLINK("http://dx.doi.org/10.1007/978-3-031-42622-3_19","http://dx.doi.org/10.1007/978-3-031-42622-3_19")</f>
        <v>http://dx.doi.org/10.1007/978-3-031-42622-3_19</v>
      </c>
      <c r="BG122" s="1"/>
      <c r="BH122" s="1"/>
      <c r="BI122" s="1" t="n">
        <v>13</v>
      </c>
      <c r="BJ122" s="1" t="s">
        <v>310</v>
      </c>
      <c r="BK122" s="1" t="s">
        <v>100</v>
      </c>
      <c r="BL122" s="1" t="s">
        <v>311</v>
      </c>
      <c r="BM122" s="1" t="s">
        <v>2155</v>
      </c>
      <c r="BN122" s="1"/>
      <c r="BO122" s="1"/>
      <c r="BP122" s="1"/>
      <c r="BQ122" s="1"/>
      <c r="BR122" s="1" t="s">
        <v>103</v>
      </c>
      <c r="BS122" s="1" t="s">
        <v>2521</v>
      </c>
      <c r="BT122" s="1" t="str">
        <f aca="false">HYPERLINK("https%3A%2F%2Fwww.webofscience.com%2Fwos%2Fwoscc%2Ffull-record%2FWOS:001359444600019","View Full Record in Web of Science")</f>
        <v>View Full Record in Web of Science</v>
      </c>
    </row>
    <row r="123" customFormat="false" ht="12.75" hidden="false" customHeight="false" outlineLevel="0" collapsed="false">
      <c r="A123" s="1" t="s">
        <v>181</v>
      </c>
      <c r="B123" s="1" t="s">
        <v>2522</v>
      </c>
      <c r="C123" s="1"/>
      <c r="D123" s="1"/>
      <c r="E123" s="1"/>
      <c r="F123" s="1" t="s">
        <v>2523</v>
      </c>
      <c r="G123" s="1"/>
      <c r="H123" s="1"/>
      <c r="I123" s="1" t="s">
        <v>2524</v>
      </c>
      <c r="J123" s="1" t="s">
        <v>2525</v>
      </c>
      <c r="K123" s="1"/>
      <c r="L123" s="1"/>
      <c r="M123" s="1" t="s">
        <v>78</v>
      </c>
      <c r="N123" s="1" t="s">
        <v>186</v>
      </c>
      <c r="O123" s="1"/>
      <c r="P123" s="1"/>
      <c r="Q123" s="1"/>
      <c r="R123" s="1"/>
      <c r="S123" s="1"/>
      <c r="T123" s="1" t="s">
        <v>2526</v>
      </c>
      <c r="U123" s="1" t="s">
        <v>2527</v>
      </c>
      <c r="V123" s="1" t="s">
        <v>2528</v>
      </c>
      <c r="W123" s="1" t="s">
        <v>2529</v>
      </c>
      <c r="X123" s="1" t="s">
        <v>86</v>
      </c>
      <c r="Y123" s="1" t="s">
        <v>2530</v>
      </c>
      <c r="Z123" s="1" t="s">
        <v>2531</v>
      </c>
      <c r="AA123" s="1" t="s">
        <v>455</v>
      </c>
      <c r="AB123" s="1" t="s">
        <v>2532</v>
      </c>
      <c r="AC123" s="1" t="s">
        <v>2533</v>
      </c>
      <c r="AD123" s="1" t="s">
        <v>2533</v>
      </c>
      <c r="AE123" s="1" t="s">
        <v>2534</v>
      </c>
      <c r="AF123" s="1"/>
      <c r="AG123" s="1" t="n">
        <v>137</v>
      </c>
      <c r="AH123" s="1" t="n">
        <v>35</v>
      </c>
      <c r="AI123" s="1" t="n">
        <v>37</v>
      </c>
      <c r="AJ123" s="1" t="n">
        <v>8</v>
      </c>
      <c r="AK123" s="1" t="n">
        <v>62</v>
      </c>
      <c r="AL123" s="1" t="s">
        <v>893</v>
      </c>
      <c r="AM123" s="1" t="s">
        <v>894</v>
      </c>
      <c r="AN123" s="1" t="s">
        <v>895</v>
      </c>
      <c r="AO123" s="1" t="s">
        <v>2535</v>
      </c>
      <c r="AP123" s="1" t="s">
        <v>2536</v>
      </c>
      <c r="AQ123" s="1"/>
      <c r="AR123" s="1" t="s">
        <v>2537</v>
      </c>
      <c r="AS123" s="1" t="s">
        <v>2538</v>
      </c>
      <c r="AT123" s="1" t="s">
        <v>754</v>
      </c>
      <c r="AU123" s="1" t="n">
        <v>2022</v>
      </c>
      <c r="AV123" s="1" t="n">
        <v>137</v>
      </c>
      <c r="AW123" s="1"/>
      <c r="AX123" s="1"/>
      <c r="AY123" s="1"/>
      <c r="AZ123" s="1"/>
      <c r="BA123" s="1"/>
      <c r="BB123" s="1"/>
      <c r="BC123" s="1"/>
      <c r="BD123" s="1" t="n">
        <v>103606</v>
      </c>
      <c r="BE123" s="1" t="s">
        <v>2539</v>
      </c>
      <c r="BF123" s="1" t="str">
        <f aca="false">HYPERLINK("http://dx.doi.org/10.1016/j.compind.2022.103606","http://dx.doi.org/10.1016/j.compind.2022.103606")</f>
        <v>http://dx.doi.org/10.1016/j.compind.2022.103606</v>
      </c>
      <c r="BG123" s="1"/>
      <c r="BH123" s="1" t="s">
        <v>2540</v>
      </c>
      <c r="BI123" s="1" t="n">
        <v>21</v>
      </c>
      <c r="BJ123" s="1" t="s">
        <v>946</v>
      </c>
      <c r="BK123" s="1" t="s">
        <v>398</v>
      </c>
      <c r="BL123" s="1" t="s">
        <v>101</v>
      </c>
      <c r="BM123" s="1" t="s">
        <v>2541</v>
      </c>
      <c r="BN123" s="1"/>
      <c r="BO123" s="1" t="s">
        <v>207</v>
      </c>
      <c r="BP123" s="1"/>
      <c r="BQ123" s="1"/>
      <c r="BR123" s="1" t="s">
        <v>103</v>
      </c>
      <c r="BS123" s="1" t="s">
        <v>2542</v>
      </c>
      <c r="BT123" s="1" t="str">
        <f aca="false">HYPERLINK("https%3A%2F%2Fwww.webofscience.com%2Fwos%2Fwoscc%2Ffull-record%2FWOS:000754192300002","View Full Record in Web of Science")</f>
        <v>View Full Record in Web of Science</v>
      </c>
    </row>
    <row r="124" customFormat="false" ht="12.75" hidden="false" customHeight="false" outlineLevel="0" collapsed="false">
      <c r="A124" s="1" t="s">
        <v>181</v>
      </c>
      <c r="B124" s="1" t="s">
        <v>1952</v>
      </c>
      <c r="C124" s="1"/>
      <c r="D124" s="1"/>
      <c r="E124" s="1"/>
      <c r="F124" s="1" t="s">
        <v>1953</v>
      </c>
      <c r="G124" s="1"/>
      <c r="H124" s="1"/>
      <c r="I124" s="1" t="s">
        <v>2543</v>
      </c>
      <c r="J124" s="1" t="s">
        <v>2544</v>
      </c>
      <c r="K124" s="1"/>
      <c r="L124" s="1"/>
      <c r="M124" s="1" t="s">
        <v>78</v>
      </c>
      <c r="N124" s="1" t="s">
        <v>186</v>
      </c>
      <c r="O124" s="1"/>
      <c r="P124" s="1"/>
      <c r="Q124" s="1"/>
      <c r="R124" s="1"/>
      <c r="S124" s="1"/>
      <c r="T124" s="1"/>
      <c r="U124" s="1" t="s">
        <v>2545</v>
      </c>
      <c r="V124" s="1" t="s">
        <v>2546</v>
      </c>
      <c r="W124" s="1" t="s">
        <v>2026</v>
      </c>
      <c r="X124" s="1" t="s">
        <v>86</v>
      </c>
      <c r="Y124" s="1" t="s">
        <v>2027</v>
      </c>
      <c r="Z124" s="1" t="s">
        <v>1961</v>
      </c>
      <c r="AA124" s="1"/>
      <c r="AB124" s="1"/>
      <c r="AC124" s="1" t="s">
        <v>2547</v>
      </c>
      <c r="AD124" s="1" t="s">
        <v>2548</v>
      </c>
      <c r="AE124" s="1" t="s">
        <v>2549</v>
      </c>
      <c r="AF124" s="1"/>
      <c r="AG124" s="1" t="n">
        <v>52</v>
      </c>
      <c r="AH124" s="1" t="n">
        <v>2</v>
      </c>
      <c r="AI124" s="1" t="n">
        <v>2</v>
      </c>
      <c r="AJ124" s="1" t="n">
        <v>1</v>
      </c>
      <c r="AK124" s="1" t="n">
        <v>3</v>
      </c>
      <c r="AL124" s="1" t="s">
        <v>1220</v>
      </c>
      <c r="AM124" s="1" t="s">
        <v>1221</v>
      </c>
      <c r="AN124" s="1" t="s">
        <v>1222</v>
      </c>
      <c r="AO124" s="1" t="s">
        <v>2550</v>
      </c>
      <c r="AP124" s="1" t="s">
        <v>2551</v>
      </c>
      <c r="AQ124" s="1"/>
      <c r="AR124" s="1" t="s">
        <v>2552</v>
      </c>
      <c r="AS124" s="1" t="s">
        <v>2553</v>
      </c>
      <c r="AT124" s="1" t="s">
        <v>2554</v>
      </c>
      <c r="AU124" s="1" t="n">
        <v>2022</v>
      </c>
      <c r="AV124" s="1" t="n">
        <v>27</v>
      </c>
      <c r="AW124" s="1" t="n">
        <v>1</v>
      </c>
      <c r="AX124" s="1"/>
      <c r="AY124" s="1"/>
      <c r="AZ124" s="1"/>
      <c r="BA124" s="1"/>
      <c r="BB124" s="1" t="n">
        <v>71</v>
      </c>
      <c r="BC124" s="1" t="n">
        <v>93</v>
      </c>
      <c r="BD124" s="1"/>
      <c r="BE124" s="1" t="s">
        <v>2555</v>
      </c>
      <c r="BF124" s="1" t="str">
        <f aca="false">HYPERLINK("http://dx.doi.org/10.1080/13602365.2022.2054015","http://dx.doi.org/10.1080/13602365.2022.2054015")</f>
        <v>http://dx.doi.org/10.1080/13602365.2022.2054015</v>
      </c>
      <c r="BG124" s="1"/>
      <c r="BH124" s="1" t="s">
        <v>2540</v>
      </c>
      <c r="BI124" s="1" t="n">
        <v>23</v>
      </c>
      <c r="BJ124" s="1" t="s">
        <v>774</v>
      </c>
      <c r="BK124" s="1" t="s">
        <v>775</v>
      </c>
      <c r="BL124" s="1" t="s">
        <v>774</v>
      </c>
      <c r="BM124" s="1" t="s">
        <v>2556</v>
      </c>
      <c r="BN124" s="1"/>
      <c r="BO124" s="1" t="s">
        <v>207</v>
      </c>
      <c r="BP124" s="1"/>
      <c r="BQ124" s="1"/>
      <c r="BR124" s="1" t="s">
        <v>103</v>
      </c>
      <c r="BS124" s="1" t="s">
        <v>2557</v>
      </c>
      <c r="BT124" s="1" t="str">
        <f aca="false">HYPERLINK("https%3A%2F%2Fwww.webofscience.com%2Fwos%2Fwoscc%2Ffull-record%2FWOS:000794304700001","View Full Record in Web of Science")</f>
        <v>View Full Record in Web of Science</v>
      </c>
    </row>
    <row r="125" customFormat="false" ht="12.75" hidden="false" customHeight="false" outlineLevel="0" collapsed="false">
      <c r="A125" s="1" t="s">
        <v>181</v>
      </c>
      <c r="B125" s="1" t="s">
        <v>2558</v>
      </c>
      <c r="C125" s="1"/>
      <c r="D125" s="1"/>
      <c r="E125" s="1"/>
      <c r="F125" s="1" t="s">
        <v>2559</v>
      </c>
      <c r="G125" s="1"/>
      <c r="H125" s="1"/>
      <c r="I125" s="1" t="s">
        <v>2560</v>
      </c>
      <c r="J125" s="1" t="s">
        <v>2561</v>
      </c>
      <c r="K125" s="1"/>
      <c r="L125" s="1"/>
      <c r="M125" s="1" t="s">
        <v>78</v>
      </c>
      <c r="N125" s="1" t="s">
        <v>186</v>
      </c>
      <c r="O125" s="1"/>
      <c r="P125" s="1"/>
      <c r="Q125" s="1"/>
      <c r="R125" s="1"/>
      <c r="S125" s="1"/>
      <c r="T125" s="1" t="s">
        <v>2562</v>
      </c>
      <c r="U125" s="1" t="s">
        <v>2563</v>
      </c>
      <c r="V125" s="1" t="s">
        <v>2564</v>
      </c>
      <c r="W125" s="1" t="s">
        <v>2565</v>
      </c>
      <c r="X125" s="1" t="s">
        <v>86</v>
      </c>
      <c r="Y125" s="1" t="s">
        <v>2566</v>
      </c>
      <c r="Z125" s="1" t="s">
        <v>2567</v>
      </c>
      <c r="AA125" s="1" t="s">
        <v>595</v>
      </c>
      <c r="AB125" s="1" t="s">
        <v>2568</v>
      </c>
      <c r="AC125" s="1"/>
      <c r="AD125" s="1"/>
      <c r="AE125" s="1"/>
      <c r="AF125" s="1"/>
      <c r="AG125" s="1" t="n">
        <v>34</v>
      </c>
      <c r="AH125" s="1" t="n">
        <v>0</v>
      </c>
      <c r="AI125" s="1" t="n">
        <v>0</v>
      </c>
      <c r="AJ125" s="1" t="n">
        <v>0</v>
      </c>
      <c r="AK125" s="1" t="n">
        <v>6</v>
      </c>
      <c r="AL125" s="1" t="s">
        <v>2569</v>
      </c>
      <c r="AM125" s="1" t="s">
        <v>2382</v>
      </c>
      <c r="AN125" s="1" t="s">
        <v>2570</v>
      </c>
      <c r="AO125" s="1" t="s">
        <v>2571</v>
      </c>
      <c r="AP125" s="1" t="s">
        <v>2572</v>
      </c>
      <c r="AQ125" s="1"/>
      <c r="AR125" s="1" t="s">
        <v>2573</v>
      </c>
      <c r="AS125" s="1" t="s">
        <v>2574</v>
      </c>
      <c r="AT125" s="1" t="s">
        <v>537</v>
      </c>
      <c r="AU125" s="1" t="n">
        <v>2020</v>
      </c>
      <c r="AV125" s="1" t="n">
        <v>38</v>
      </c>
      <c r="AW125" s="1" t="n">
        <v>2</v>
      </c>
      <c r="AX125" s="1"/>
      <c r="AY125" s="1"/>
      <c r="AZ125" s="1"/>
      <c r="BA125" s="1"/>
      <c r="BB125" s="1" t="n">
        <v>62</v>
      </c>
      <c r="BC125" s="1" t="n">
        <v>70</v>
      </c>
      <c r="BD125" s="1"/>
      <c r="BE125" s="1" t="s">
        <v>2575</v>
      </c>
      <c r="BF125" s="1" t="str">
        <f aca="false">HYPERLINK("http://dx.doi.org/10.1097/CIN.0000000000000578","http://dx.doi.org/10.1097/CIN.0000000000000578")</f>
        <v>http://dx.doi.org/10.1097/CIN.0000000000000578</v>
      </c>
      <c r="BG125" s="1"/>
      <c r="BH125" s="1"/>
      <c r="BI125" s="1" t="n">
        <v>9</v>
      </c>
      <c r="BJ125" s="1" t="s">
        <v>2576</v>
      </c>
      <c r="BK125" s="1" t="s">
        <v>398</v>
      </c>
      <c r="BL125" s="1" t="s">
        <v>2577</v>
      </c>
      <c r="BM125" s="1" t="s">
        <v>2578</v>
      </c>
      <c r="BN125" s="1" t="n">
        <v>31688092</v>
      </c>
      <c r="BO125" s="1" t="s">
        <v>612</v>
      </c>
      <c r="BP125" s="1"/>
      <c r="BQ125" s="1"/>
      <c r="BR125" s="1" t="s">
        <v>103</v>
      </c>
      <c r="BS125" s="1" t="s">
        <v>2579</v>
      </c>
      <c r="BT125" s="1" t="str">
        <f aca="false">HYPERLINK("https%3A%2F%2Fwww.webofscience.com%2Fwos%2Fwoscc%2Ffull-record%2FWOS:000513579100003","View Full Record in Web of Science")</f>
        <v>View Full Record in Web of Science</v>
      </c>
    </row>
    <row r="126" customFormat="false" ht="12.75" hidden="false" customHeight="false" outlineLevel="0" collapsed="false">
      <c r="A126" s="1" t="s">
        <v>72</v>
      </c>
      <c r="B126" s="1" t="s">
        <v>2580</v>
      </c>
      <c r="C126" s="1"/>
      <c r="D126" s="1"/>
      <c r="E126" s="1" t="s">
        <v>106</v>
      </c>
      <c r="F126" s="1" t="s">
        <v>2581</v>
      </c>
      <c r="G126" s="1"/>
      <c r="H126" s="1"/>
      <c r="I126" s="1" t="s">
        <v>2582</v>
      </c>
      <c r="J126" s="1" t="s">
        <v>2583</v>
      </c>
      <c r="K126" s="1"/>
      <c r="L126" s="1"/>
      <c r="M126" s="1" t="s">
        <v>78</v>
      </c>
      <c r="N126" s="1" t="s">
        <v>79</v>
      </c>
      <c r="O126" s="1" t="s">
        <v>2584</v>
      </c>
      <c r="P126" s="1" t="s">
        <v>2585</v>
      </c>
      <c r="Q126" s="1" t="s">
        <v>2586</v>
      </c>
      <c r="R126" s="1" t="s">
        <v>1086</v>
      </c>
      <c r="S126" s="1"/>
      <c r="T126" s="1" t="s">
        <v>2587</v>
      </c>
      <c r="U126" s="1"/>
      <c r="V126" s="1" t="s">
        <v>2588</v>
      </c>
      <c r="W126" s="1" t="s">
        <v>2589</v>
      </c>
      <c r="X126" s="1" t="s">
        <v>86</v>
      </c>
      <c r="Y126" s="1" t="s">
        <v>555</v>
      </c>
      <c r="Z126" s="1" t="s">
        <v>2590</v>
      </c>
      <c r="AA126" s="1" t="s">
        <v>2591</v>
      </c>
      <c r="AB126" s="1" t="s">
        <v>2091</v>
      </c>
      <c r="AC126" s="1" t="s">
        <v>2592</v>
      </c>
      <c r="AD126" s="1" t="s">
        <v>2593</v>
      </c>
      <c r="AE126" s="1" t="s">
        <v>2594</v>
      </c>
      <c r="AF126" s="1"/>
      <c r="AG126" s="1" t="n">
        <v>29</v>
      </c>
      <c r="AH126" s="1" t="n">
        <v>9</v>
      </c>
      <c r="AI126" s="1" t="n">
        <v>9</v>
      </c>
      <c r="AJ126" s="1" t="n">
        <v>1</v>
      </c>
      <c r="AK126" s="1" t="n">
        <v>7</v>
      </c>
      <c r="AL126" s="1" t="s">
        <v>172</v>
      </c>
      <c r="AM126" s="1" t="s">
        <v>173</v>
      </c>
      <c r="AN126" s="1" t="s">
        <v>174</v>
      </c>
      <c r="AO126" s="1"/>
      <c r="AP126" s="1"/>
      <c r="AQ126" s="1" t="s">
        <v>2595</v>
      </c>
      <c r="AR126" s="1"/>
      <c r="AS126" s="1"/>
      <c r="AT126" s="1"/>
      <c r="AU126" s="1" t="n">
        <v>2020</v>
      </c>
      <c r="AV126" s="1"/>
      <c r="AW126" s="1"/>
      <c r="AX126" s="1"/>
      <c r="AY126" s="1"/>
      <c r="AZ126" s="1"/>
      <c r="BA126" s="1"/>
      <c r="BB126" s="1" t="n">
        <v>477</v>
      </c>
      <c r="BC126" s="1" t="n">
        <v>484</v>
      </c>
      <c r="BD126" s="1"/>
      <c r="BE126" s="1" t="s">
        <v>2596</v>
      </c>
      <c r="BF126" s="1" t="str">
        <f aca="false">HYPERLINK("http://dx.doi.org/10.1109/VRW50115.2020.0-176","http://dx.doi.org/10.1109/VRW50115.2020.0-176")</f>
        <v>http://dx.doi.org/10.1109/VRW50115.2020.0-176</v>
      </c>
      <c r="BG126" s="1"/>
      <c r="BH126" s="1"/>
      <c r="BI126" s="1" t="n">
        <v>8</v>
      </c>
      <c r="BJ126" s="1" t="s">
        <v>2597</v>
      </c>
      <c r="BK126" s="1" t="s">
        <v>100</v>
      </c>
      <c r="BL126" s="1" t="s">
        <v>1341</v>
      </c>
      <c r="BM126" s="1" t="s">
        <v>2598</v>
      </c>
      <c r="BN126" s="1"/>
      <c r="BO126" s="1"/>
      <c r="BP126" s="1"/>
      <c r="BQ126" s="1"/>
      <c r="BR126" s="1" t="s">
        <v>103</v>
      </c>
      <c r="BS126" s="1" t="s">
        <v>2599</v>
      </c>
      <c r="BT126" s="1" t="str">
        <f aca="false">HYPERLINK("https%3A%2F%2Fwww.webofscience.com%2Fwos%2Fwoscc%2Ffull-record%2FWOS:000578054300093","View Full Record in Web of Science")</f>
        <v>View Full Record in Web of Science</v>
      </c>
    </row>
    <row r="127" customFormat="false" ht="12.75" hidden="false" customHeight="false" outlineLevel="0" collapsed="false">
      <c r="A127" s="1" t="s">
        <v>72</v>
      </c>
      <c r="B127" s="1" t="s">
        <v>2600</v>
      </c>
      <c r="C127" s="1"/>
      <c r="D127" s="1"/>
      <c r="E127" s="1" t="s">
        <v>74</v>
      </c>
      <c r="F127" s="1" t="s">
        <v>2601</v>
      </c>
      <c r="G127" s="1"/>
      <c r="H127" s="1"/>
      <c r="I127" s="1" t="s">
        <v>2602</v>
      </c>
      <c r="J127" s="1" t="s">
        <v>2603</v>
      </c>
      <c r="K127" s="1"/>
      <c r="L127" s="1"/>
      <c r="M127" s="1" t="s">
        <v>78</v>
      </c>
      <c r="N127" s="1" t="s">
        <v>79</v>
      </c>
      <c r="O127" s="1" t="s">
        <v>2604</v>
      </c>
      <c r="P127" s="1" t="s">
        <v>2605</v>
      </c>
      <c r="Q127" s="1" t="s">
        <v>2606</v>
      </c>
      <c r="R127" s="1" t="s">
        <v>2607</v>
      </c>
      <c r="S127" s="1"/>
      <c r="T127" s="1" t="s">
        <v>2608</v>
      </c>
      <c r="U127" s="1"/>
      <c r="V127" s="1" t="s">
        <v>2609</v>
      </c>
      <c r="W127" s="1" t="s">
        <v>2610</v>
      </c>
      <c r="X127" s="1" t="s">
        <v>86</v>
      </c>
      <c r="Y127" s="1" t="s">
        <v>2611</v>
      </c>
      <c r="Z127" s="1" t="s">
        <v>2612</v>
      </c>
      <c r="AA127" s="1" t="s">
        <v>986</v>
      </c>
      <c r="AB127" s="1"/>
      <c r="AC127" s="1" t="s">
        <v>2613</v>
      </c>
      <c r="AD127" s="1" t="s">
        <v>2614</v>
      </c>
      <c r="AE127" s="1" t="s">
        <v>2615</v>
      </c>
      <c r="AF127" s="1"/>
      <c r="AG127" s="1" t="n">
        <v>13</v>
      </c>
      <c r="AH127" s="1" t="n">
        <v>5</v>
      </c>
      <c r="AI127" s="1" t="n">
        <v>6</v>
      </c>
      <c r="AJ127" s="1" t="n">
        <v>0</v>
      </c>
      <c r="AK127" s="1" t="n">
        <v>0</v>
      </c>
      <c r="AL127" s="1" t="s">
        <v>94</v>
      </c>
      <c r="AM127" s="1" t="s">
        <v>95</v>
      </c>
      <c r="AN127" s="1" t="s">
        <v>96</v>
      </c>
      <c r="AO127" s="1"/>
      <c r="AP127" s="1"/>
      <c r="AQ127" s="1" t="s">
        <v>2616</v>
      </c>
      <c r="AR127" s="1"/>
      <c r="AS127" s="1"/>
      <c r="AT127" s="1"/>
      <c r="AU127" s="1" t="n">
        <v>2020</v>
      </c>
      <c r="AV127" s="1"/>
      <c r="AW127" s="1"/>
      <c r="AX127" s="1"/>
      <c r="AY127" s="1"/>
      <c r="AZ127" s="1"/>
      <c r="BA127" s="1"/>
      <c r="BB127" s="1" t="n">
        <v>67</v>
      </c>
      <c r="BC127" s="1" t="n">
        <v>76</v>
      </c>
      <c r="BD127" s="1"/>
      <c r="BE127" s="1" t="s">
        <v>2617</v>
      </c>
      <c r="BF127" s="1" t="str">
        <f aca="false">HYPERLINK("http://dx.doi.org/10.1145/3387906.3388629","http://dx.doi.org/10.1145/3387906.3388629")</f>
        <v>http://dx.doi.org/10.1145/3387906.3388629</v>
      </c>
      <c r="BG127" s="1"/>
      <c r="BH127" s="1"/>
      <c r="BI127" s="1" t="n">
        <v>10</v>
      </c>
      <c r="BJ127" s="1" t="s">
        <v>2618</v>
      </c>
      <c r="BK127" s="1" t="s">
        <v>100</v>
      </c>
      <c r="BL127" s="1" t="s">
        <v>2619</v>
      </c>
      <c r="BM127" s="1" t="s">
        <v>2620</v>
      </c>
      <c r="BN127" s="1"/>
      <c r="BO127" s="1" t="s">
        <v>179</v>
      </c>
      <c r="BP127" s="1"/>
      <c r="BQ127" s="1"/>
      <c r="BR127" s="1" t="s">
        <v>103</v>
      </c>
      <c r="BS127" s="1" t="s">
        <v>2621</v>
      </c>
      <c r="BT127" s="1" t="str">
        <f aca="false">HYPERLINK("https%3A%2F%2Fwww.webofscience.com%2Fwos%2Fwoscc%2Ffull-record%2FWOS:001048482100008","View Full Record in Web of Science")</f>
        <v>View Full Record in Web of Science</v>
      </c>
    </row>
    <row r="128" customFormat="false" ht="12.75" hidden="false" customHeight="false" outlineLevel="0" collapsed="false">
      <c r="A128" s="1" t="s">
        <v>181</v>
      </c>
      <c r="B128" s="1" t="s">
        <v>2622</v>
      </c>
      <c r="C128" s="1"/>
      <c r="D128" s="1"/>
      <c r="E128" s="1"/>
      <c r="F128" s="1" t="s">
        <v>2623</v>
      </c>
      <c r="G128" s="1"/>
      <c r="H128" s="1"/>
      <c r="I128" s="1" t="s">
        <v>2624</v>
      </c>
      <c r="J128" s="1" t="s">
        <v>1347</v>
      </c>
      <c r="K128" s="1"/>
      <c r="L128" s="1"/>
      <c r="M128" s="1" t="s">
        <v>78</v>
      </c>
      <c r="N128" s="1" t="s">
        <v>618</v>
      </c>
      <c r="O128" s="1"/>
      <c r="P128" s="1"/>
      <c r="Q128" s="1"/>
      <c r="R128" s="1"/>
      <c r="S128" s="1"/>
      <c r="T128" s="1" t="s">
        <v>2625</v>
      </c>
      <c r="U128" s="1" t="s">
        <v>2626</v>
      </c>
      <c r="V128" s="1" t="s">
        <v>2627</v>
      </c>
      <c r="W128" s="1" t="s">
        <v>2628</v>
      </c>
      <c r="X128" s="1" t="s">
        <v>86</v>
      </c>
      <c r="Y128" s="1" t="s">
        <v>2629</v>
      </c>
      <c r="Z128" s="1" t="s">
        <v>2630</v>
      </c>
      <c r="AA128" s="1" t="s">
        <v>2631</v>
      </c>
      <c r="AB128" s="1" t="s">
        <v>2632</v>
      </c>
      <c r="AC128" s="1"/>
      <c r="AD128" s="1"/>
      <c r="AE128" s="1"/>
      <c r="AF128" s="1"/>
      <c r="AG128" s="1" t="n">
        <v>69</v>
      </c>
      <c r="AH128" s="1" t="n">
        <v>14</v>
      </c>
      <c r="AI128" s="1" t="n">
        <v>17</v>
      </c>
      <c r="AJ128" s="1" t="n">
        <v>2</v>
      </c>
      <c r="AK128" s="1" t="n">
        <v>37</v>
      </c>
      <c r="AL128" s="1" t="s">
        <v>1355</v>
      </c>
      <c r="AM128" s="1" t="s">
        <v>1356</v>
      </c>
      <c r="AN128" s="1" t="s">
        <v>1357</v>
      </c>
      <c r="AO128" s="1" t="s">
        <v>1358</v>
      </c>
      <c r="AP128" s="1" t="s">
        <v>1359</v>
      </c>
      <c r="AQ128" s="1"/>
      <c r="AR128" s="1" t="s">
        <v>1360</v>
      </c>
      <c r="AS128" s="1" t="s">
        <v>1361</v>
      </c>
      <c r="AT128" s="1" t="s">
        <v>474</v>
      </c>
      <c r="AU128" s="1" t="n">
        <v>2020</v>
      </c>
      <c r="AV128" s="1" t="n">
        <v>26</v>
      </c>
      <c r="AW128" s="1" t="n">
        <v>3</v>
      </c>
      <c r="AX128" s="1"/>
      <c r="AY128" s="1"/>
      <c r="AZ128" s="1"/>
      <c r="BA128" s="1"/>
      <c r="BB128" s="1" t="n">
        <v>1926</v>
      </c>
      <c r="BC128" s="1" t="n">
        <v>1951</v>
      </c>
      <c r="BD128" s="1" t="n">
        <v>1460458219892387</v>
      </c>
      <c r="BE128" s="1" t="s">
        <v>2633</v>
      </c>
      <c r="BF128" s="1" t="str">
        <f aca="false">HYPERLINK("http://dx.doi.org/10.1177/1460458219892387","http://dx.doi.org/10.1177/1460458219892387")</f>
        <v>http://dx.doi.org/10.1177/1460458219892387</v>
      </c>
      <c r="BG128" s="1"/>
      <c r="BH128" s="1" t="s">
        <v>1141</v>
      </c>
      <c r="BI128" s="1" t="n">
        <v>26</v>
      </c>
      <c r="BJ128" s="1" t="s">
        <v>854</v>
      </c>
      <c r="BK128" s="1" t="s">
        <v>398</v>
      </c>
      <c r="BL128" s="1" t="s">
        <v>854</v>
      </c>
      <c r="BM128" s="1" t="s">
        <v>2634</v>
      </c>
      <c r="BN128" s="1" t="n">
        <v>31884843</v>
      </c>
      <c r="BO128" s="1" t="s">
        <v>207</v>
      </c>
      <c r="BP128" s="1"/>
      <c r="BQ128" s="1"/>
      <c r="BR128" s="1" t="s">
        <v>103</v>
      </c>
      <c r="BS128" s="1" t="s">
        <v>2635</v>
      </c>
      <c r="BT128" s="1" t="str">
        <f aca="false">HYPERLINK("https%3A%2F%2Fwww.webofscience.com%2Fwos%2Fwoscc%2Ffull-record%2FWOS:000507099100001","View Full Record in Web of Science")</f>
        <v>View Full Record in Web of Science</v>
      </c>
    </row>
    <row r="129" customFormat="false" ht="12.75" hidden="false" customHeight="false" outlineLevel="0" collapsed="false">
      <c r="A129" s="1" t="s">
        <v>181</v>
      </c>
      <c r="B129" s="1" t="s">
        <v>1509</v>
      </c>
      <c r="C129" s="1"/>
      <c r="D129" s="1"/>
      <c r="E129" s="1"/>
      <c r="F129" s="1" t="s">
        <v>1511</v>
      </c>
      <c r="G129" s="1"/>
      <c r="H129" s="1"/>
      <c r="I129" s="1" t="s">
        <v>2636</v>
      </c>
      <c r="J129" s="1" t="s">
        <v>1608</v>
      </c>
      <c r="K129" s="1"/>
      <c r="L129" s="1"/>
      <c r="M129" s="1" t="s">
        <v>78</v>
      </c>
      <c r="N129" s="1" t="s">
        <v>186</v>
      </c>
      <c r="O129" s="1"/>
      <c r="P129" s="1"/>
      <c r="Q129" s="1"/>
      <c r="R129" s="1"/>
      <c r="S129" s="1"/>
      <c r="T129" s="1" t="s">
        <v>2637</v>
      </c>
      <c r="U129" s="1"/>
      <c r="V129" s="1" t="s">
        <v>2638</v>
      </c>
      <c r="W129" s="1" t="s">
        <v>2639</v>
      </c>
      <c r="X129" s="1" t="s">
        <v>86</v>
      </c>
      <c r="Y129" s="1" t="s">
        <v>2640</v>
      </c>
      <c r="Z129" s="1" t="s">
        <v>2641</v>
      </c>
      <c r="AA129" s="1" t="s">
        <v>1524</v>
      </c>
      <c r="AB129" s="1" t="s">
        <v>1762</v>
      </c>
      <c r="AC129" s="1" t="s">
        <v>2642</v>
      </c>
      <c r="AD129" s="1" t="s">
        <v>2643</v>
      </c>
      <c r="AE129" s="1" t="s">
        <v>2644</v>
      </c>
      <c r="AF129" s="1"/>
      <c r="AG129" s="1" t="n">
        <v>34</v>
      </c>
      <c r="AH129" s="1" t="n">
        <v>1</v>
      </c>
      <c r="AI129" s="1" t="n">
        <v>1</v>
      </c>
      <c r="AJ129" s="1" t="n">
        <v>4</v>
      </c>
      <c r="AK129" s="1" t="n">
        <v>4</v>
      </c>
      <c r="AL129" s="1" t="s">
        <v>270</v>
      </c>
      <c r="AM129" s="1" t="s">
        <v>271</v>
      </c>
      <c r="AN129" s="1" t="s">
        <v>272</v>
      </c>
      <c r="AO129" s="1" t="s">
        <v>1619</v>
      </c>
      <c r="AP129" s="1" t="s">
        <v>1620</v>
      </c>
      <c r="AQ129" s="1"/>
      <c r="AR129" s="1" t="s">
        <v>1621</v>
      </c>
      <c r="AS129" s="1" t="s">
        <v>1622</v>
      </c>
      <c r="AT129" s="1" t="s">
        <v>537</v>
      </c>
      <c r="AU129" s="1" t="n">
        <v>2025</v>
      </c>
      <c r="AV129" s="1" t="n">
        <v>16</v>
      </c>
      <c r="AW129" s="1" t="n">
        <v>1</v>
      </c>
      <c r="AX129" s="1"/>
      <c r="AY129" s="1"/>
      <c r="AZ129" s="1"/>
      <c r="BA129" s="1"/>
      <c r="BB129" s="1"/>
      <c r="BC129" s="1"/>
      <c r="BD129" s="1" t="n">
        <v>14</v>
      </c>
      <c r="BE129" s="1" t="s">
        <v>2645</v>
      </c>
      <c r="BF129" s="1" t="str">
        <f aca="false">HYPERLINK("http://dx.doi.org/10.1007/s12530-024-09635-z","http://dx.doi.org/10.1007/s12530-024-09635-z")</f>
        <v>http://dx.doi.org/10.1007/s12530-024-09635-z</v>
      </c>
      <c r="BG129" s="1"/>
      <c r="BH129" s="1"/>
      <c r="BI129" s="1" t="n">
        <v>21</v>
      </c>
      <c r="BJ129" s="1" t="s">
        <v>1625</v>
      </c>
      <c r="BK129" s="1" t="s">
        <v>204</v>
      </c>
      <c r="BL129" s="1" t="s">
        <v>101</v>
      </c>
      <c r="BM129" s="1" t="s">
        <v>2646</v>
      </c>
      <c r="BN129" s="1"/>
      <c r="BO129" s="1" t="s">
        <v>282</v>
      </c>
      <c r="BP129" s="1"/>
      <c r="BQ129" s="1"/>
      <c r="BR129" s="1" t="s">
        <v>103</v>
      </c>
      <c r="BS129" s="1" t="s">
        <v>2647</v>
      </c>
      <c r="BT129" s="1" t="str">
        <f aca="false">HYPERLINK("https%3A%2F%2Fwww.webofscience.com%2Fwos%2Fwoscc%2Ffull-record%2FWOS:001363397000001","View Full Record in Web of Science")</f>
        <v>View Full Record in Web of Science</v>
      </c>
    </row>
    <row r="130" customFormat="false" ht="12.75" hidden="false" customHeight="false" outlineLevel="0" collapsed="false">
      <c r="A130" s="1" t="s">
        <v>72</v>
      </c>
      <c r="B130" s="1" t="s">
        <v>2648</v>
      </c>
      <c r="C130" s="1"/>
      <c r="D130" s="1"/>
      <c r="E130" s="1" t="s">
        <v>106</v>
      </c>
      <c r="F130" s="1" t="s">
        <v>2649</v>
      </c>
      <c r="G130" s="1"/>
      <c r="H130" s="1"/>
      <c r="I130" s="1" t="s">
        <v>2650</v>
      </c>
      <c r="J130" s="1" t="s">
        <v>1062</v>
      </c>
      <c r="K130" s="1" t="s">
        <v>1063</v>
      </c>
      <c r="L130" s="1"/>
      <c r="M130" s="1" t="s">
        <v>78</v>
      </c>
      <c r="N130" s="1" t="s">
        <v>79</v>
      </c>
      <c r="O130" s="1" t="s">
        <v>1064</v>
      </c>
      <c r="P130" s="1" t="s">
        <v>1065</v>
      </c>
      <c r="Q130" s="1" t="s">
        <v>1066</v>
      </c>
      <c r="R130" s="1"/>
      <c r="S130" s="1"/>
      <c r="T130" s="1" t="s">
        <v>2651</v>
      </c>
      <c r="U130" s="1"/>
      <c r="V130" s="1" t="s">
        <v>2652</v>
      </c>
      <c r="W130" s="1" t="s">
        <v>2653</v>
      </c>
      <c r="X130" s="1" t="s">
        <v>86</v>
      </c>
      <c r="Y130" s="1" t="s">
        <v>2654</v>
      </c>
      <c r="Z130" s="1" t="s">
        <v>2655</v>
      </c>
      <c r="AA130" s="1"/>
      <c r="AB130" s="1"/>
      <c r="AC130" s="1"/>
      <c r="AD130" s="1"/>
      <c r="AE130" s="1"/>
      <c r="AF130" s="1"/>
      <c r="AG130" s="1" t="n">
        <v>20</v>
      </c>
      <c r="AH130" s="1" t="n">
        <v>0</v>
      </c>
      <c r="AI130" s="1" t="n">
        <v>0</v>
      </c>
      <c r="AJ130" s="1" t="n">
        <v>1</v>
      </c>
      <c r="AK130" s="1" t="n">
        <v>1</v>
      </c>
      <c r="AL130" s="1" t="s">
        <v>106</v>
      </c>
      <c r="AM130" s="1" t="s">
        <v>95</v>
      </c>
      <c r="AN130" s="1" t="s">
        <v>122</v>
      </c>
      <c r="AO130" s="1" t="s">
        <v>1073</v>
      </c>
      <c r="AP130" s="1"/>
      <c r="AQ130" s="1" t="s">
        <v>1074</v>
      </c>
      <c r="AR130" s="1" t="s">
        <v>1075</v>
      </c>
      <c r="AS130" s="1"/>
      <c r="AT130" s="1"/>
      <c r="AU130" s="1" t="n">
        <v>2024</v>
      </c>
      <c r="AV130" s="1"/>
      <c r="AW130" s="1"/>
      <c r="AX130" s="1"/>
      <c r="AY130" s="1"/>
      <c r="AZ130" s="1"/>
      <c r="BA130" s="1"/>
      <c r="BB130" s="1" t="n">
        <v>247</v>
      </c>
      <c r="BC130" s="1" t="n">
        <v>252</v>
      </c>
      <c r="BD130" s="1"/>
      <c r="BE130" s="1" t="s">
        <v>2656</v>
      </c>
      <c r="BF130" s="1" t="str">
        <f aca="false">HYPERLINK("http://dx.doi.org/10.1109/GEM61861.2024.10585690","http://dx.doi.org/10.1109/GEM61861.2024.10585690")</f>
        <v>http://dx.doi.org/10.1109/GEM61861.2024.10585690</v>
      </c>
      <c r="BG130" s="1"/>
      <c r="BH130" s="1"/>
      <c r="BI130" s="1" t="n">
        <v>6</v>
      </c>
      <c r="BJ130" s="1" t="s">
        <v>99</v>
      </c>
      <c r="BK130" s="1" t="s">
        <v>100</v>
      </c>
      <c r="BL130" s="1" t="s">
        <v>101</v>
      </c>
      <c r="BM130" s="1" t="s">
        <v>1077</v>
      </c>
      <c r="BN130" s="1"/>
      <c r="BO130" s="1" t="s">
        <v>179</v>
      </c>
      <c r="BP130" s="1"/>
      <c r="BQ130" s="1"/>
      <c r="BR130" s="1" t="s">
        <v>103</v>
      </c>
      <c r="BS130" s="1" t="s">
        <v>2657</v>
      </c>
      <c r="BT130" s="1" t="str">
        <f aca="false">HYPERLINK("https%3A%2F%2Fwww.webofscience.com%2Fwos%2Fwoscc%2Ffull-record%2FWOS:001281983200110","View Full Record in Web of Science")</f>
        <v>View Full Record in Web of Science</v>
      </c>
    </row>
    <row r="131" customFormat="false" ht="12.75" hidden="false" customHeight="false" outlineLevel="0" collapsed="false">
      <c r="A131" s="1" t="s">
        <v>181</v>
      </c>
      <c r="B131" s="1" t="s">
        <v>2658</v>
      </c>
      <c r="C131" s="1"/>
      <c r="D131" s="1"/>
      <c r="E131" s="1"/>
      <c r="F131" s="1" t="s">
        <v>2659</v>
      </c>
      <c r="G131" s="1"/>
      <c r="H131" s="1"/>
      <c r="I131" s="1" t="s">
        <v>2660</v>
      </c>
      <c r="J131" s="1" t="s">
        <v>1378</v>
      </c>
      <c r="K131" s="1"/>
      <c r="L131" s="1"/>
      <c r="M131" s="1" t="s">
        <v>78</v>
      </c>
      <c r="N131" s="1" t="s">
        <v>186</v>
      </c>
      <c r="O131" s="1"/>
      <c r="P131" s="1"/>
      <c r="Q131" s="1"/>
      <c r="R131" s="1"/>
      <c r="S131" s="1"/>
      <c r="T131" s="1" t="s">
        <v>2661</v>
      </c>
      <c r="U131" s="1" t="s">
        <v>2662</v>
      </c>
      <c r="V131" s="1" t="s">
        <v>2663</v>
      </c>
      <c r="W131" s="1" t="s">
        <v>2664</v>
      </c>
      <c r="X131" s="1" t="s">
        <v>86</v>
      </c>
      <c r="Y131" s="1" t="s">
        <v>2665</v>
      </c>
      <c r="Z131" s="1" t="s">
        <v>2666</v>
      </c>
      <c r="AA131" s="1" t="s">
        <v>239</v>
      </c>
      <c r="AB131" s="1" t="s">
        <v>2667</v>
      </c>
      <c r="AC131" s="1" t="s">
        <v>2668</v>
      </c>
      <c r="AD131" s="1" t="s">
        <v>2669</v>
      </c>
      <c r="AE131" s="1" t="s">
        <v>2670</v>
      </c>
      <c r="AF131" s="1"/>
      <c r="AG131" s="1" t="n">
        <v>100</v>
      </c>
      <c r="AH131" s="1" t="n">
        <v>1</v>
      </c>
      <c r="AI131" s="1" t="n">
        <v>1</v>
      </c>
      <c r="AJ131" s="1" t="n">
        <v>2</v>
      </c>
      <c r="AK131" s="1" t="n">
        <v>2</v>
      </c>
      <c r="AL131" s="1" t="s">
        <v>893</v>
      </c>
      <c r="AM131" s="1" t="s">
        <v>894</v>
      </c>
      <c r="AN131" s="1" t="s">
        <v>895</v>
      </c>
      <c r="AO131" s="1" t="s">
        <v>1387</v>
      </c>
      <c r="AP131" s="1" t="s">
        <v>1388</v>
      </c>
      <c r="AQ131" s="1"/>
      <c r="AR131" s="1" t="s">
        <v>1389</v>
      </c>
      <c r="AS131" s="1" t="s">
        <v>1390</v>
      </c>
      <c r="AT131" s="1" t="s">
        <v>1453</v>
      </c>
      <c r="AU131" s="1" t="n">
        <v>2024</v>
      </c>
      <c r="AV131" s="1" t="n">
        <v>165</v>
      </c>
      <c r="AW131" s="1"/>
      <c r="AX131" s="1"/>
      <c r="AY131" s="1"/>
      <c r="AZ131" s="1"/>
      <c r="BA131" s="1"/>
      <c r="BB131" s="1"/>
      <c r="BC131" s="1"/>
      <c r="BD131" s="1" t="n">
        <v>107348</v>
      </c>
      <c r="BE131" s="1" t="s">
        <v>2671</v>
      </c>
      <c r="BF131" s="1" t="str">
        <f aca="false">HYPERLINK("http://dx.doi.org/10.1016/j.infsof.2023.107348","http://dx.doi.org/10.1016/j.infsof.2023.107348")</f>
        <v>http://dx.doi.org/10.1016/j.infsof.2023.107348</v>
      </c>
      <c r="BG131" s="1"/>
      <c r="BH131" s="1" t="s">
        <v>2672</v>
      </c>
      <c r="BI131" s="1" t="n">
        <v>22</v>
      </c>
      <c r="BJ131" s="1" t="s">
        <v>1394</v>
      </c>
      <c r="BK131" s="1" t="s">
        <v>204</v>
      </c>
      <c r="BL131" s="1" t="s">
        <v>101</v>
      </c>
      <c r="BM131" s="1" t="s">
        <v>2673</v>
      </c>
      <c r="BN131" s="1"/>
      <c r="BO131" s="1" t="s">
        <v>207</v>
      </c>
      <c r="BP131" s="1"/>
      <c r="BQ131" s="1"/>
      <c r="BR131" s="1" t="s">
        <v>103</v>
      </c>
      <c r="BS131" s="1" t="s">
        <v>2674</v>
      </c>
      <c r="BT131" s="1" t="str">
        <f aca="false">HYPERLINK("https%3A%2F%2Fwww.webofscience.com%2Fwos%2Fwoscc%2Ffull-record%2FWOS:001102357100001","View Full Record in Web of Science")</f>
        <v>View Full Record in Web of Science</v>
      </c>
    </row>
    <row r="132" customFormat="false" ht="12.75" hidden="false" customHeight="false" outlineLevel="0" collapsed="false">
      <c r="A132" s="1" t="s">
        <v>181</v>
      </c>
      <c r="B132" s="1" t="s">
        <v>1011</v>
      </c>
      <c r="C132" s="1"/>
      <c r="D132" s="1"/>
      <c r="E132" s="1"/>
      <c r="F132" s="1" t="s">
        <v>2675</v>
      </c>
      <c r="G132" s="1"/>
      <c r="H132" s="1"/>
      <c r="I132" s="1" t="s">
        <v>2676</v>
      </c>
      <c r="J132" s="1" t="s">
        <v>1014</v>
      </c>
      <c r="K132" s="1"/>
      <c r="L132" s="1"/>
      <c r="M132" s="1" t="s">
        <v>78</v>
      </c>
      <c r="N132" s="1" t="s">
        <v>186</v>
      </c>
      <c r="O132" s="1"/>
      <c r="P132" s="1"/>
      <c r="Q132" s="1"/>
      <c r="R132" s="1"/>
      <c r="S132" s="1"/>
      <c r="T132" s="1" t="s">
        <v>2677</v>
      </c>
      <c r="U132" s="1" t="s">
        <v>2678</v>
      </c>
      <c r="V132" s="1" t="s">
        <v>2679</v>
      </c>
      <c r="W132" s="1" t="s">
        <v>2680</v>
      </c>
      <c r="X132" s="1" t="s">
        <v>86</v>
      </c>
      <c r="Y132" s="1" t="s">
        <v>2681</v>
      </c>
      <c r="Z132" s="1" t="s">
        <v>1020</v>
      </c>
      <c r="AA132" s="1" t="s">
        <v>1021</v>
      </c>
      <c r="AB132" s="1" t="s">
        <v>2682</v>
      </c>
      <c r="AC132" s="1"/>
      <c r="AD132" s="1"/>
      <c r="AE132" s="1"/>
      <c r="AF132" s="1"/>
      <c r="AG132" s="1" t="n">
        <v>56</v>
      </c>
      <c r="AH132" s="1" t="n">
        <v>21</v>
      </c>
      <c r="AI132" s="1" t="n">
        <v>22</v>
      </c>
      <c r="AJ132" s="1" t="n">
        <v>4</v>
      </c>
      <c r="AK132" s="1" t="n">
        <v>36</v>
      </c>
      <c r="AL132" s="1" t="s">
        <v>1025</v>
      </c>
      <c r="AM132" s="1" t="s">
        <v>1026</v>
      </c>
      <c r="AN132" s="1" t="s">
        <v>1027</v>
      </c>
      <c r="AO132" s="1" t="s">
        <v>1028</v>
      </c>
      <c r="AP132" s="1" t="s">
        <v>1029</v>
      </c>
      <c r="AQ132" s="1"/>
      <c r="AR132" s="1" t="s">
        <v>1030</v>
      </c>
      <c r="AS132" s="1" t="s">
        <v>1031</v>
      </c>
      <c r="AT132" s="1" t="s">
        <v>2683</v>
      </c>
      <c r="AU132" s="1" t="n">
        <v>2022</v>
      </c>
      <c r="AV132" s="1" t="n">
        <v>346</v>
      </c>
      <c r="AW132" s="1"/>
      <c r="AX132" s="1"/>
      <c r="AY132" s="1"/>
      <c r="AZ132" s="1"/>
      <c r="BA132" s="1"/>
      <c r="BB132" s="1"/>
      <c r="BC132" s="1"/>
      <c r="BD132" s="1" t="n">
        <v>131000</v>
      </c>
      <c r="BE132" s="1" t="s">
        <v>2684</v>
      </c>
      <c r="BF132" s="1" t="str">
        <f aca="false">HYPERLINK("http://dx.doi.org/10.1016/j.jclepro.2022.131000","http://dx.doi.org/10.1016/j.jclepro.2022.131000")</f>
        <v>http://dx.doi.org/10.1016/j.jclepro.2022.131000</v>
      </c>
      <c r="BG132" s="1"/>
      <c r="BH132" s="1" t="s">
        <v>2685</v>
      </c>
      <c r="BI132" s="1" t="n">
        <v>11</v>
      </c>
      <c r="BJ132" s="1" t="s">
        <v>1034</v>
      </c>
      <c r="BK132" s="1" t="s">
        <v>204</v>
      </c>
      <c r="BL132" s="1" t="s">
        <v>1035</v>
      </c>
      <c r="BM132" s="1" t="s">
        <v>2686</v>
      </c>
      <c r="BN132" s="1"/>
      <c r="BO132" s="1" t="s">
        <v>612</v>
      </c>
      <c r="BP132" s="1"/>
      <c r="BQ132" s="1"/>
      <c r="BR132" s="1" t="s">
        <v>103</v>
      </c>
      <c r="BS132" s="1" t="s">
        <v>2687</v>
      </c>
      <c r="BT132" s="1" t="str">
        <f aca="false">HYPERLINK("https%3A%2F%2Fwww.webofscience.com%2Fwos%2Fwoscc%2Ffull-record%2FWOS:000820084900001","View Full Record in Web of Science")</f>
        <v>View Full Record in Web of Science</v>
      </c>
    </row>
    <row r="133" customFormat="false" ht="12.75" hidden="false" customHeight="false" outlineLevel="0" collapsed="false">
      <c r="A133" s="1" t="s">
        <v>181</v>
      </c>
      <c r="B133" s="1" t="s">
        <v>2688</v>
      </c>
      <c r="C133" s="1"/>
      <c r="D133" s="1"/>
      <c r="E133" s="1"/>
      <c r="F133" s="1" t="s">
        <v>2689</v>
      </c>
      <c r="G133" s="1"/>
      <c r="H133" s="1"/>
      <c r="I133" s="1" t="s">
        <v>2690</v>
      </c>
      <c r="J133" s="1" t="s">
        <v>1461</v>
      </c>
      <c r="K133" s="1"/>
      <c r="L133" s="1"/>
      <c r="M133" s="1" t="s">
        <v>78</v>
      </c>
      <c r="N133" s="1" t="s">
        <v>186</v>
      </c>
      <c r="O133" s="1"/>
      <c r="P133" s="1"/>
      <c r="Q133" s="1"/>
      <c r="R133" s="1"/>
      <c r="S133" s="1"/>
      <c r="T133" s="1" t="s">
        <v>2691</v>
      </c>
      <c r="U133" s="1"/>
      <c r="V133" s="1" t="s">
        <v>2692</v>
      </c>
      <c r="W133" s="1" t="s">
        <v>2693</v>
      </c>
      <c r="X133" s="1" t="s">
        <v>86</v>
      </c>
      <c r="Y133" s="1" t="s">
        <v>2694</v>
      </c>
      <c r="Z133" s="1" t="s">
        <v>2695</v>
      </c>
      <c r="AA133" s="1" t="s">
        <v>557</v>
      </c>
      <c r="AB133" s="1" t="s">
        <v>2696</v>
      </c>
      <c r="AC133" s="1" t="s">
        <v>531</v>
      </c>
      <c r="AD133" s="1" t="s">
        <v>532</v>
      </c>
      <c r="AE133" s="1" t="s">
        <v>2697</v>
      </c>
      <c r="AF133" s="1"/>
      <c r="AG133" s="1" t="n">
        <v>56</v>
      </c>
      <c r="AH133" s="1" t="n">
        <v>11</v>
      </c>
      <c r="AI133" s="1" t="n">
        <v>11</v>
      </c>
      <c r="AJ133" s="1" t="n">
        <v>0</v>
      </c>
      <c r="AK133" s="1" t="n">
        <v>2</v>
      </c>
      <c r="AL133" s="1" t="s">
        <v>367</v>
      </c>
      <c r="AM133" s="1" t="s">
        <v>368</v>
      </c>
      <c r="AN133" s="1" t="s">
        <v>369</v>
      </c>
      <c r="AO133" s="1" t="s">
        <v>1468</v>
      </c>
      <c r="AP133" s="1"/>
      <c r="AQ133" s="1"/>
      <c r="AR133" s="1" t="s">
        <v>1461</v>
      </c>
      <c r="AS133" s="1" t="s">
        <v>1469</v>
      </c>
      <c r="AT133" s="1" t="s">
        <v>2698</v>
      </c>
      <c r="AU133" s="1" t="n">
        <v>2021</v>
      </c>
      <c r="AV133" s="1" t="n">
        <v>10</v>
      </c>
      <c r="AW133" s="1" t="n">
        <v>6</v>
      </c>
      <c r="AX133" s="1"/>
      <c r="AY133" s="1"/>
      <c r="AZ133" s="1"/>
      <c r="BA133" s="1"/>
      <c r="BB133" s="1"/>
      <c r="BC133" s="1"/>
      <c r="BD133" s="1" t="n">
        <v>80</v>
      </c>
      <c r="BE133" s="1" t="s">
        <v>2699</v>
      </c>
      <c r="BF133" s="1" t="str">
        <f aca="false">HYPERLINK("http://dx.doi.org/10.3390/computers10060080","http://dx.doi.org/10.3390/computers10060080")</f>
        <v>http://dx.doi.org/10.3390/computers10060080</v>
      </c>
      <c r="BG133" s="1"/>
      <c r="BH133" s="1"/>
      <c r="BI133" s="1" t="n">
        <v>28</v>
      </c>
      <c r="BJ133" s="1" t="s">
        <v>946</v>
      </c>
      <c r="BK133" s="1" t="s">
        <v>253</v>
      </c>
      <c r="BL133" s="1" t="s">
        <v>101</v>
      </c>
      <c r="BM133" s="1" t="s">
        <v>2700</v>
      </c>
      <c r="BN133" s="1"/>
      <c r="BO133" s="1" t="s">
        <v>401</v>
      </c>
      <c r="BP133" s="1"/>
      <c r="BQ133" s="1"/>
      <c r="BR133" s="1" t="s">
        <v>103</v>
      </c>
      <c r="BS133" s="1" t="s">
        <v>2701</v>
      </c>
      <c r="BT133" s="1" t="str">
        <f aca="false">HYPERLINK("https%3A%2F%2Fwww.webofscience.com%2Fwos%2Fwoscc%2Ffull-record%2FWOS:000665437300001","View Full Record in Web of Science")</f>
        <v>View Full Record in Web of Science</v>
      </c>
    </row>
    <row r="134" customFormat="false" ht="12.75" hidden="false" customHeight="false" outlineLevel="0" collapsed="false">
      <c r="A134" s="1" t="s">
        <v>181</v>
      </c>
      <c r="B134" s="1" t="s">
        <v>1487</v>
      </c>
      <c r="C134" s="1"/>
      <c r="D134" s="1"/>
      <c r="E134" s="1"/>
      <c r="F134" s="1" t="s">
        <v>1488</v>
      </c>
      <c r="G134" s="1"/>
      <c r="H134" s="1"/>
      <c r="I134" s="1" t="s">
        <v>2702</v>
      </c>
      <c r="J134" s="1" t="s">
        <v>2703</v>
      </c>
      <c r="K134" s="1"/>
      <c r="L134" s="1"/>
      <c r="M134" s="1" t="s">
        <v>78</v>
      </c>
      <c r="N134" s="1" t="s">
        <v>186</v>
      </c>
      <c r="O134" s="1"/>
      <c r="P134" s="1"/>
      <c r="Q134" s="1"/>
      <c r="R134" s="1"/>
      <c r="S134" s="1"/>
      <c r="T134" s="1" t="s">
        <v>2704</v>
      </c>
      <c r="U134" s="1"/>
      <c r="V134" s="1" t="s">
        <v>2705</v>
      </c>
      <c r="W134" s="1" t="s">
        <v>2706</v>
      </c>
      <c r="X134" s="1" t="s">
        <v>86</v>
      </c>
      <c r="Y134" s="1" t="s">
        <v>2707</v>
      </c>
      <c r="Z134" s="1" t="s">
        <v>1496</v>
      </c>
      <c r="AA134" s="1"/>
      <c r="AB134" s="1" t="s">
        <v>1497</v>
      </c>
      <c r="AC134" s="1" t="s">
        <v>2708</v>
      </c>
      <c r="AD134" s="1" t="s">
        <v>2708</v>
      </c>
      <c r="AE134" s="1" t="s">
        <v>2709</v>
      </c>
      <c r="AF134" s="1"/>
      <c r="AG134" s="1" t="n">
        <v>62</v>
      </c>
      <c r="AH134" s="1" t="n">
        <v>30</v>
      </c>
      <c r="AI134" s="1" t="n">
        <v>33</v>
      </c>
      <c r="AJ134" s="1" t="n">
        <v>2</v>
      </c>
      <c r="AK134" s="1" t="n">
        <v>21</v>
      </c>
      <c r="AL134" s="1" t="s">
        <v>2710</v>
      </c>
      <c r="AM134" s="1" t="s">
        <v>1221</v>
      </c>
      <c r="AN134" s="1" t="s">
        <v>2711</v>
      </c>
      <c r="AO134" s="1" t="s">
        <v>2712</v>
      </c>
      <c r="AP134" s="1" t="s">
        <v>2713</v>
      </c>
      <c r="AQ134" s="1"/>
      <c r="AR134" s="1" t="s">
        <v>2714</v>
      </c>
      <c r="AS134" s="1" t="s">
        <v>2715</v>
      </c>
      <c r="AT134" s="1" t="s">
        <v>2716</v>
      </c>
      <c r="AU134" s="1" t="n">
        <v>2022</v>
      </c>
      <c r="AV134" s="1" t="n">
        <v>18</v>
      </c>
      <c r="AW134" s="1" t="n">
        <v>3</v>
      </c>
      <c r="AX134" s="1"/>
      <c r="AY134" s="1"/>
      <c r="AZ134" s="1"/>
      <c r="BA134" s="1"/>
      <c r="BB134" s="1" t="n">
        <v>279</v>
      </c>
      <c r="BC134" s="1" t="n">
        <v>302</v>
      </c>
      <c r="BD134" s="1"/>
      <c r="BE134" s="1" t="s">
        <v>2717</v>
      </c>
      <c r="BF134" s="1" t="str">
        <f aca="false">HYPERLINK("http://dx.doi.org/10.1080/15710882.2021.1883065","http://dx.doi.org/10.1080/15710882.2021.1883065")</f>
        <v>http://dx.doi.org/10.1080/15710882.2021.1883065</v>
      </c>
      <c r="BG134" s="1"/>
      <c r="BH134" s="1" t="s">
        <v>2718</v>
      </c>
      <c r="BI134" s="1" t="n">
        <v>24</v>
      </c>
      <c r="BJ134" s="1" t="s">
        <v>2719</v>
      </c>
      <c r="BK134" s="1" t="s">
        <v>775</v>
      </c>
      <c r="BL134" s="1" t="s">
        <v>2719</v>
      </c>
      <c r="BM134" s="1" t="s">
        <v>2720</v>
      </c>
      <c r="BN134" s="1"/>
      <c r="BO134" s="1" t="s">
        <v>207</v>
      </c>
      <c r="BP134" s="1"/>
      <c r="BQ134" s="1"/>
      <c r="BR134" s="1" t="s">
        <v>103</v>
      </c>
      <c r="BS134" s="1" t="s">
        <v>2721</v>
      </c>
      <c r="BT134" s="1" t="str">
        <f aca="false">HYPERLINK("https%3A%2F%2Fwww.webofscience.com%2Fwos%2Fwoscc%2Ffull-record%2FWOS:000617230000001","View Full Record in Web of Science")</f>
        <v>View Full Record in Web of Science</v>
      </c>
    </row>
    <row r="135" customFormat="false" ht="12.75" hidden="false" customHeight="false" outlineLevel="0" collapsed="false">
      <c r="A135" s="1" t="s">
        <v>181</v>
      </c>
      <c r="B135" s="1" t="s">
        <v>1993</v>
      </c>
      <c r="C135" s="1"/>
      <c r="D135" s="1"/>
      <c r="E135" s="1"/>
      <c r="F135" s="1" t="s">
        <v>1994</v>
      </c>
      <c r="G135" s="1"/>
      <c r="H135" s="1"/>
      <c r="I135" s="1" t="s">
        <v>2722</v>
      </c>
      <c r="J135" s="1" t="s">
        <v>1378</v>
      </c>
      <c r="K135" s="1"/>
      <c r="L135" s="1"/>
      <c r="M135" s="1" t="s">
        <v>78</v>
      </c>
      <c r="N135" s="1" t="s">
        <v>186</v>
      </c>
      <c r="O135" s="1"/>
      <c r="P135" s="1"/>
      <c r="Q135" s="1"/>
      <c r="R135" s="1"/>
      <c r="S135" s="1"/>
      <c r="T135" s="1" t="s">
        <v>2723</v>
      </c>
      <c r="U135" s="1"/>
      <c r="V135" s="1" t="s">
        <v>2724</v>
      </c>
      <c r="W135" s="1" t="s">
        <v>2725</v>
      </c>
      <c r="X135" s="1" t="s">
        <v>86</v>
      </c>
      <c r="Y135" s="1" t="s">
        <v>2726</v>
      </c>
      <c r="Z135" s="1" t="s">
        <v>1999</v>
      </c>
      <c r="AA135" s="1"/>
      <c r="AB135" s="1" t="s">
        <v>2000</v>
      </c>
      <c r="AC135" s="1"/>
      <c r="AD135" s="1"/>
      <c r="AE135" s="1"/>
      <c r="AF135" s="1"/>
      <c r="AG135" s="1" t="n">
        <v>8</v>
      </c>
      <c r="AH135" s="1" t="n">
        <v>30</v>
      </c>
      <c r="AI135" s="1" t="n">
        <v>37</v>
      </c>
      <c r="AJ135" s="1" t="n">
        <v>3</v>
      </c>
      <c r="AK135" s="1" t="n">
        <v>26</v>
      </c>
      <c r="AL135" s="1" t="s">
        <v>893</v>
      </c>
      <c r="AM135" s="1" t="s">
        <v>894</v>
      </c>
      <c r="AN135" s="1" t="s">
        <v>895</v>
      </c>
      <c r="AO135" s="1" t="s">
        <v>1387</v>
      </c>
      <c r="AP135" s="1" t="s">
        <v>1388</v>
      </c>
      <c r="AQ135" s="1"/>
      <c r="AR135" s="1" t="s">
        <v>1389</v>
      </c>
      <c r="AS135" s="1" t="s">
        <v>1390</v>
      </c>
      <c r="AT135" s="1" t="s">
        <v>754</v>
      </c>
      <c r="AU135" s="1" t="n">
        <v>2021</v>
      </c>
      <c r="AV135" s="1" t="n">
        <v>133</v>
      </c>
      <c r="AW135" s="1"/>
      <c r="AX135" s="1"/>
      <c r="AY135" s="1"/>
      <c r="AZ135" s="1"/>
      <c r="BA135" s="1"/>
      <c r="BB135" s="1"/>
      <c r="BC135" s="1"/>
      <c r="BD135" s="1" t="n">
        <v>106514</v>
      </c>
      <c r="BE135" s="1" t="s">
        <v>2727</v>
      </c>
      <c r="BF135" s="1" t="str">
        <f aca="false">HYPERLINK("http://dx.doi.org/10.1016/j.infsof.2021.106514","http://dx.doi.org/10.1016/j.infsof.2021.106514")</f>
        <v>http://dx.doi.org/10.1016/j.infsof.2021.106514</v>
      </c>
      <c r="BG135" s="1"/>
      <c r="BH135" s="1" t="s">
        <v>2728</v>
      </c>
      <c r="BI135" s="1" t="n">
        <v>3</v>
      </c>
      <c r="BJ135" s="1" t="s">
        <v>1394</v>
      </c>
      <c r="BK135" s="1" t="s">
        <v>204</v>
      </c>
      <c r="BL135" s="1" t="s">
        <v>101</v>
      </c>
      <c r="BM135" s="1" t="s">
        <v>2729</v>
      </c>
      <c r="BN135" s="1"/>
      <c r="BO135" s="1" t="s">
        <v>612</v>
      </c>
      <c r="BP135" s="1"/>
      <c r="BQ135" s="1"/>
      <c r="BR135" s="1" t="s">
        <v>103</v>
      </c>
      <c r="BS135" s="1" t="s">
        <v>2730</v>
      </c>
      <c r="BT135" s="1" t="str">
        <f aca="false">HYPERLINK("https%3A%2F%2Fwww.webofscience.com%2Fwos%2Fwoscc%2Ffull-record%2FWOS:000620932900006","View Full Record in Web of Science")</f>
        <v>View Full Record in Web of Science</v>
      </c>
    </row>
    <row r="136" customFormat="false" ht="12.75" hidden="false" customHeight="false" outlineLevel="0" collapsed="false">
      <c r="A136" s="1" t="s">
        <v>72</v>
      </c>
      <c r="B136" s="1" t="s">
        <v>2731</v>
      </c>
      <c r="C136" s="1"/>
      <c r="D136" s="1"/>
      <c r="E136" s="1" t="s">
        <v>1080</v>
      </c>
      <c r="F136" s="1" t="s">
        <v>2732</v>
      </c>
      <c r="G136" s="1"/>
      <c r="H136" s="1"/>
      <c r="I136" s="1" t="s">
        <v>2733</v>
      </c>
      <c r="J136" s="1" t="s">
        <v>2734</v>
      </c>
      <c r="K136" s="1"/>
      <c r="L136" s="1"/>
      <c r="M136" s="1" t="s">
        <v>78</v>
      </c>
      <c r="N136" s="1" t="s">
        <v>79</v>
      </c>
      <c r="O136" s="1" t="s">
        <v>2735</v>
      </c>
      <c r="P136" s="1" t="s">
        <v>2736</v>
      </c>
      <c r="Q136" s="1" t="s">
        <v>320</v>
      </c>
      <c r="R136" s="1" t="s">
        <v>2737</v>
      </c>
      <c r="S136" s="1"/>
      <c r="T136" s="1" t="s">
        <v>2738</v>
      </c>
      <c r="U136" s="1" t="s">
        <v>2739</v>
      </c>
      <c r="V136" s="1" t="s">
        <v>2740</v>
      </c>
      <c r="W136" s="1" t="s">
        <v>2741</v>
      </c>
      <c r="X136" s="1" t="s">
        <v>86</v>
      </c>
      <c r="Y136" s="1" t="s">
        <v>2742</v>
      </c>
      <c r="Z136" s="1"/>
      <c r="AA136" s="1"/>
      <c r="AB136" s="1"/>
      <c r="AC136" s="1" t="s">
        <v>677</v>
      </c>
      <c r="AD136" s="1" t="s">
        <v>677</v>
      </c>
      <c r="AE136" s="1" t="s">
        <v>2743</v>
      </c>
      <c r="AF136" s="1"/>
      <c r="AG136" s="1" t="n">
        <v>28</v>
      </c>
      <c r="AH136" s="1" t="n">
        <v>7</v>
      </c>
      <c r="AI136" s="1" t="n">
        <v>7</v>
      </c>
      <c r="AJ136" s="1" t="n">
        <v>3</v>
      </c>
      <c r="AK136" s="1" t="n">
        <v>30</v>
      </c>
      <c r="AL136" s="1" t="s">
        <v>172</v>
      </c>
      <c r="AM136" s="1" t="s">
        <v>173</v>
      </c>
      <c r="AN136" s="1" t="s">
        <v>174</v>
      </c>
      <c r="AO136" s="1"/>
      <c r="AP136" s="1"/>
      <c r="AQ136" s="1" t="s">
        <v>2744</v>
      </c>
      <c r="AR136" s="1"/>
      <c r="AS136" s="1"/>
      <c r="AT136" s="1"/>
      <c r="AU136" s="1" t="n">
        <v>2021</v>
      </c>
      <c r="AV136" s="1"/>
      <c r="AW136" s="1"/>
      <c r="AX136" s="1"/>
      <c r="AY136" s="1"/>
      <c r="AZ136" s="1"/>
      <c r="BA136" s="1"/>
      <c r="BB136" s="1" t="n">
        <v>267</v>
      </c>
      <c r="BC136" s="1" t="n">
        <v>270</v>
      </c>
      <c r="BD136" s="1"/>
      <c r="BE136" s="1" t="s">
        <v>2745</v>
      </c>
      <c r="BF136" s="1" t="str">
        <f aca="false">HYPERLINK("http://dx.doi.org/10.1109/ASEW52652.2021.00059","http://dx.doi.org/10.1109/ASEW52652.2021.00059")</f>
        <v>http://dx.doi.org/10.1109/ASEW52652.2021.00059</v>
      </c>
      <c r="BG136" s="1"/>
      <c r="BH136" s="1"/>
      <c r="BI136" s="1" t="n">
        <v>4</v>
      </c>
      <c r="BJ136" s="1" t="s">
        <v>2746</v>
      </c>
      <c r="BK136" s="1" t="s">
        <v>100</v>
      </c>
      <c r="BL136" s="1" t="s">
        <v>2747</v>
      </c>
      <c r="BM136" s="1" t="s">
        <v>2748</v>
      </c>
      <c r="BN136" s="1"/>
      <c r="BO136" s="1" t="s">
        <v>179</v>
      </c>
      <c r="BP136" s="1"/>
      <c r="BQ136" s="1"/>
      <c r="BR136" s="1" t="s">
        <v>103</v>
      </c>
      <c r="BS136" s="1" t="s">
        <v>2749</v>
      </c>
      <c r="BT136" s="1" t="str">
        <f aca="false">HYPERLINK("https%3A%2F%2Fwww.webofscience.com%2Fwos%2Fwoscc%2Ffull-record%2FWOS:000781851100046","View Full Record in Web of Science")</f>
        <v>View Full Record in Web of Science</v>
      </c>
    </row>
    <row r="137" customFormat="false" ht="12.75" hidden="false" customHeight="false" outlineLevel="0" collapsed="false">
      <c r="A137" s="1" t="s">
        <v>181</v>
      </c>
      <c r="B137" s="1" t="s">
        <v>2750</v>
      </c>
      <c r="C137" s="1"/>
      <c r="D137" s="1"/>
      <c r="E137" s="1"/>
      <c r="F137" s="1" t="s">
        <v>2751</v>
      </c>
      <c r="G137" s="1"/>
      <c r="H137" s="1"/>
      <c r="I137" s="1" t="s">
        <v>2752</v>
      </c>
      <c r="J137" s="1" t="s">
        <v>2753</v>
      </c>
      <c r="K137" s="1"/>
      <c r="L137" s="1"/>
      <c r="M137" s="1" t="s">
        <v>78</v>
      </c>
      <c r="N137" s="1" t="s">
        <v>186</v>
      </c>
      <c r="O137" s="1"/>
      <c r="P137" s="1"/>
      <c r="Q137" s="1"/>
      <c r="R137" s="1"/>
      <c r="S137" s="1"/>
      <c r="T137" s="1" t="s">
        <v>2754</v>
      </c>
      <c r="U137" s="1"/>
      <c r="V137" s="1" t="s">
        <v>2755</v>
      </c>
      <c r="W137" s="1" t="s">
        <v>2756</v>
      </c>
      <c r="X137" s="1" t="s">
        <v>86</v>
      </c>
      <c r="Y137" s="1" t="s">
        <v>2757</v>
      </c>
      <c r="Z137" s="1" t="s">
        <v>2758</v>
      </c>
      <c r="AA137" s="1" t="s">
        <v>2759</v>
      </c>
      <c r="AB137" s="1" t="s">
        <v>2760</v>
      </c>
      <c r="AC137" s="1" t="s">
        <v>268</v>
      </c>
      <c r="AD137" s="1" t="s">
        <v>268</v>
      </c>
      <c r="AE137" s="1" t="s">
        <v>269</v>
      </c>
      <c r="AF137" s="1"/>
      <c r="AG137" s="1" t="n">
        <v>50</v>
      </c>
      <c r="AH137" s="1" t="n">
        <v>14</v>
      </c>
      <c r="AI137" s="1" t="n">
        <v>14</v>
      </c>
      <c r="AJ137" s="1" t="n">
        <v>1</v>
      </c>
      <c r="AK137" s="1" t="n">
        <v>18</v>
      </c>
      <c r="AL137" s="1" t="s">
        <v>2761</v>
      </c>
      <c r="AM137" s="1" t="s">
        <v>1908</v>
      </c>
      <c r="AN137" s="1" t="s">
        <v>2762</v>
      </c>
      <c r="AO137" s="1" t="s">
        <v>2763</v>
      </c>
      <c r="AP137" s="1" t="s">
        <v>2764</v>
      </c>
      <c r="AQ137" s="1"/>
      <c r="AR137" s="1" t="s">
        <v>2765</v>
      </c>
      <c r="AS137" s="1" t="s">
        <v>2766</v>
      </c>
      <c r="AT137" s="1" t="s">
        <v>277</v>
      </c>
      <c r="AU137" s="1" t="n">
        <v>2021</v>
      </c>
      <c r="AV137" s="1" t="n">
        <v>33</v>
      </c>
      <c r="AW137" s="1" t="n">
        <v>6</v>
      </c>
      <c r="AX137" s="1"/>
      <c r="AY137" s="1"/>
      <c r="AZ137" s="1"/>
      <c r="BA137" s="1"/>
      <c r="BB137" s="1" t="n">
        <v>1881</v>
      </c>
      <c r="BC137" s="1" t="n">
        <v>1902</v>
      </c>
      <c r="BD137" s="1"/>
      <c r="BE137" s="1" t="s">
        <v>2767</v>
      </c>
      <c r="BF137" s="1" t="str">
        <f aca="false">HYPERLINK("http://dx.doi.org/10.1007/s00521-020-05058-4","http://dx.doi.org/10.1007/s00521-020-05058-4")</f>
        <v>http://dx.doi.org/10.1007/s00521-020-05058-4</v>
      </c>
      <c r="BG137" s="1"/>
      <c r="BH137" s="1" t="s">
        <v>2768</v>
      </c>
      <c r="BI137" s="1" t="n">
        <v>22</v>
      </c>
      <c r="BJ137" s="1" t="s">
        <v>1625</v>
      </c>
      <c r="BK137" s="1" t="s">
        <v>398</v>
      </c>
      <c r="BL137" s="1" t="s">
        <v>101</v>
      </c>
      <c r="BM137" s="1" t="s">
        <v>2769</v>
      </c>
      <c r="BN137" s="1"/>
      <c r="BO137" s="1" t="s">
        <v>2770</v>
      </c>
      <c r="BP137" s="1"/>
      <c r="BQ137" s="1"/>
      <c r="BR137" s="1" t="s">
        <v>103</v>
      </c>
      <c r="BS137" s="1" t="s">
        <v>2771</v>
      </c>
      <c r="BT137" s="1" t="str">
        <f aca="false">HYPERLINK("https%3A%2F%2Fwww.webofscience.com%2Fwos%2Fwoscc%2Ffull-record%2FWOS:000541326700002","View Full Record in Web of Science")</f>
        <v>View Full Record in Web of Science</v>
      </c>
    </row>
    <row r="138" customFormat="false" ht="12.75" hidden="false" customHeight="false" outlineLevel="0" collapsed="false">
      <c r="A138" s="1" t="s">
        <v>72</v>
      </c>
      <c r="B138" s="1" t="s">
        <v>2688</v>
      </c>
      <c r="C138" s="1"/>
      <c r="D138" s="1"/>
      <c r="E138" s="1" t="s">
        <v>106</v>
      </c>
      <c r="F138" s="1" t="s">
        <v>2689</v>
      </c>
      <c r="G138" s="1"/>
      <c r="H138" s="1"/>
      <c r="I138" s="1" t="s">
        <v>2772</v>
      </c>
      <c r="J138" s="1" t="s">
        <v>2583</v>
      </c>
      <c r="K138" s="1"/>
      <c r="L138" s="1"/>
      <c r="M138" s="1" t="s">
        <v>78</v>
      </c>
      <c r="N138" s="1" t="s">
        <v>79</v>
      </c>
      <c r="O138" s="1" t="s">
        <v>2584</v>
      </c>
      <c r="P138" s="1" t="s">
        <v>2585</v>
      </c>
      <c r="Q138" s="1" t="s">
        <v>2586</v>
      </c>
      <c r="R138" s="1" t="s">
        <v>1086</v>
      </c>
      <c r="S138" s="1"/>
      <c r="T138" s="1" t="s">
        <v>2773</v>
      </c>
      <c r="U138" s="1"/>
      <c r="V138" s="1" t="s">
        <v>2774</v>
      </c>
      <c r="W138" s="1" t="s">
        <v>2775</v>
      </c>
      <c r="X138" s="1" t="s">
        <v>86</v>
      </c>
      <c r="Y138" s="1" t="s">
        <v>2776</v>
      </c>
      <c r="Z138" s="1" t="s">
        <v>2695</v>
      </c>
      <c r="AA138" s="1" t="s">
        <v>2777</v>
      </c>
      <c r="AB138" s="1"/>
      <c r="AC138" s="1" t="s">
        <v>531</v>
      </c>
      <c r="AD138" s="1" t="s">
        <v>532</v>
      </c>
      <c r="AE138" s="1" t="s">
        <v>2778</v>
      </c>
      <c r="AF138" s="1"/>
      <c r="AG138" s="1" t="n">
        <v>10</v>
      </c>
      <c r="AH138" s="1" t="n">
        <v>5</v>
      </c>
      <c r="AI138" s="1" t="n">
        <v>5</v>
      </c>
      <c r="AJ138" s="1" t="n">
        <v>0</v>
      </c>
      <c r="AK138" s="1" t="n">
        <v>2</v>
      </c>
      <c r="AL138" s="1" t="s">
        <v>172</v>
      </c>
      <c r="AM138" s="1" t="s">
        <v>173</v>
      </c>
      <c r="AN138" s="1" t="s">
        <v>174</v>
      </c>
      <c r="AO138" s="1"/>
      <c r="AP138" s="1"/>
      <c r="AQ138" s="1" t="s">
        <v>2595</v>
      </c>
      <c r="AR138" s="1"/>
      <c r="AS138" s="1"/>
      <c r="AT138" s="1"/>
      <c r="AU138" s="1" t="n">
        <v>2020</v>
      </c>
      <c r="AV138" s="1"/>
      <c r="AW138" s="1"/>
      <c r="AX138" s="1"/>
      <c r="AY138" s="1"/>
      <c r="AZ138" s="1"/>
      <c r="BA138" s="1"/>
      <c r="BB138" s="1" t="n">
        <v>285</v>
      </c>
      <c r="BC138" s="1" t="n">
        <v>286</v>
      </c>
      <c r="BD138" s="1"/>
      <c r="BE138" s="1" t="s">
        <v>2779</v>
      </c>
      <c r="BF138" s="1" t="str">
        <f aca="false">HYPERLINK("http://dx.doi.org/10.1109/VRW50115.2020.0-215","http://dx.doi.org/10.1109/VRW50115.2020.0-215")</f>
        <v>http://dx.doi.org/10.1109/VRW50115.2020.0-215</v>
      </c>
      <c r="BG138" s="1"/>
      <c r="BH138" s="1"/>
      <c r="BI138" s="1" t="n">
        <v>2</v>
      </c>
      <c r="BJ138" s="1" t="s">
        <v>2597</v>
      </c>
      <c r="BK138" s="1" t="s">
        <v>100</v>
      </c>
      <c r="BL138" s="1" t="s">
        <v>1341</v>
      </c>
      <c r="BM138" s="1" t="s">
        <v>2598</v>
      </c>
      <c r="BN138" s="1"/>
      <c r="BO138" s="1"/>
      <c r="BP138" s="1"/>
      <c r="BQ138" s="1"/>
      <c r="BR138" s="1" t="s">
        <v>103</v>
      </c>
      <c r="BS138" s="1" t="s">
        <v>2780</v>
      </c>
      <c r="BT138" s="1" t="str">
        <f aca="false">HYPERLINK("https%3A%2F%2Fwww.webofscience.com%2Fwos%2Fwoscc%2Ffull-record%2FWOS:000578054300054","View Full Record in Web of Science")</f>
        <v>View Full Record in Web of Science</v>
      </c>
    </row>
    <row r="139" customFormat="false" ht="12.75" hidden="false" customHeight="false" outlineLevel="0" collapsed="false">
      <c r="A139" s="1" t="s">
        <v>72</v>
      </c>
      <c r="B139" s="1" t="s">
        <v>131</v>
      </c>
      <c r="C139" s="1"/>
      <c r="D139" s="1"/>
      <c r="E139" s="1" t="s">
        <v>172</v>
      </c>
      <c r="F139" s="1" t="s">
        <v>132</v>
      </c>
      <c r="G139" s="1"/>
      <c r="H139" s="1"/>
      <c r="I139" s="1" t="s">
        <v>2781</v>
      </c>
      <c r="J139" s="1" t="s">
        <v>2782</v>
      </c>
      <c r="K139" s="1" t="s">
        <v>2783</v>
      </c>
      <c r="L139" s="1"/>
      <c r="M139" s="1" t="s">
        <v>78</v>
      </c>
      <c r="N139" s="1" t="s">
        <v>79</v>
      </c>
      <c r="O139" s="1" t="s">
        <v>2784</v>
      </c>
      <c r="P139" s="1" t="s">
        <v>2785</v>
      </c>
      <c r="Q139" s="1" t="s">
        <v>2786</v>
      </c>
      <c r="R139" s="1" t="s">
        <v>2787</v>
      </c>
      <c r="S139" s="1" t="s">
        <v>2788</v>
      </c>
      <c r="T139" s="1" t="s">
        <v>2789</v>
      </c>
      <c r="U139" s="1" t="s">
        <v>2790</v>
      </c>
      <c r="V139" s="1" t="s">
        <v>2791</v>
      </c>
      <c r="W139" s="1" t="s">
        <v>142</v>
      </c>
      <c r="X139" s="1" t="s">
        <v>86</v>
      </c>
      <c r="Y139" s="1" t="s">
        <v>143</v>
      </c>
      <c r="Z139" s="1" t="s">
        <v>144</v>
      </c>
      <c r="AA139" s="1" t="s">
        <v>145</v>
      </c>
      <c r="AB139" s="1"/>
      <c r="AC139" s="1" t="s">
        <v>146</v>
      </c>
      <c r="AD139" s="1" t="s">
        <v>147</v>
      </c>
      <c r="AE139" s="1" t="s">
        <v>148</v>
      </c>
      <c r="AF139" s="1"/>
      <c r="AG139" s="1" t="n">
        <v>32</v>
      </c>
      <c r="AH139" s="1" t="n">
        <v>0</v>
      </c>
      <c r="AI139" s="1" t="n">
        <v>0</v>
      </c>
      <c r="AJ139" s="1" t="n">
        <v>0</v>
      </c>
      <c r="AK139" s="1" t="n">
        <v>0</v>
      </c>
      <c r="AL139" s="1" t="s">
        <v>172</v>
      </c>
      <c r="AM139" s="1" t="s">
        <v>173</v>
      </c>
      <c r="AN139" s="1" t="s">
        <v>174</v>
      </c>
      <c r="AO139" s="1" t="s">
        <v>2792</v>
      </c>
      <c r="AP139" s="1"/>
      <c r="AQ139" s="1" t="s">
        <v>2793</v>
      </c>
      <c r="AR139" s="1" t="s">
        <v>2794</v>
      </c>
      <c r="AS139" s="1"/>
      <c r="AT139" s="1"/>
      <c r="AU139" s="1" t="n">
        <v>2024</v>
      </c>
      <c r="AV139" s="1"/>
      <c r="AW139" s="1"/>
      <c r="AX139" s="1"/>
      <c r="AY139" s="1"/>
      <c r="AZ139" s="1"/>
      <c r="BA139" s="1"/>
      <c r="BB139" s="1" t="n">
        <v>51</v>
      </c>
      <c r="BC139" s="1" t="n">
        <v>56</v>
      </c>
      <c r="BD139" s="1"/>
      <c r="BE139" s="1" t="s">
        <v>2795</v>
      </c>
      <c r="BF139" s="1" t="str">
        <f aca="false">HYPERLINK("http://dx.doi.org/10.1109/WoWMoM60985.2024.00020","http://dx.doi.org/10.1109/WoWMoM60985.2024.00020")</f>
        <v>http://dx.doi.org/10.1109/WoWMoM60985.2024.00020</v>
      </c>
      <c r="BG139" s="1"/>
      <c r="BH139" s="1"/>
      <c r="BI139" s="1" t="n">
        <v>6</v>
      </c>
      <c r="BJ139" s="1" t="s">
        <v>2796</v>
      </c>
      <c r="BK139" s="1" t="s">
        <v>100</v>
      </c>
      <c r="BL139" s="1" t="s">
        <v>311</v>
      </c>
      <c r="BM139" s="1" t="s">
        <v>2797</v>
      </c>
      <c r="BN139" s="1"/>
      <c r="BO139" s="1"/>
      <c r="BP139" s="1"/>
      <c r="BQ139" s="1"/>
      <c r="BR139" s="1" t="s">
        <v>103</v>
      </c>
      <c r="BS139" s="1" t="s">
        <v>2798</v>
      </c>
      <c r="BT139" s="1" t="str">
        <f aca="false">HYPERLINK("https%3A%2F%2Fwww.webofscience.com%2Fwos%2Fwoscc%2Ffull-record%2FWOS:001289070500009","View Full Record in Web of Science")</f>
        <v>View Full Record in Web of Science</v>
      </c>
    </row>
    <row r="140" customFormat="false" ht="12.75" hidden="false" customHeight="false" outlineLevel="0" collapsed="false">
      <c r="A140" s="1" t="s">
        <v>181</v>
      </c>
      <c r="B140" s="1" t="s">
        <v>2799</v>
      </c>
      <c r="C140" s="1"/>
      <c r="D140" s="1"/>
      <c r="E140" s="1"/>
      <c r="F140" s="1" t="s">
        <v>2800</v>
      </c>
      <c r="G140" s="1"/>
      <c r="H140" s="1"/>
      <c r="I140" s="1" t="s">
        <v>2801</v>
      </c>
      <c r="J140" s="1" t="s">
        <v>692</v>
      </c>
      <c r="K140" s="1"/>
      <c r="L140" s="1"/>
      <c r="M140" s="1" t="s">
        <v>78</v>
      </c>
      <c r="N140" s="1" t="s">
        <v>186</v>
      </c>
      <c r="O140" s="1"/>
      <c r="P140" s="1"/>
      <c r="Q140" s="1"/>
      <c r="R140" s="1"/>
      <c r="S140" s="1"/>
      <c r="T140" s="1" t="s">
        <v>2802</v>
      </c>
      <c r="U140" s="1" t="s">
        <v>2803</v>
      </c>
      <c r="V140" s="1" t="s">
        <v>2804</v>
      </c>
      <c r="W140" s="1" t="s">
        <v>2805</v>
      </c>
      <c r="X140" s="1" t="s">
        <v>86</v>
      </c>
      <c r="Y140" s="1" t="s">
        <v>2806</v>
      </c>
      <c r="Z140" s="1" t="s">
        <v>2807</v>
      </c>
      <c r="AA140" s="1"/>
      <c r="AB140" s="1" t="s">
        <v>2808</v>
      </c>
      <c r="AC140" s="1"/>
      <c r="AD140" s="1"/>
      <c r="AE140" s="1"/>
      <c r="AF140" s="1"/>
      <c r="AG140" s="1" t="n">
        <v>76</v>
      </c>
      <c r="AH140" s="1" t="n">
        <v>0</v>
      </c>
      <c r="AI140" s="1" t="n">
        <v>0</v>
      </c>
      <c r="AJ140" s="1" t="n">
        <v>4</v>
      </c>
      <c r="AK140" s="1" t="n">
        <v>10</v>
      </c>
      <c r="AL140" s="1" t="s">
        <v>704</v>
      </c>
      <c r="AM140" s="1" t="s">
        <v>705</v>
      </c>
      <c r="AN140" s="1" t="s">
        <v>706</v>
      </c>
      <c r="AO140" s="1" t="s">
        <v>707</v>
      </c>
      <c r="AP140" s="1" t="s">
        <v>708</v>
      </c>
      <c r="AQ140" s="1"/>
      <c r="AR140" s="1" t="s">
        <v>709</v>
      </c>
      <c r="AS140" s="1" t="s">
        <v>710</v>
      </c>
      <c r="AT140" s="1" t="s">
        <v>1391</v>
      </c>
      <c r="AU140" s="1" t="n">
        <v>2023</v>
      </c>
      <c r="AV140" s="1" t="n">
        <v>20</v>
      </c>
      <c r="AW140" s="1" t="n">
        <v>7</v>
      </c>
      <c r="AX140" s="1"/>
      <c r="AY140" s="1"/>
      <c r="AZ140" s="1"/>
      <c r="BA140" s="1"/>
      <c r="BB140" s="1"/>
      <c r="BC140" s="1"/>
      <c r="BD140" s="1"/>
      <c r="BE140" s="1" t="s">
        <v>2809</v>
      </c>
      <c r="BF140" s="1" t="str">
        <f aca="false">HYPERLINK("http://dx.doi.org/10.1142/S021987702350044X","http://dx.doi.org/10.1142/S021987702350044X")</f>
        <v>http://dx.doi.org/10.1142/S021987702350044X</v>
      </c>
      <c r="BG140" s="1"/>
      <c r="BH140" s="1" t="s">
        <v>2810</v>
      </c>
      <c r="BI140" s="1" t="n">
        <v>26</v>
      </c>
      <c r="BJ140" s="1" t="s">
        <v>714</v>
      </c>
      <c r="BK140" s="1" t="s">
        <v>253</v>
      </c>
      <c r="BL140" s="1" t="s">
        <v>715</v>
      </c>
      <c r="BM140" s="1" t="s">
        <v>2811</v>
      </c>
      <c r="BN140" s="1"/>
      <c r="BO140" s="1"/>
      <c r="BP140" s="1"/>
      <c r="BQ140" s="1"/>
      <c r="BR140" s="1" t="s">
        <v>103</v>
      </c>
      <c r="BS140" s="1" t="s">
        <v>2812</v>
      </c>
      <c r="BT140" s="1" t="str">
        <f aca="false">HYPERLINK("https%3A%2F%2Fwww.webofscience.com%2Fwos%2Fwoscc%2Ffull-record%2FWOS:001025937400002","View Full Record in Web of Science")</f>
        <v>View Full Record in Web of Science</v>
      </c>
    </row>
    <row r="141" customFormat="false" ht="12.75" hidden="false" customHeight="false" outlineLevel="0" collapsed="false">
      <c r="A141" s="1" t="s">
        <v>181</v>
      </c>
      <c r="B141" s="1" t="s">
        <v>2813</v>
      </c>
      <c r="C141" s="1"/>
      <c r="D141" s="1"/>
      <c r="E141" s="1"/>
      <c r="F141" s="1" t="s">
        <v>2814</v>
      </c>
      <c r="G141" s="1"/>
      <c r="H141" s="1"/>
      <c r="I141" s="1" t="s">
        <v>2815</v>
      </c>
      <c r="J141" s="1" t="s">
        <v>2816</v>
      </c>
      <c r="K141" s="1"/>
      <c r="L141" s="1"/>
      <c r="M141" s="1" t="s">
        <v>78</v>
      </c>
      <c r="N141" s="1" t="s">
        <v>186</v>
      </c>
      <c r="O141" s="1"/>
      <c r="P141" s="1"/>
      <c r="Q141" s="1"/>
      <c r="R141" s="1"/>
      <c r="S141" s="1"/>
      <c r="T141" s="1" t="s">
        <v>2817</v>
      </c>
      <c r="U141" s="1" t="s">
        <v>2818</v>
      </c>
      <c r="V141" s="1" t="s">
        <v>2819</v>
      </c>
      <c r="W141" s="1" t="s">
        <v>2820</v>
      </c>
      <c r="X141" s="1" t="s">
        <v>86</v>
      </c>
      <c r="Y141" s="1" t="s">
        <v>2821</v>
      </c>
      <c r="Z141" s="1" t="s">
        <v>2822</v>
      </c>
      <c r="AA141" s="1"/>
      <c r="AB141" s="1" t="s">
        <v>2823</v>
      </c>
      <c r="AC141" s="1" t="s">
        <v>268</v>
      </c>
      <c r="AD141" s="1" t="s">
        <v>268</v>
      </c>
      <c r="AE141" s="1" t="s">
        <v>2824</v>
      </c>
      <c r="AF141" s="1"/>
      <c r="AG141" s="1" t="n">
        <v>76</v>
      </c>
      <c r="AH141" s="1" t="n">
        <v>4</v>
      </c>
      <c r="AI141" s="1" t="n">
        <v>4</v>
      </c>
      <c r="AJ141" s="1" t="n">
        <v>6</v>
      </c>
      <c r="AK141" s="1" t="n">
        <v>21</v>
      </c>
      <c r="AL141" s="1" t="s">
        <v>2825</v>
      </c>
      <c r="AM141" s="1" t="s">
        <v>2826</v>
      </c>
      <c r="AN141" s="1" t="s">
        <v>2827</v>
      </c>
      <c r="AO141" s="1" t="s">
        <v>2828</v>
      </c>
      <c r="AP141" s="1" t="s">
        <v>2829</v>
      </c>
      <c r="AQ141" s="1"/>
      <c r="AR141" s="1" t="s">
        <v>2830</v>
      </c>
      <c r="AS141" s="1" t="s">
        <v>2831</v>
      </c>
      <c r="AT141" s="1" t="s">
        <v>754</v>
      </c>
      <c r="AU141" s="1" t="n">
        <v>2023</v>
      </c>
      <c r="AV141" s="1" t="n">
        <v>18</v>
      </c>
      <c r="AW141" s="1" t="n">
        <v>3</v>
      </c>
      <c r="AX141" s="1"/>
      <c r="AY141" s="1"/>
      <c r="AZ141" s="1"/>
      <c r="BA141" s="1"/>
      <c r="BB141" s="1" t="n">
        <v>1181</v>
      </c>
      <c r="BC141" s="1" t="n">
        <v>1197</v>
      </c>
      <c r="BD141" s="1"/>
      <c r="BE141" s="1" t="s">
        <v>2832</v>
      </c>
      <c r="BF141" s="1" t="str">
        <f aca="false">HYPERLINK("http://dx.doi.org/10.1007/s11625-022-01288-8","http://dx.doi.org/10.1007/s11625-022-01288-8")</f>
        <v>http://dx.doi.org/10.1007/s11625-022-01288-8</v>
      </c>
      <c r="BG141" s="1"/>
      <c r="BH141" s="1" t="s">
        <v>2833</v>
      </c>
      <c r="BI141" s="1" t="n">
        <v>17</v>
      </c>
      <c r="BJ141" s="1" t="s">
        <v>2834</v>
      </c>
      <c r="BK141" s="1" t="s">
        <v>204</v>
      </c>
      <c r="BL141" s="1" t="s">
        <v>399</v>
      </c>
      <c r="BM141" s="1" t="s">
        <v>2835</v>
      </c>
      <c r="BN141" s="1"/>
      <c r="BO141" s="1" t="s">
        <v>612</v>
      </c>
      <c r="BP141" s="1"/>
      <c r="BQ141" s="1"/>
      <c r="BR141" s="1" t="s">
        <v>103</v>
      </c>
      <c r="BS141" s="1" t="s">
        <v>2836</v>
      </c>
      <c r="BT141" s="1" t="str">
        <f aca="false">HYPERLINK("https%3A%2F%2Fwww.webofscience.com%2Fwos%2Fwoscc%2Ffull-record%2FWOS:000935084200001","View Full Record in Web of Science")</f>
        <v>View Full Record in Web of Science</v>
      </c>
    </row>
    <row r="142" customFormat="false" ht="12.75" hidden="false" customHeight="false" outlineLevel="0" collapsed="false">
      <c r="A142" s="1" t="s">
        <v>72</v>
      </c>
      <c r="B142" s="1" t="s">
        <v>2837</v>
      </c>
      <c r="C142" s="1"/>
      <c r="D142" s="1" t="s">
        <v>2838</v>
      </c>
      <c r="E142" s="1"/>
      <c r="F142" s="1" t="s">
        <v>2839</v>
      </c>
      <c r="G142" s="1"/>
      <c r="H142" s="1"/>
      <c r="I142" s="1" t="s">
        <v>2840</v>
      </c>
      <c r="J142" s="1" t="s">
        <v>2841</v>
      </c>
      <c r="K142" s="1" t="s">
        <v>2842</v>
      </c>
      <c r="L142" s="1"/>
      <c r="M142" s="1" t="s">
        <v>78</v>
      </c>
      <c r="N142" s="1" t="s">
        <v>79</v>
      </c>
      <c r="O142" s="1" t="s">
        <v>2843</v>
      </c>
      <c r="P142" s="1" t="s">
        <v>2844</v>
      </c>
      <c r="Q142" s="1" t="s">
        <v>2845</v>
      </c>
      <c r="R142" s="1"/>
      <c r="S142" s="1"/>
      <c r="T142" s="1" t="s">
        <v>2846</v>
      </c>
      <c r="U142" s="1"/>
      <c r="V142" s="1" t="s">
        <v>2847</v>
      </c>
      <c r="W142" s="1" t="s">
        <v>2848</v>
      </c>
      <c r="X142" s="1" t="s">
        <v>86</v>
      </c>
      <c r="Y142" s="1" t="s">
        <v>2849</v>
      </c>
      <c r="Z142" s="1" t="s">
        <v>2850</v>
      </c>
      <c r="AA142" s="1" t="s">
        <v>2851</v>
      </c>
      <c r="AB142" s="1" t="s">
        <v>2852</v>
      </c>
      <c r="AC142" s="1" t="s">
        <v>91</v>
      </c>
      <c r="AD142" s="1" t="s">
        <v>92</v>
      </c>
      <c r="AE142" s="1" t="s">
        <v>2853</v>
      </c>
      <c r="AF142" s="1"/>
      <c r="AG142" s="1" t="n">
        <v>32</v>
      </c>
      <c r="AH142" s="1" t="n">
        <v>3</v>
      </c>
      <c r="AI142" s="1" t="n">
        <v>3</v>
      </c>
      <c r="AJ142" s="1" t="n">
        <v>0</v>
      </c>
      <c r="AK142" s="1" t="n">
        <v>0</v>
      </c>
      <c r="AL142" s="1" t="s">
        <v>302</v>
      </c>
      <c r="AM142" s="1" t="s">
        <v>303</v>
      </c>
      <c r="AN142" s="1" t="s">
        <v>304</v>
      </c>
      <c r="AO142" s="1" t="s">
        <v>2854</v>
      </c>
      <c r="AP142" s="1" t="s">
        <v>2855</v>
      </c>
      <c r="AQ142" s="1" t="s">
        <v>2856</v>
      </c>
      <c r="AR142" s="1" t="s">
        <v>2857</v>
      </c>
      <c r="AS142" s="1"/>
      <c r="AT142" s="1"/>
      <c r="AU142" s="1" t="n">
        <v>2023</v>
      </c>
      <c r="AV142" s="1" t="n">
        <v>1826</v>
      </c>
      <c r="AW142" s="1"/>
      <c r="AX142" s="1"/>
      <c r="AY142" s="1"/>
      <c r="AZ142" s="1"/>
      <c r="BA142" s="1"/>
      <c r="BB142" s="1" t="n">
        <v>505</v>
      </c>
      <c r="BC142" s="1" t="n">
        <v>519</v>
      </c>
      <c r="BD142" s="1"/>
      <c r="BE142" s="1" t="s">
        <v>2858</v>
      </c>
      <c r="BF142" s="1" t="str">
        <f aca="false">HYPERLINK("http://dx.doi.org/10.1007/978-3-031-34204-2_41","http://dx.doi.org/10.1007/978-3-031-34204-2_41")</f>
        <v>http://dx.doi.org/10.1007/978-3-031-34204-2_41</v>
      </c>
      <c r="BG142" s="1"/>
      <c r="BH142" s="1"/>
      <c r="BI142" s="1" t="n">
        <v>15</v>
      </c>
      <c r="BJ142" s="1" t="s">
        <v>374</v>
      </c>
      <c r="BK142" s="1" t="s">
        <v>100</v>
      </c>
      <c r="BL142" s="1" t="s">
        <v>101</v>
      </c>
      <c r="BM142" s="1" t="s">
        <v>2859</v>
      </c>
      <c r="BN142" s="1"/>
      <c r="BO142" s="1"/>
      <c r="BP142" s="1"/>
      <c r="BQ142" s="1"/>
      <c r="BR142" s="1" t="s">
        <v>103</v>
      </c>
      <c r="BS142" s="1" t="s">
        <v>2860</v>
      </c>
      <c r="BT142" s="1" t="str">
        <f aca="false">HYPERLINK("https%3A%2F%2Fwww.webofscience.com%2Fwos%2Fwoscc%2Ffull-record%2FWOS:001308331700041","View Full Record in Web of Science")</f>
        <v>View Full Record in Web of Science</v>
      </c>
    </row>
    <row r="143" customFormat="false" ht="12.75" hidden="false" customHeight="false" outlineLevel="0" collapsed="false">
      <c r="A143" s="1" t="s">
        <v>181</v>
      </c>
      <c r="B143" s="1" t="s">
        <v>2861</v>
      </c>
      <c r="C143" s="1"/>
      <c r="D143" s="1"/>
      <c r="E143" s="1"/>
      <c r="F143" s="1" t="s">
        <v>2862</v>
      </c>
      <c r="G143" s="1"/>
      <c r="H143" s="1"/>
      <c r="I143" s="1" t="s">
        <v>2863</v>
      </c>
      <c r="J143" s="1" t="s">
        <v>1104</v>
      </c>
      <c r="K143" s="1"/>
      <c r="L143" s="1"/>
      <c r="M143" s="1" t="s">
        <v>78</v>
      </c>
      <c r="N143" s="1" t="s">
        <v>186</v>
      </c>
      <c r="O143" s="1"/>
      <c r="P143" s="1"/>
      <c r="Q143" s="1"/>
      <c r="R143" s="1"/>
      <c r="S143" s="1"/>
      <c r="T143" s="1" t="s">
        <v>2864</v>
      </c>
      <c r="U143" s="1"/>
      <c r="V143" s="1" t="s">
        <v>2865</v>
      </c>
      <c r="W143" s="1" t="s">
        <v>2866</v>
      </c>
      <c r="X143" s="1" t="s">
        <v>86</v>
      </c>
      <c r="Y143" s="1" t="s">
        <v>191</v>
      </c>
      <c r="Z143" s="1" t="s">
        <v>192</v>
      </c>
      <c r="AA143" s="1" t="s">
        <v>2867</v>
      </c>
      <c r="AB143" s="1" t="s">
        <v>2868</v>
      </c>
      <c r="AC143" s="1" t="s">
        <v>2869</v>
      </c>
      <c r="AD143" s="1" t="s">
        <v>2870</v>
      </c>
      <c r="AE143" s="1" t="s">
        <v>2871</v>
      </c>
      <c r="AF143" s="1"/>
      <c r="AG143" s="1" t="n">
        <v>20</v>
      </c>
      <c r="AH143" s="1" t="n">
        <v>2</v>
      </c>
      <c r="AI143" s="1" t="n">
        <v>2</v>
      </c>
      <c r="AJ143" s="1" t="n">
        <v>9</v>
      </c>
      <c r="AK143" s="1" t="n">
        <v>21</v>
      </c>
      <c r="AL143" s="1" t="s">
        <v>195</v>
      </c>
      <c r="AM143" s="1" t="s">
        <v>196</v>
      </c>
      <c r="AN143" s="1" t="s">
        <v>197</v>
      </c>
      <c r="AO143" s="1" t="s">
        <v>1114</v>
      </c>
      <c r="AP143" s="1"/>
      <c r="AQ143" s="1"/>
      <c r="AR143" s="1" t="s">
        <v>1104</v>
      </c>
      <c r="AS143" s="1" t="s">
        <v>1115</v>
      </c>
      <c r="AT143" s="1"/>
      <c r="AU143" s="1" t="n">
        <v>2023</v>
      </c>
      <c r="AV143" s="1" t="n">
        <v>11</v>
      </c>
      <c r="AW143" s="1"/>
      <c r="AX143" s="1"/>
      <c r="AY143" s="1"/>
      <c r="AZ143" s="1"/>
      <c r="BA143" s="1"/>
      <c r="BB143" s="1" t="n">
        <v>103669</v>
      </c>
      <c r="BC143" s="1" t="n">
        <v>103678</v>
      </c>
      <c r="BD143" s="1"/>
      <c r="BE143" s="1" t="s">
        <v>2872</v>
      </c>
      <c r="BF143" s="1" t="str">
        <f aca="false">HYPERLINK("http://dx.doi.org/10.1109/ACCESS.2023.3318009","http://dx.doi.org/10.1109/ACCESS.2023.3318009")</f>
        <v>http://dx.doi.org/10.1109/ACCESS.2023.3318009</v>
      </c>
      <c r="BG143" s="1"/>
      <c r="BH143" s="1"/>
      <c r="BI143" s="1" t="n">
        <v>10</v>
      </c>
      <c r="BJ143" s="1" t="s">
        <v>1117</v>
      </c>
      <c r="BK143" s="1" t="s">
        <v>204</v>
      </c>
      <c r="BL143" s="1" t="s">
        <v>1118</v>
      </c>
      <c r="BM143" s="1" t="s">
        <v>2873</v>
      </c>
      <c r="BN143" s="1"/>
      <c r="BO143" s="1" t="s">
        <v>227</v>
      </c>
      <c r="BP143" s="1"/>
      <c r="BQ143" s="1"/>
      <c r="BR143" s="1" t="s">
        <v>103</v>
      </c>
      <c r="BS143" s="1" t="s">
        <v>2874</v>
      </c>
      <c r="BT143" s="1" t="str">
        <f aca="false">HYPERLINK("https%3A%2F%2Fwww.webofscience.com%2Fwos%2Fwoscc%2Ffull-record%2FWOS:001081558300001","View Full Record in Web of Science")</f>
        <v>View Full Record in Web of Science</v>
      </c>
    </row>
    <row r="144" customFormat="false" ht="12.75" hidden="false" customHeight="false" outlineLevel="0" collapsed="false">
      <c r="A144" s="1" t="s">
        <v>181</v>
      </c>
      <c r="B144" s="1" t="s">
        <v>2875</v>
      </c>
      <c r="C144" s="1"/>
      <c r="D144" s="1"/>
      <c r="E144" s="1"/>
      <c r="F144" s="1" t="s">
        <v>2876</v>
      </c>
      <c r="G144" s="1"/>
      <c r="H144" s="1"/>
      <c r="I144" s="1" t="s">
        <v>2877</v>
      </c>
      <c r="J144" s="1" t="s">
        <v>523</v>
      </c>
      <c r="K144" s="1"/>
      <c r="L144" s="1"/>
      <c r="M144" s="1" t="s">
        <v>78</v>
      </c>
      <c r="N144" s="1" t="s">
        <v>186</v>
      </c>
      <c r="O144" s="1"/>
      <c r="P144" s="1"/>
      <c r="Q144" s="1"/>
      <c r="R144" s="1"/>
      <c r="S144" s="1"/>
      <c r="T144" s="1" t="s">
        <v>2878</v>
      </c>
      <c r="U144" s="1" t="s">
        <v>2879</v>
      </c>
      <c r="V144" s="1" t="s">
        <v>2880</v>
      </c>
      <c r="W144" s="1" t="s">
        <v>2881</v>
      </c>
      <c r="X144" s="1" t="s">
        <v>86</v>
      </c>
      <c r="Y144" s="1" t="s">
        <v>2882</v>
      </c>
      <c r="Z144" s="1" t="s">
        <v>2883</v>
      </c>
      <c r="AA144" s="1" t="s">
        <v>1072</v>
      </c>
      <c r="AB144" s="1" t="s">
        <v>90</v>
      </c>
      <c r="AC144" s="1"/>
      <c r="AD144" s="1"/>
      <c r="AE144" s="1"/>
      <c r="AF144" s="1"/>
      <c r="AG144" s="1" t="n">
        <v>49</v>
      </c>
      <c r="AH144" s="1" t="n">
        <v>11</v>
      </c>
      <c r="AI144" s="1" t="n">
        <v>11</v>
      </c>
      <c r="AJ144" s="1" t="n">
        <v>5</v>
      </c>
      <c r="AK144" s="1" t="n">
        <v>30</v>
      </c>
      <c r="AL144" s="1" t="s">
        <v>367</v>
      </c>
      <c r="AM144" s="1" t="s">
        <v>368</v>
      </c>
      <c r="AN144" s="1" t="s">
        <v>369</v>
      </c>
      <c r="AO144" s="1"/>
      <c r="AP144" s="1" t="s">
        <v>534</v>
      </c>
      <c r="AQ144" s="1"/>
      <c r="AR144" s="1" t="s">
        <v>535</v>
      </c>
      <c r="AS144" s="1" t="s">
        <v>536</v>
      </c>
      <c r="AT144" s="1" t="s">
        <v>711</v>
      </c>
      <c r="AU144" s="1" t="n">
        <v>2022</v>
      </c>
      <c r="AV144" s="1" t="n">
        <v>12</v>
      </c>
      <c r="AW144" s="1" t="n">
        <v>16</v>
      </c>
      <c r="AX144" s="1"/>
      <c r="AY144" s="1"/>
      <c r="AZ144" s="1"/>
      <c r="BA144" s="1"/>
      <c r="BB144" s="1"/>
      <c r="BC144" s="1"/>
      <c r="BD144" s="1" t="n">
        <v>8007</v>
      </c>
      <c r="BE144" s="1" t="s">
        <v>2884</v>
      </c>
      <c r="BF144" s="1" t="str">
        <f aca="false">HYPERLINK("http://dx.doi.org/10.3390/app12168007","http://dx.doi.org/10.3390/app12168007")</f>
        <v>http://dx.doi.org/10.3390/app12168007</v>
      </c>
      <c r="BG144" s="1"/>
      <c r="BH144" s="1"/>
      <c r="BI144" s="1" t="n">
        <v>17</v>
      </c>
      <c r="BJ144" s="1" t="s">
        <v>539</v>
      </c>
      <c r="BK144" s="1" t="s">
        <v>204</v>
      </c>
      <c r="BL144" s="1" t="s">
        <v>540</v>
      </c>
      <c r="BM144" s="1" t="s">
        <v>2885</v>
      </c>
      <c r="BN144" s="1"/>
      <c r="BO144" s="1" t="s">
        <v>542</v>
      </c>
      <c r="BP144" s="1"/>
      <c r="BQ144" s="1"/>
      <c r="BR144" s="1" t="s">
        <v>103</v>
      </c>
      <c r="BS144" s="1" t="s">
        <v>2886</v>
      </c>
      <c r="BT144" s="1" t="str">
        <f aca="false">HYPERLINK("https%3A%2F%2Fwww.webofscience.com%2Fwos%2Fwoscc%2Ffull-record%2FWOS:000847062000001","View Full Record in Web of Science")</f>
        <v>View Full Record in Web of Science</v>
      </c>
    </row>
    <row r="145" customFormat="false" ht="12.75" hidden="false" customHeight="false" outlineLevel="0" collapsed="false">
      <c r="A145" s="1" t="s">
        <v>181</v>
      </c>
      <c r="B145" s="1" t="s">
        <v>2887</v>
      </c>
      <c r="C145" s="1"/>
      <c r="D145" s="1"/>
      <c r="E145" s="1"/>
      <c r="F145" s="1" t="s">
        <v>2888</v>
      </c>
      <c r="G145" s="1"/>
      <c r="H145" s="1"/>
      <c r="I145" s="1" t="s">
        <v>2889</v>
      </c>
      <c r="J145" s="1" t="s">
        <v>381</v>
      </c>
      <c r="K145" s="1"/>
      <c r="L145" s="1"/>
      <c r="M145" s="1" t="s">
        <v>78</v>
      </c>
      <c r="N145" s="1" t="s">
        <v>186</v>
      </c>
      <c r="O145" s="1"/>
      <c r="P145" s="1"/>
      <c r="Q145" s="1"/>
      <c r="R145" s="1"/>
      <c r="S145" s="1"/>
      <c r="T145" s="1" t="s">
        <v>2890</v>
      </c>
      <c r="U145" s="1" t="s">
        <v>2891</v>
      </c>
      <c r="V145" s="1" t="s">
        <v>2892</v>
      </c>
      <c r="W145" s="1" t="s">
        <v>2893</v>
      </c>
      <c r="X145" s="1" t="s">
        <v>86</v>
      </c>
      <c r="Y145" s="1" t="s">
        <v>2894</v>
      </c>
      <c r="Z145" s="1" t="s">
        <v>2895</v>
      </c>
      <c r="AA145" s="1" t="s">
        <v>1813</v>
      </c>
      <c r="AB145" s="1"/>
      <c r="AC145" s="1" t="s">
        <v>2896</v>
      </c>
      <c r="AD145" s="1" t="s">
        <v>2896</v>
      </c>
      <c r="AE145" s="1" t="s">
        <v>2897</v>
      </c>
      <c r="AF145" s="1"/>
      <c r="AG145" s="1" t="n">
        <v>51</v>
      </c>
      <c r="AH145" s="1" t="n">
        <v>7</v>
      </c>
      <c r="AI145" s="1" t="n">
        <v>8</v>
      </c>
      <c r="AJ145" s="1" t="n">
        <v>0</v>
      </c>
      <c r="AK145" s="1" t="n">
        <v>8</v>
      </c>
      <c r="AL145" s="1" t="s">
        <v>367</v>
      </c>
      <c r="AM145" s="1" t="s">
        <v>368</v>
      </c>
      <c r="AN145" s="1" t="s">
        <v>369</v>
      </c>
      <c r="AO145" s="1"/>
      <c r="AP145" s="1" t="s">
        <v>393</v>
      </c>
      <c r="AQ145" s="1"/>
      <c r="AR145" s="1" t="s">
        <v>394</v>
      </c>
      <c r="AS145" s="1" t="s">
        <v>395</v>
      </c>
      <c r="AT145" s="1" t="s">
        <v>537</v>
      </c>
      <c r="AU145" s="1" t="n">
        <v>2021</v>
      </c>
      <c r="AV145" s="1" t="n">
        <v>13</v>
      </c>
      <c r="AW145" s="1" t="n">
        <v>4</v>
      </c>
      <c r="AX145" s="1"/>
      <c r="AY145" s="1"/>
      <c r="AZ145" s="1"/>
      <c r="BA145" s="1"/>
      <c r="BB145" s="1"/>
      <c r="BC145" s="1"/>
      <c r="BD145" s="1" t="n">
        <v>1986</v>
      </c>
      <c r="BE145" s="1" t="s">
        <v>2898</v>
      </c>
      <c r="BF145" s="1" t="str">
        <f aca="false">HYPERLINK("http://dx.doi.org/10.3390/su13041986","http://dx.doi.org/10.3390/su13041986")</f>
        <v>http://dx.doi.org/10.3390/su13041986</v>
      </c>
      <c r="BG145" s="1"/>
      <c r="BH145" s="1"/>
      <c r="BI145" s="1" t="n">
        <v>20</v>
      </c>
      <c r="BJ145" s="1" t="s">
        <v>397</v>
      </c>
      <c r="BK145" s="1" t="s">
        <v>398</v>
      </c>
      <c r="BL145" s="1" t="s">
        <v>399</v>
      </c>
      <c r="BM145" s="1" t="s">
        <v>2899</v>
      </c>
      <c r="BN145" s="1"/>
      <c r="BO145" s="1" t="s">
        <v>542</v>
      </c>
      <c r="BP145" s="1"/>
      <c r="BQ145" s="1"/>
      <c r="BR145" s="1" t="s">
        <v>103</v>
      </c>
      <c r="BS145" s="1" t="s">
        <v>2900</v>
      </c>
      <c r="BT145" s="1" t="str">
        <f aca="false">HYPERLINK("https%3A%2F%2Fwww.webofscience.com%2Fwos%2Fwoscc%2Ffull-record%2FWOS:000624803700001","View Full Record in Web of Science")</f>
        <v>View Full Record in Web of Science</v>
      </c>
    </row>
    <row r="146" customFormat="false" ht="12.75" hidden="false" customHeight="false" outlineLevel="0" collapsed="false">
      <c r="A146" s="1" t="s">
        <v>181</v>
      </c>
      <c r="B146" s="1" t="s">
        <v>2901</v>
      </c>
      <c r="C146" s="1"/>
      <c r="D146" s="1"/>
      <c r="E146" s="1"/>
      <c r="F146" s="1" t="s">
        <v>2902</v>
      </c>
      <c r="G146" s="1"/>
      <c r="H146" s="1"/>
      <c r="I146" s="1" t="s">
        <v>2903</v>
      </c>
      <c r="J146" s="1" t="s">
        <v>2904</v>
      </c>
      <c r="K146" s="1"/>
      <c r="L146" s="1"/>
      <c r="M146" s="1" t="s">
        <v>78</v>
      </c>
      <c r="N146" s="1" t="s">
        <v>186</v>
      </c>
      <c r="O146" s="1"/>
      <c r="P146" s="1"/>
      <c r="Q146" s="1"/>
      <c r="R146" s="1"/>
      <c r="S146" s="1"/>
      <c r="T146" s="1" t="s">
        <v>2905</v>
      </c>
      <c r="U146" s="1" t="s">
        <v>2906</v>
      </c>
      <c r="V146" s="1" t="s">
        <v>2907</v>
      </c>
      <c r="W146" s="1" t="s">
        <v>2908</v>
      </c>
      <c r="X146" s="1" t="s">
        <v>86</v>
      </c>
      <c r="Y146" s="1" t="s">
        <v>2909</v>
      </c>
      <c r="Z146" s="1" t="s">
        <v>2910</v>
      </c>
      <c r="AA146" s="1" t="s">
        <v>2911</v>
      </c>
      <c r="AB146" s="1" t="s">
        <v>2912</v>
      </c>
      <c r="AC146" s="1" t="s">
        <v>2913</v>
      </c>
      <c r="AD146" s="1" t="s">
        <v>391</v>
      </c>
      <c r="AE146" s="1" t="s">
        <v>2914</v>
      </c>
      <c r="AF146" s="1"/>
      <c r="AG146" s="1" t="n">
        <v>29</v>
      </c>
      <c r="AH146" s="1" t="n">
        <v>116</v>
      </c>
      <c r="AI146" s="1" t="n">
        <v>121</v>
      </c>
      <c r="AJ146" s="1" t="n">
        <v>12</v>
      </c>
      <c r="AK146" s="1" t="n">
        <v>73</v>
      </c>
      <c r="AL146" s="1" t="s">
        <v>1651</v>
      </c>
      <c r="AM146" s="1" t="s">
        <v>1026</v>
      </c>
      <c r="AN146" s="1" t="s">
        <v>1652</v>
      </c>
      <c r="AO146" s="1" t="s">
        <v>2915</v>
      </c>
      <c r="AP146" s="1" t="s">
        <v>2916</v>
      </c>
      <c r="AQ146" s="1"/>
      <c r="AR146" s="1" t="s">
        <v>2917</v>
      </c>
      <c r="AS146" s="1" t="s">
        <v>2918</v>
      </c>
      <c r="AT146" s="1" t="s">
        <v>2919</v>
      </c>
      <c r="AU146" s="1" t="n">
        <v>2020</v>
      </c>
      <c r="AV146" s="1" t="n">
        <v>162</v>
      </c>
      <c r="AW146" s="1"/>
      <c r="AX146" s="1"/>
      <c r="AY146" s="1"/>
      <c r="AZ146" s="1"/>
      <c r="BA146" s="1"/>
      <c r="BB146" s="1"/>
      <c r="BC146" s="1"/>
      <c r="BD146" s="1" t="n">
        <v>113746</v>
      </c>
      <c r="BE146" s="1" t="s">
        <v>2920</v>
      </c>
      <c r="BF146" s="1" t="str">
        <f aca="false">HYPERLINK("http://dx.doi.org/10.1016/j.eswa.2020.113746","http://dx.doi.org/10.1016/j.eswa.2020.113746")</f>
        <v>http://dx.doi.org/10.1016/j.eswa.2020.113746</v>
      </c>
      <c r="BG146" s="1"/>
      <c r="BH146" s="1"/>
      <c r="BI146" s="1" t="n">
        <v>11</v>
      </c>
      <c r="BJ146" s="1" t="s">
        <v>2921</v>
      </c>
      <c r="BK146" s="1" t="s">
        <v>204</v>
      </c>
      <c r="BL146" s="1" t="s">
        <v>2922</v>
      </c>
      <c r="BM146" s="1" t="s">
        <v>2923</v>
      </c>
      <c r="BN146" s="1"/>
      <c r="BO146" s="1"/>
      <c r="BP146" s="1"/>
      <c r="BQ146" s="1"/>
      <c r="BR146" s="1" t="s">
        <v>103</v>
      </c>
      <c r="BS146" s="1" t="s">
        <v>2924</v>
      </c>
      <c r="BT146" s="1" t="str">
        <f aca="false">HYPERLINK("https%3A%2F%2Fwww.webofscience.com%2Fwos%2Fwoscc%2Ffull-record%2FWOS:000582113700019","View Full Record in Web of Science")</f>
        <v>View Full Record in Web of Science</v>
      </c>
    </row>
    <row r="147" customFormat="false" ht="12.75" hidden="false" customHeight="false" outlineLevel="0" collapsed="false">
      <c r="A147" s="1" t="s">
        <v>72</v>
      </c>
      <c r="B147" s="1" t="s">
        <v>2925</v>
      </c>
      <c r="C147" s="1"/>
      <c r="D147" s="1"/>
      <c r="E147" s="1" t="s">
        <v>106</v>
      </c>
      <c r="F147" s="1" t="s">
        <v>2926</v>
      </c>
      <c r="G147" s="1"/>
      <c r="H147" s="1"/>
      <c r="I147" s="1" t="s">
        <v>2927</v>
      </c>
      <c r="J147" s="1" t="s">
        <v>2928</v>
      </c>
      <c r="K147" s="1" t="s">
        <v>2929</v>
      </c>
      <c r="L147" s="1"/>
      <c r="M147" s="1" t="s">
        <v>78</v>
      </c>
      <c r="N147" s="1" t="s">
        <v>79</v>
      </c>
      <c r="O147" s="1" t="s">
        <v>2930</v>
      </c>
      <c r="P147" s="1" t="s">
        <v>2931</v>
      </c>
      <c r="Q147" s="1" t="s">
        <v>2932</v>
      </c>
      <c r="R147" s="1" t="s">
        <v>2933</v>
      </c>
      <c r="S147" s="1"/>
      <c r="T147" s="1"/>
      <c r="U147" s="1"/>
      <c r="V147" s="1" t="s">
        <v>2934</v>
      </c>
      <c r="W147" s="1" t="s">
        <v>2935</v>
      </c>
      <c r="X147" s="1" t="s">
        <v>86</v>
      </c>
      <c r="Y147" s="1" t="s">
        <v>2936</v>
      </c>
      <c r="Z147" s="1"/>
      <c r="AA147" s="1" t="s">
        <v>2937</v>
      </c>
      <c r="AB147" s="1" t="s">
        <v>2938</v>
      </c>
      <c r="AC147" s="1"/>
      <c r="AD147" s="1"/>
      <c r="AE147" s="1"/>
      <c r="AF147" s="1"/>
      <c r="AG147" s="1" t="n">
        <v>7</v>
      </c>
      <c r="AH147" s="1" t="n">
        <v>6</v>
      </c>
      <c r="AI147" s="1" t="n">
        <v>6</v>
      </c>
      <c r="AJ147" s="1" t="n">
        <v>0</v>
      </c>
      <c r="AK147" s="1" t="n">
        <v>2</v>
      </c>
      <c r="AL147" s="1" t="s">
        <v>106</v>
      </c>
      <c r="AM147" s="1" t="s">
        <v>95</v>
      </c>
      <c r="AN147" s="1" t="s">
        <v>122</v>
      </c>
      <c r="AO147" s="1" t="s">
        <v>2939</v>
      </c>
      <c r="AP147" s="1"/>
      <c r="AQ147" s="1" t="s">
        <v>2940</v>
      </c>
      <c r="AR147" s="1" t="s">
        <v>2941</v>
      </c>
      <c r="AS147" s="1"/>
      <c r="AT147" s="1"/>
      <c r="AU147" s="1" t="n">
        <v>2020</v>
      </c>
      <c r="AV147" s="1"/>
      <c r="AW147" s="1"/>
      <c r="AX147" s="1"/>
      <c r="AY147" s="1"/>
      <c r="AZ147" s="1"/>
      <c r="BA147" s="1"/>
      <c r="BB147" s="1" t="n">
        <v>183</v>
      </c>
      <c r="BC147" s="1" t="n">
        <v>186</v>
      </c>
      <c r="BD147" s="1"/>
      <c r="BE147" s="1" t="s">
        <v>2942</v>
      </c>
      <c r="BF147" s="1" t="str">
        <f aca="false">HYPERLINK("http://dx.doi.org/10.1109/rws45077.2020.9049982","http://dx.doi.org/10.1109/rws45077.2020.9049982")</f>
        <v>http://dx.doi.org/10.1109/rws45077.2020.9049982</v>
      </c>
      <c r="BG147" s="1"/>
      <c r="BH147" s="1"/>
      <c r="BI147" s="1" t="n">
        <v>4</v>
      </c>
      <c r="BJ147" s="1" t="s">
        <v>2943</v>
      </c>
      <c r="BK147" s="1" t="s">
        <v>100</v>
      </c>
      <c r="BL147" s="1" t="s">
        <v>2943</v>
      </c>
      <c r="BM147" s="1" t="s">
        <v>2944</v>
      </c>
      <c r="BN147" s="1"/>
      <c r="BO147" s="1"/>
      <c r="BP147" s="1"/>
      <c r="BQ147" s="1"/>
      <c r="BR147" s="1" t="s">
        <v>103</v>
      </c>
      <c r="BS147" s="1" t="s">
        <v>2945</v>
      </c>
      <c r="BT147" s="1" t="str">
        <f aca="false">HYPERLINK("https%3A%2F%2Fwww.webofscience.com%2Fwos%2Fwoscc%2Ffull-record%2FWOS:000565685500049","View Full Record in Web of Science")</f>
        <v>View Full Record in Web of Science</v>
      </c>
    </row>
    <row r="148" customFormat="false" ht="12.75" hidden="false" customHeight="false" outlineLevel="0" collapsed="false">
      <c r="A148" s="1" t="s">
        <v>181</v>
      </c>
      <c r="B148" s="1" t="s">
        <v>2946</v>
      </c>
      <c r="C148" s="1"/>
      <c r="D148" s="1"/>
      <c r="E148" s="1"/>
      <c r="F148" s="1" t="s">
        <v>2947</v>
      </c>
      <c r="G148" s="1"/>
      <c r="H148" s="1"/>
      <c r="I148" s="1" t="s">
        <v>2948</v>
      </c>
      <c r="J148" s="1" t="s">
        <v>1772</v>
      </c>
      <c r="K148" s="1"/>
      <c r="L148" s="1"/>
      <c r="M148" s="1" t="s">
        <v>78</v>
      </c>
      <c r="N148" s="1" t="s">
        <v>186</v>
      </c>
      <c r="O148" s="1"/>
      <c r="P148" s="1"/>
      <c r="Q148" s="1"/>
      <c r="R148" s="1"/>
      <c r="S148" s="1"/>
      <c r="T148" s="1" t="s">
        <v>2949</v>
      </c>
      <c r="U148" s="1" t="s">
        <v>2950</v>
      </c>
      <c r="V148" s="1" t="s">
        <v>2951</v>
      </c>
      <c r="W148" s="1" t="s">
        <v>2952</v>
      </c>
      <c r="X148" s="1" t="s">
        <v>912</v>
      </c>
      <c r="Y148" s="1" t="s">
        <v>2953</v>
      </c>
      <c r="Z148" s="1" t="s">
        <v>2954</v>
      </c>
      <c r="AA148" s="1"/>
      <c r="AB148" s="1"/>
      <c r="AC148" s="1"/>
      <c r="AD148" s="1"/>
      <c r="AE148" s="1"/>
      <c r="AF148" s="1"/>
      <c r="AG148" s="1" t="n">
        <v>53</v>
      </c>
      <c r="AH148" s="1" t="n">
        <v>0</v>
      </c>
      <c r="AI148" s="1" t="n">
        <v>0</v>
      </c>
      <c r="AJ148" s="1" t="n">
        <v>3</v>
      </c>
      <c r="AK148" s="1" t="n">
        <v>11</v>
      </c>
      <c r="AL148" s="1" t="s">
        <v>367</v>
      </c>
      <c r="AM148" s="1" t="s">
        <v>368</v>
      </c>
      <c r="AN148" s="1" t="s">
        <v>369</v>
      </c>
      <c r="AO148" s="1"/>
      <c r="AP148" s="1" t="s">
        <v>1780</v>
      </c>
      <c r="AQ148" s="1"/>
      <c r="AR148" s="1" t="s">
        <v>1781</v>
      </c>
      <c r="AS148" s="1" t="s">
        <v>1782</v>
      </c>
      <c r="AT148" s="1" t="s">
        <v>537</v>
      </c>
      <c r="AU148" s="1" t="n">
        <v>2023</v>
      </c>
      <c r="AV148" s="1" t="n">
        <v>13</v>
      </c>
      <c r="AW148" s="1" t="n">
        <v>2</v>
      </c>
      <c r="AX148" s="1"/>
      <c r="AY148" s="1"/>
      <c r="AZ148" s="1"/>
      <c r="BA148" s="1"/>
      <c r="BB148" s="1"/>
      <c r="BC148" s="1"/>
      <c r="BD148" s="1" t="n">
        <v>181</v>
      </c>
      <c r="BE148" s="1" t="s">
        <v>2955</v>
      </c>
      <c r="BF148" s="1" t="str">
        <f aca="false">HYPERLINK("http://dx.doi.org/10.3390/educsci13020181","http://dx.doi.org/10.3390/educsci13020181")</f>
        <v>http://dx.doi.org/10.3390/educsci13020181</v>
      </c>
      <c r="BG148" s="1"/>
      <c r="BH148" s="1"/>
      <c r="BI148" s="1" t="n">
        <v>20</v>
      </c>
      <c r="BJ148" s="1" t="s">
        <v>924</v>
      </c>
      <c r="BK148" s="1" t="s">
        <v>253</v>
      </c>
      <c r="BL148" s="1" t="s">
        <v>924</v>
      </c>
      <c r="BM148" s="1" t="s">
        <v>2956</v>
      </c>
      <c r="BN148" s="1"/>
      <c r="BO148" s="1" t="s">
        <v>401</v>
      </c>
      <c r="BP148" s="1"/>
      <c r="BQ148" s="1"/>
      <c r="BR148" s="1" t="s">
        <v>103</v>
      </c>
      <c r="BS148" s="1" t="s">
        <v>2957</v>
      </c>
      <c r="BT148" s="1" t="str">
        <f aca="false">HYPERLINK("https%3A%2F%2Fwww.webofscience.com%2Fwos%2Fwoscc%2Ffull-record%2FWOS:000939006400001","View Full Record in Web of Science")</f>
        <v>View Full Record in Web of Science</v>
      </c>
    </row>
    <row r="149" customFormat="false" ht="12.75" hidden="false" customHeight="false" outlineLevel="0" collapsed="false">
      <c r="A149" s="1" t="s">
        <v>72</v>
      </c>
      <c r="B149" s="1" t="s">
        <v>1704</v>
      </c>
      <c r="C149" s="1"/>
      <c r="D149" s="1" t="s">
        <v>2958</v>
      </c>
      <c r="E149" s="1"/>
      <c r="F149" s="1" t="s">
        <v>1706</v>
      </c>
      <c r="G149" s="1"/>
      <c r="H149" s="1"/>
      <c r="I149" s="1" t="s">
        <v>2959</v>
      </c>
      <c r="J149" s="1" t="s">
        <v>2960</v>
      </c>
      <c r="K149" s="1" t="s">
        <v>2842</v>
      </c>
      <c r="L149" s="1"/>
      <c r="M149" s="1" t="s">
        <v>78</v>
      </c>
      <c r="N149" s="1" t="s">
        <v>79</v>
      </c>
      <c r="O149" s="1" t="s">
        <v>2961</v>
      </c>
      <c r="P149" s="1" t="s">
        <v>1711</v>
      </c>
      <c r="Q149" s="1" t="s">
        <v>320</v>
      </c>
      <c r="R149" s="1"/>
      <c r="S149" s="1"/>
      <c r="T149" s="1" t="s">
        <v>2962</v>
      </c>
      <c r="U149" s="1"/>
      <c r="V149" s="1" t="s">
        <v>2963</v>
      </c>
      <c r="W149" s="1" t="s">
        <v>2964</v>
      </c>
      <c r="X149" s="1" t="s">
        <v>86</v>
      </c>
      <c r="Y149" s="1" t="s">
        <v>2965</v>
      </c>
      <c r="Z149" s="1" t="s">
        <v>2966</v>
      </c>
      <c r="AA149" s="1" t="s">
        <v>1716</v>
      </c>
      <c r="AB149" s="1"/>
      <c r="AC149" s="1" t="s">
        <v>2967</v>
      </c>
      <c r="AD149" s="1" t="s">
        <v>2968</v>
      </c>
      <c r="AE149" s="1" t="s">
        <v>2969</v>
      </c>
      <c r="AF149" s="1"/>
      <c r="AG149" s="1" t="n">
        <v>28</v>
      </c>
      <c r="AH149" s="1" t="n">
        <v>0</v>
      </c>
      <c r="AI149" s="1" t="n">
        <v>0</v>
      </c>
      <c r="AJ149" s="1" t="n">
        <v>0</v>
      </c>
      <c r="AK149" s="1" t="n">
        <v>0</v>
      </c>
      <c r="AL149" s="1" t="s">
        <v>302</v>
      </c>
      <c r="AM149" s="1" t="s">
        <v>303</v>
      </c>
      <c r="AN149" s="1" t="s">
        <v>304</v>
      </c>
      <c r="AO149" s="1" t="s">
        <v>2854</v>
      </c>
      <c r="AP149" s="1" t="s">
        <v>2855</v>
      </c>
      <c r="AQ149" s="1" t="s">
        <v>2970</v>
      </c>
      <c r="AR149" s="1" t="s">
        <v>2857</v>
      </c>
      <c r="AS149" s="1"/>
      <c r="AT149" s="1"/>
      <c r="AU149" s="1" t="n">
        <v>2023</v>
      </c>
      <c r="AV149" s="1" t="n">
        <v>1815</v>
      </c>
      <c r="AW149" s="1"/>
      <c r="AX149" s="1"/>
      <c r="AY149" s="1"/>
      <c r="AZ149" s="1"/>
      <c r="BA149" s="1"/>
      <c r="BB149" s="1" t="n">
        <v>203</v>
      </c>
      <c r="BC149" s="1" t="n">
        <v>221</v>
      </c>
      <c r="BD149" s="1"/>
      <c r="BE149" s="1" t="s">
        <v>2971</v>
      </c>
      <c r="BF149" s="1" t="str">
        <f aca="false">HYPERLINK("http://dx.doi.org/10.1007/978-3-031-45725-8_10","http://dx.doi.org/10.1007/978-3-031-45725-8_10")</f>
        <v>http://dx.doi.org/10.1007/978-3-031-45725-8_10</v>
      </c>
      <c r="BG149" s="1"/>
      <c r="BH149" s="1"/>
      <c r="BI149" s="1" t="n">
        <v>19</v>
      </c>
      <c r="BJ149" s="1" t="s">
        <v>2972</v>
      </c>
      <c r="BK149" s="1" t="s">
        <v>100</v>
      </c>
      <c r="BL149" s="1" t="s">
        <v>101</v>
      </c>
      <c r="BM149" s="1" t="s">
        <v>2973</v>
      </c>
      <c r="BN149" s="1"/>
      <c r="BO149" s="1"/>
      <c r="BP149" s="1"/>
      <c r="BQ149" s="1"/>
      <c r="BR149" s="1" t="s">
        <v>103</v>
      </c>
      <c r="BS149" s="1" t="s">
        <v>2974</v>
      </c>
      <c r="BT149" s="1" t="str">
        <f aca="false">HYPERLINK("https%3A%2F%2Fwww.webofscience.com%2Fwos%2Fwoscc%2Ffull-record%2FWOS:001302630600010","View Full Record in Web of Science")</f>
        <v>View Full Record in Web of Science</v>
      </c>
    </row>
    <row r="150" customFormat="false" ht="12.75" hidden="false" customHeight="false" outlineLevel="0" collapsed="false">
      <c r="A150" s="1" t="s">
        <v>181</v>
      </c>
      <c r="B150" s="1" t="s">
        <v>2975</v>
      </c>
      <c r="C150" s="1"/>
      <c r="D150" s="1"/>
      <c r="E150" s="1"/>
      <c r="F150" s="1" t="s">
        <v>2976</v>
      </c>
      <c r="G150" s="1"/>
      <c r="H150" s="1"/>
      <c r="I150" s="1" t="s">
        <v>2977</v>
      </c>
      <c r="J150" s="1" t="s">
        <v>2978</v>
      </c>
      <c r="K150" s="1"/>
      <c r="L150" s="1"/>
      <c r="M150" s="1" t="s">
        <v>78</v>
      </c>
      <c r="N150" s="1" t="s">
        <v>186</v>
      </c>
      <c r="O150" s="1"/>
      <c r="P150" s="1"/>
      <c r="Q150" s="1"/>
      <c r="R150" s="1"/>
      <c r="S150" s="1"/>
      <c r="T150" s="1" t="s">
        <v>2979</v>
      </c>
      <c r="U150" s="1" t="s">
        <v>2980</v>
      </c>
      <c r="V150" s="1" t="s">
        <v>2981</v>
      </c>
      <c r="W150" s="1" t="s">
        <v>2982</v>
      </c>
      <c r="X150" s="1" t="s">
        <v>86</v>
      </c>
      <c r="Y150" s="1" t="s">
        <v>2983</v>
      </c>
      <c r="Z150" s="1" t="s">
        <v>2984</v>
      </c>
      <c r="AA150" s="1"/>
      <c r="AB150" s="1"/>
      <c r="AC150" s="1"/>
      <c r="AD150" s="1"/>
      <c r="AE150" s="1"/>
      <c r="AF150" s="1"/>
      <c r="AG150" s="1" t="n">
        <v>33</v>
      </c>
      <c r="AH150" s="1" t="n">
        <v>0</v>
      </c>
      <c r="AI150" s="1" t="n">
        <v>0</v>
      </c>
      <c r="AJ150" s="1" t="n">
        <v>0</v>
      </c>
      <c r="AK150" s="1" t="n">
        <v>1</v>
      </c>
      <c r="AL150" s="1" t="s">
        <v>938</v>
      </c>
      <c r="AM150" s="1" t="s">
        <v>939</v>
      </c>
      <c r="AN150" s="1" t="s">
        <v>940</v>
      </c>
      <c r="AO150" s="1"/>
      <c r="AP150" s="1" t="s">
        <v>2985</v>
      </c>
      <c r="AQ150" s="1"/>
      <c r="AR150" s="1" t="s">
        <v>2986</v>
      </c>
      <c r="AS150" s="1" t="s">
        <v>2987</v>
      </c>
      <c r="AT150" s="1" t="s">
        <v>2988</v>
      </c>
      <c r="AU150" s="1" t="n">
        <v>2022</v>
      </c>
      <c r="AV150" s="1" t="n">
        <v>4</v>
      </c>
      <c r="AW150" s="1"/>
      <c r="AX150" s="1"/>
      <c r="AY150" s="1"/>
      <c r="AZ150" s="1"/>
      <c r="BA150" s="1"/>
      <c r="BB150" s="1"/>
      <c r="BC150" s="1"/>
      <c r="BD150" s="1" t="n">
        <v>895962</v>
      </c>
      <c r="BE150" s="1" t="s">
        <v>2989</v>
      </c>
      <c r="BF150" s="1" t="str">
        <f aca="false">HYPERLINK("http://dx.doi.org/10.3389/frsc.2022.895962","http://dx.doi.org/10.3389/frsc.2022.895962")</f>
        <v>http://dx.doi.org/10.3389/frsc.2022.895962</v>
      </c>
      <c r="BG150" s="1"/>
      <c r="BH150" s="1"/>
      <c r="BI150" s="1" t="n">
        <v>11</v>
      </c>
      <c r="BJ150" s="1" t="s">
        <v>2990</v>
      </c>
      <c r="BK150" s="1" t="s">
        <v>253</v>
      </c>
      <c r="BL150" s="1" t="s">
        <v>2991</v>
      </c>
      <c r="BM150" s="1" t="s">
        <v>2992</v>
      </c>
      <c r="BN150" s="1"/>
      <c r="BO150" s="1" t="s">
        <v>401</v>
      </c>
      <c r="BP150" s="1"/>
      <c r="BQ150" s="1"/>
      <c r="BR150" s="1" t="s">
        <v>103</v>
      </c>
      <c r="BS150" s="1" t="s">
        <v>2993</v>
      </c>
      <c r="BT150" s="1" t="str">
        <f aca="false">HYPERLINK("https%3A%2F%2Fwww.webofscience.com%2Fwos%2Fwoscc%2Ffull-record%2FWOS:000911597800001","View Full Record in Web of Science")</f>
        <v>View Full Record in Web of Science</v>
      </c>
    </row>
    <row r="151" customFormat="false" ht="12.75" hidden="false" customHeight="false" outlineLevel="0" collapsed="false">
      <c r="A151" s="1" t="s">
        <v>181</v>
      </c>
      <c r="B151" s="1" t="s">
        <v>2994</v>
      </c>
      <c r="C151" s="1"/>
      <c r="D151" s="1"/>
      <c r="E151" s="1"/>
      <c r="F151" s="1" t="s">
        <v>2995</v>
      </c>
      <c r="G151" s="1"/>
      <c r="H151" s="1"/>
      <c r="I151" s="1" t="s">
        <v>2996</v>
      </c>
      <c r="J151" s="1" t="s">
        <v>2997</v>
      </c>
      <c r="K151" s="1"/>
      <c r="L151" s="1"/>
      <c r="M151" s="1" t="s">
        <v>78</v>
      </c>
      <c r="N151" s="1" t="s">
        <v>186</v>
      </c>
      <c r="O151" s="1"/>
      <c r="P151" s="1"/>
      <c r="Q151" s="1"/>
      <c r="R151" s="1"/>
      <c r="S151" s="1"/>
      <c r="T151" s="1" t="s">
        <v>2998</v>
      </c>
      <c r="U151" s="1" t="s">
        <v>2999</v>
      </c>
      <c r="V151" s="1" t="s">
        <v>3000</v>
      </c>
      <c r="W151" s="1" t="s">
        <v>3001</v>
      </c>
      <c r="X151" s="1" t="s">
        <v>86</v>
      </c>
      <c r="Y151" s="1" t="s">
        <v>2909</v>
      </c>
      <c r="Z151" s="1" t="s">
        <v>3002</v>
      </c>
      <c r="AA151" s="1" t="s">
        <v>3003</v>
      </c>
      <c r="AB151" s="1" t="s">
        <v>3004</v>
      </c>
      <c r="AC151" s="1" t="s">
        <v>3005</v>
      </c>
      <c r="AD151" s="1" t="s">
        <v>3005</v>
      </c>
      <c r="AE151" s="1" t="s">
        <v>3006</v>
      </c>
      <c r="AF151" s="1"/>
      <c r="AG151" s="1" t="n">
        <v>63</v>
      </c>
      <c r="AH151" s="1" t="n">
        <v>3</v>
      </c>
      <c r="AI151" s="1" t="n">
        <v>3</v>
      </c>
      <c r="AJ151" s="1" t="n">
        <v>0</v>
      </c>
      <c r="AK151" s="1" t="n">
        <v>6</v>
      </c>
      <c r="AL151" s="1" t="s">
        <v>367</v>
      </c>
      <c r="AM151" s="1" t="s">
        <v>368</v>
      </c>
      <c r="AN151" s="1" t="s">
        <v>369</v>
      </c>
      <c r="AO151" s="1"/>
      <c r="AP151" s="1" t="s">
        <v>3007</v>
      </c>
      <c r="AQ151" s="1"/>
      <c r="AR151" s="1" t="s">
        <v>3008</v>
      </c>
      <c r="AS151" s="1" t="s">
        <v>3009</v>
      </c>
      <c r="AT151" s="1" t="s">
        <v>277</v>
      </c>
      <c r="AU151" s="1" t="n">
        <v>2022</v>
      </c>
      <c r="AV151" s="1" t="n">
        <v>11</v>
      </c>
      <c r="AW151" s="1" t="n">
        <v>3</v>
      </c>
      <c r="AX151" s="1"/>
      <c r="AY151" s="1"/>
      <c r="AZ151" s="1"/>
      <c r="BA151" s="1"/>
      <c r="BB151" s="1"/>
      <c r="BC151" s="1"/>
      <c r="BD151" s="1" t="n">
        <v>160</v>
      </c>
      <c r="BE151" s="1" t="s">
        <v>3010</v>
      </c>
      <c r="BF151" s="1" t="str">
        <f aca="false">HYPERLINK("http://dx.doi.org/10.3390/ijgi11030160","http://dx.doi.org/10.3390/ijgi11030160")</f>
        <v>http://dx.doi.org/10.3390/ijgi11030160</v>
      </c>
      <c r="BG151" s="1"/>
      <c r="BH151" s="1"/>
      <c r="BI151" s="1" t="n">
        <v>21</v>
      </c>
      <c r="BJ151" s="1" t="s">
        <v>3011</v>
      </c>
      <c r="BK151" s="1" t="s">
        <v>398</v>
      </c>
      <c r="BL151" s="1" t="s">
        <v>3012</v>
      </c>
      <c r="BM151" s="1" t="s">
        <v>3013</v>
      </c>
      <c r="BN151" s="1"/>
      <c r="BO151" s="1" t="s">
        <v>401</v>
      </c>
      <c r="BP151" s="1"/>
      <c r="BQ151" s="1"/>
      <c r="BR151" s="1" t="s">
        <v>103</v>
      </c>
      <c r="BS151" s="1" t="s">
        <v>3014</v>
      </c>
      <c r="BT151" s="1" t="str">
        <f aca="false">HYPERLINK("https%3A%2F%2Fwww.webofscience.com%2Fwos%2Fwoscc%2Ffull-record%2FWOS:000775262300001","View Full Record in Web of Science")</f>
        <v>View Full Record in Web of Science</v>
      </c>
    </row>
    <row r="152" customFormat="false" ht="12.75" hidden="false" customHeight="false" outlineLevel="0" collapsed="false">
      <c r="A152" s="1" t="s">
        <v>181</v>
      </c>
      <c r="B152" s="1" t="s">
        <v>1769</v>
      </c>
      <c r="C152" s="1"/>
      <c r="D152" s="1"/>
      <c r="E152" s="1"/>
      <c r="F152" s="1" t="s">
        <v>1770</v>
      </c>
      <c r="G152" s="1"/>
      <c r="H152" s="1"/>
      <c r="I152" s="1" t="s">
        <v>3015</v>
      </c>
      <c r="J152" s="1" t="s">
        <v>2525</v>
      </c>
      <c r="K152" s="1"/>
      <c r="L152" s="1"/>
      <c r="M152" s="1" t="s">
        <v>78</v>
      </c>
      <c r="N152" s="1" t="s">
        <v>186</v>
      </c>
      <c r="O152" s="1"/>
      <c r="P152" s="1"/>
      <c r="Q152" s="1"/>
      <c r="R152" s="1"/>
      <c r="S152" s="1"/>
      <c r="T152" s="1" t="s">
        <v>3016</v>
      </c>
      <c r="U152" s="1" t="s">
        <v>3017</v>
      </c>
      <c r="V152" s="1" t="s">
        <v>3018</v>
      </c>
      <c r="W152" s="1" t="s">
        <v>3019</v>
      </c>
      <c r="X152" s="1" t="s">
        <v>86</v>
      </c>
      <c r="Y152" s="1" t="s">
        <v>298</v>
      </c>
      <c r="Z152" s="1" t="s">
        <v>299</v>
      </c>
      <c r="AA152" s="1" t="s">
        <v>455</v>
      </c>
      <c r="AB152" s="1"/>
      <c r="AC152" s="1" t="s">
        <v>3020</v>
      </c>
      <c r="AD152" s="1" t="s">
        <v>3021</v>
      </c>
      <c r="AE152" s="1" t="s">
        <v>3022</v>
      </c>
      <c r="AF152" s="1"/>
      <c r="AG152" s="1" t="n">
        <v>68</v>
      </c>
      <c r="AH152" s="1" t="n">
        <v>33</v>
      </c>
      <c r="AI152" s="1" t="n">
        <v>34</v>
      </c>
      <c r="AJ152" s="1" t="n">
        <v>3</v>
      </c>
      <c r="AK152" s="1" t="n">
        <v>48</v>
      </c>
      <c r="AL152" s="1" t="s">
        <v>893</v>
      </c>
      <c r="AM152" s="1" t="s">
        <v>894</v>
      </c>
      <c r="AN152" s="1" t="s">
        <v>895</v>
      </c>
      <c r="AO152" s="1" t="s">
        <v>2535</v>
      </c>
      <c r="AP152" s="1" t="s">
        <v>2536</v>
      </c>
      <c r="AQ152" s="1"/>
      <c r="AR152" s="1" t="s">
        <v>2537</v>
      </c>
      <c r="AS152" s="1" t="s">
        <v>2538</v>
      </c>
      <c r="AT152" s="1" t="s">
        <v>2698</v>
      </c>
      <c r="AU152" s="1" t="n">
        <v>2022</v>
      </c>
      <c r="AV152" s="1" t="n">
        <v>138</v>
      </c>
      <c r="AW152" s="1"/>
      <c r="AX152" s="1"/>
      <c r="AY152" s="1"/>
      <c r="AZ152" s="1"/>
      <c r="BA152" s="1"/>
      <c r="BB152" s="1"/>
      <c r="BC152" s="1"/>
      <c r="BD152" s="1" t="n">
        <v>103629</v>
      </c>
      <c r="BE152" s="1" t="s">
        <v>3023</v>
      </c>
      <c r="BF152" s="1" t="str">
        <f aca="false">HYPERLINK("http://dx.doi.org/10.1016/j.compind.2022.103629","http://dx.doi.org/10.1016/j.compind.2022.103629")</f>
        <v>http://dx.doi.org/10.1016/j.compind.2022.103629</v>
      </c>
      <c r="BG152" s="1"/>
      <c r="BH152" s="1" t="s">
        <v>1505</v>
      </c>
      <c r="BI152" s="1" t="n">
        <v>17</v>
      </c>
      <c r="BJ152" s="1" t="s">
        <v>946</v>
      </c>
      <c r="BK152" s="1" t="s">
        <v>204</v>
      </c>
      <c r="BL152" s="1" t="s">
        <v>101</v>
      </c>
      <c r="BM152" s="1" t="s">
        <v>3024</v>
      </c>
      <c r="BN152" s="1"/>
      <c r="BO152" s="1" t="s">
        <v>612</v>
      </c>
      <c r="BP152" s="1"/>
      <c r="BQ152" s="1"/>
      <c r="BR152" s="1" t="s">
        <v>103</v>
      </c>
      <c r="BS152" s="1" t="s">
        <v>3025</v>
      </c>
      <c r="BT152" s="1" t="str">
        <f aca="false">HYPERLINK("https%3A%2F%2Fwww.webofscience.com%2Fwos%2Fwoscc%2Ffull-record%2FWOS:000754066000004","View Full Record in Web of Science")</f>
        <v>View Full Record in Web of Science</v>
      </c>
    </row>
    <row r="153" customFormat="false" ht="12.75" hidden="false" customHeight="false" outlineLevel="0" collapsed="false">
      <c r="A153" s="1" t="s">
        <v>72</v>
      </c>
      <c r="B153" s="1" t="s">
        <v>1837</v>
      </c>
      <c r="C153" s="1"/>
      <c r="D153" s="1" t="s">
        <v>1838</v>
      </c>
      <c r="E153" s="1"/>
      <c r="F153" s="1" t="s">
        <v>1839</v>
      </c>
      <c r="G153" s="1"/>
      <c r="H153" s="1"/>
      <c r="I153" s="1" t="s">
        <v>3026</v>
      </c>
      <c r="J153" s="1" t="s">
        <v>3027</v>
      </c>
      <c r="K153" s="1" t="s">
        <v>498</v>
      </c>
      <c r="L153" s="1"/>
      <c r="M153" s="1" t="s">
        <v>78</v>
      </c>
      <c r="N153" s="1" t="s">
        <v>79</v>
      </c>
      <c r="O153" s="1" t="s">
        <v>3028</v>
      </c>
      <c r="P153" s="1" t="s">
        <v>3029</v>
      </c>
      <c r="Q153" s="1" t="s">
        <v>3030</v>
      </c>
      <c r="R153" s="1" t="s">
        <v>3031</v>
      </c>
      <c r="S153" s="1"/>
      <c r="T153" s="1" t="s">
        <v>3032</v>
      </c>
      <c r="U153" s="1"/>
      <c r="V153" s="1" t="s">
        <v>3033</v>
      </c>
      <c r="W153" s="1" t="s">
        <v>1847</v>
      </c>
      <c r="X153" s="1" t="s">
        <v>86</v>
      </c>
      <c r="Y153" s="1" t="s">
        <v>1848</v>
      </c>
      <c r="Z153" s="1" t="s">
        <v>1849</v>
      </c>
      <c r="AA153" s="1"/>
      <c r="AB153" s="1"/>
      <c r="AC153" s="1"/>
      <c r="AD153" s="1"/>
      <c r="AE153" s="1"/>
      <c r="AF153" s="1"/>
      <c r="AG153" s="1" t="n">
        <v>18</v>
      </c>
      <c r="AH153" s="1" t="n">
        <v>1</v>
      </c>
      <c r="AI153" s="1" t="n">
        <v>1</v>
      </c>
      <c r="AJ153" s="1" t="n">
        <v>0</v>
      </c>
      <c r="AK153" s="1" t="n">
        <v>2</v>
      </c>
      <c r="AL153" s="1" t="s">
        <v>302</v>
      </c>
      <c r="AM153" s="1" t="s">
        <v>303</v>
      </c>
      <c r="AN153" s="1" t="s">
        <v>304</v>
      </c>
      <c r="AO153" s="1" t="s">
        <v>512</v>
      </c>
      <c r="AP153" s="1" t="s">
        <v>513</v>
      </c>
      <c r="AQ153" s="1" t="s">
        <v>3034</v>
      </c>
      <c r="AR153" s="1" t="s">
        <v>515</v>
      </c>
      <c r="AS153" s="1"/>
      <c r="AT153" s="1"/>
      <c r="AU153" s="1" t="n">
        <v>2020</v>
      </c>
      <c r="AV153" s="1" t="n">
        <v>391</v>
      </c>
      <c r="AW153" s="1"/>
      <c r="AX153" s="1"/>
      <c r="AY153" s="1"/>
      <c r="AZ153" s="1"/>
      <c r="BA153" s="1"/>
      <c r="BB153" s="1" t="n">
        <v>362</v>
      </c>
      <c r="BC153" s="1" t="n">
        <v>374</v>
      </c>
      <c r="BD153" s="1"/>
      <c r="BE153" s="1" t="s">
        <v>3035</v>
      </c>
      <c r="BF153" s="1" t="str">
        <f aca="false">HYPERLINK("http://dx.doi.org/10.1007/978-3-030-52306-0_26","http://dx.doi.org/10.1007/978-3-030-52306-0_26")</f>
        <v>http://dx.doi.org/10.1007/978-3-030-52306-0_26</v>
      </c>
      <c r="BG153" s="1"/>
      <c r="BH153" s="1"/>
      <c r="BI153" s="1" t="n">
        <v>13</v>
      </c>
      <c r="BJ153" s="1" t="s">
        <v>1852</v>
      </c>
      <c r="BK153" s="1" t="s">
        <v>1254</v>
      </c>
      <c r="BL153" s="1" t="s">
        <v>1853</v>
      </c>
      <c r="BM153" s="1" t="s">
        <v>3036</v>
      </c>
      <c r="BN153" s="1"/>
      <c r="BO153" s="1"/>
      <c r="BP153" s="1"/>
      <c r="BQ153" s="1"/>
      <c r="BR153" s="1" t="s">
        <v>103</v>
      </c>
      <c r="BS153" s="1" t="s">
        <v>3037</v>
      </c>
      <c r="BT153" s="1" t="str">
        <f aca="false">HYPERLINK("https%3A%2F%2Fwww.webofscience.com%2Fwos%2Fwoscc%2Ffull-record%2FWOS:000759772900026","View Full Record in Web of Science")</f>
        <v>View Full Record in Web of Science</v>
      </c>
    </row>
    <row r="154" customFormat="false" ht="12.75" hidden="false" customHeight="false" outlineLevel="0" collapsed="false">
      <c r="A154" s="1" t="s">
        <v>72</v>
      </c>
      <c r="B154" s="1" t="s">
        <v>3038</v>
      </c>
      <c r="C154" s="1"/>
      <c r="D154" s="1" t="s">
        <v>3039</v>
      </c>
      <c r="E154" s="1"/>
      <c r="F154" s="1" t="s">
        <v>3040</v>
      </c>
      <c r="G154" s="1"/>
      <c r="H154" s="1"/>
      <c r="I154" s="1" t="s">
        <v>3041</v>
      </c>
      <c r="J154" s="1" t="s">
        <v>3042</v>
      </c>
      <c r="K154" s="1" t="s">
        <v>3043</v>
      </c>
      <c r="L154" s="1"/>
      <c r="M154" s="1" t="s">
        <v>78</v>
      </c>
      <c r="N154" s="1" t="s">
        <v>79</v>
      </c>
      <c r="O154" s="1" t="s">
        <v>3044</v>
      </c>
      <c r="P154" s="1" t="s">
        <v>3045</v>
      </c>
      <c r="Q154" s="1" t="s">
        <v>3046</v>
      </c>
      <c r="R154" s="1" t="s">
        <v>3047</v>
      </c>
      <c r="S154" s="1"/>
      <c r="T154" s="1" t="s">
        <v>3048</v>
      </c>
      <c r="U154" s="1"/>
      <c r="V154" s="1" t="s">
        <v>3049</v>
      </c>
      <c r="W154" s="1" t="s">
        <v>3050</v>
      </c>
      <c r="X154" s="1" t="s">
        <v>86</v>
      </c>
      <c r="Y154" s="1" t="s">
        <v>3051</v>
      </c>
      <c r="Z154" s="1" t="s">
        <v>1692</v>
      </c>
      <c r="AA154" s="1"/>
      <c r="AB154" s="1"/>
      <c r="AC154" s="1" t="s">
        <v>3052</v>
      </c>
      <c r="AD154" s="1" t="s">
        <v>3052</v>
      </c>
      <c r="AE154" s="1" t="s">
        <v>3053</v>
      </c>
      <c r="AF154" s="1"/>
      <c r="AG154" s="1" t="n">
        <v>20</v>
      </c>
      <c r="AH154" s="1" t="n">
        <v>1</v>
      </c>
      <c r="AI154" s="1" t="n">
        <v>2</v>
      </c>
      <c r="AJ154" s="1" t="n">
        <v>0</v>
      </c>
      <c r="AK154" s="1" t="n">
        <v>5</v>
      </c>
      <c r="AL154" s="1" t="s">
        <v>106</v>
      </c>
      <c r="AM154" s="1" t="s">
        <v>95</v>
      </c>
      <c r="AN154" s="1" t="s">
        <v>122</v>
      </c>
      <c r="AO154" s="1" t="s">
        <v>3054</v>
      </c>
      <c r="AP154" s="1"/>
      <c r="AQ154" s="1" t="s">
        <v>3055</v>
      </c>
      <c r="AR154" s="1" t="s">
        <v>3056</v>
      </c>
      <c r="AS154" s="1"/>
      <c r="AT154" s="1"/>
      <c r="AU154" s="1" t="n">
        <v>2020</v>
      </c>
      <c r="AV154" s="1"/>
      <c r="AW154" s="1"/>
      <c r="AX154" s="1"/>
      <c r="AY154" s="1"/>
      <c r="AZ154" s="1"/>
      <c r="BA154" s="1"/>
      <c r="BB154" s="1" t="n">
        <v>322</v>
      </c>
      <c r="BC154" s="1" t="n">
        <v>327</v>
      </c>
      <c r="BD154" s="1"/>
      <c r="BE154" s="1" t="s">
        <v>3057</v>
      </c>
      <c r="BF154" s="1" t="str">
        <f aca="false">HYPERLINK("http://dx.doi.org/10.1109/RE48521.2020.00042","http://dx.doi.org/10.1109/RE48521.2020.00042")</f>
        <v>http://dx.doi.org/10.1109/RE48521.2020.00042</v>
      </c>
      <c r="BG154" s="1"/>
      <c r="BH154" s="1"/>
      <c r="BI154" s="1" t="n">
        <v>6</v>
      </c>
      <c r="BJ154" s="1" t="s">
        <v>1394</v>
      </c>
      <c r="BK154" s="1" t="s">
        <v>100</v>
      </c>
      <c r="BL154" s="1" t="s">
        <v>101</v>
      </c>
      <c r="BM154" s="1" t="s">
        <v>3058</v>
      </c>
      <c r="BN154" s="1"/>
      <c r="BO154" s="1" t="s">
        <v>227</v>
      </c>
      <c r="BP154" s="1"/>
      <c r="BQ154" s="1"/>
      <c r="BR154" s="1" t="s">
        <v>103</v>
      </c>
      <c r="BS154" s="1" t="s">
        <v>3059</v>
      </c>
      <c r="BT154" s="1" t="str">
        <f aca="false">HYPERLINK("https%3A%2F%2Fwww.webofscience.com%2Fwos%2Fwoscc%2Ffull-record%2FWOS:000628527900033","View Full Record in Web of Science")</f>
        <v>View Full Record in Web of Science</v>
      </c>
    </row>
    <row r="155" customFormat="false" ht="12.75" hidden="false" customHeight="false" outlineLevel="0" collapsed="false">
      <c r="A155" s="1" t="s">
        <v>72</v>
      </c>
      <c r="B155" s="1" t="s">
        <v>3060</v>
      </c>
      <c r="C155" s="1"/>
      <c r="D155" s="1" t="s">
        <v>3061</v>
      </c>
      <c r="E155" s="1"/>
      <c r="F155" s="1" t="s">
        <v>3062</v>
      </c>
      <c r="G155" s="1"/>
      <c r="H155" s="1"/>
      <c r="I155" s="1" t="s">
        <v>3063</v>
      </c>
      <c r="J155" s="1" t="s">
        <v>3064</v>
      </c>
      <c r="K155" s="1" t="s">
        <v>3065</v>
      </c>
      <c r="L155" s="1"/>
      <c r="M155" s="1" t="s">
        <v>78</v>
      </c>
      <c r="N155" s="1" t="s">
        <v>79</v>
      </c>
      <c r="O155" s="1" t="s">
        <v>3066</v>
      </c>
      <c r="P155" s="1" t="s">
        <v>3067</v>
      </c>
      <c r="Q155" s="1" t="s">
        <v>320</v>
      </c>
      <c r="R155" s="1" t="s">
        <v>3068</v>
      </c>
      <c r="S155" s="1"/>
      <c r="T155" s="1" t="s">
        <v>3069</v>
      </c>
      <c r="U155" s="1" t="s">
        <v>3070</v>
      </c>
      <c r="V155" s="1" t="s">
        <v>3071</v>
      </c>
      <c r="W155" s="1" t="s">
        <v>3072</v>
      </c>
      <c r="X155" s="1" t="s">
        <v>86</v>
      </c>
      <c r="Y155" s="1" t="s">
        <v>3073</v>
      </c>
      <c r="Z155" s="1" t="s">
        <v>3074</v>
      </c>
      <c r="AA155" s="1" t="s">
        <v>1091</v>
      </c>
      <c r="AB155" s="1" t="s">
        <v>1092</v>
      </c>
      <c r="AC155" s="1" t="s">
        <v>3075</v>
      </c>
      <c r="AD155" s="1" t="s">
        <v>3076</v>
      </c>
      <c r="AE155" s="1" t="s">
        <v>3077</v>
      </c>
      <c r="AF155" s="1"/>
      <c r="AG155" s="1" t="n">
        <v>28</v>
      </c>
      <c r="AH155" s="1" t="n">
        <v>13</v>
      </c>
      <c r="AI155" s="1" t="n">
        <v>13</v>
      </c>
      <c r="AJ155" s="1" t="n">
        <v>0</v>
      </c>
      <c r="AK155" s="1" t="n">
        <v>1</v>
      </c>
      <c r="AL155" s="1" t="s">
        <v>172</v>
      </c>
      <c r="AM155" s="1" t="s">
        <v>173</v>
      </c>
      <c r="AN155" s="1" t="s">
        <v>174</v>
      </c>
      <c r="AO155" s="1" t="s">
        <v>3078</v>
      </c>
      <c r="AP155" s="1"/>
      <c r="AQ155" s="1" t="s">
        <v>3079</v>
      </c>
      <c r="AR155" s="1" t="s">
        <v>3080</v>
      </c>
      <c r="AS155" s="1"/>
      <c r="AT155" s="1"/>
      <c r="AU155" s="1" t="n">
        <v>2020</v>
      </c>
      <c r="AV155" s="1"/>
      <c r="AW155" s="1"/>
      <c r="AX155" s="1"/>
      <c r="AY155" s="1"/>
      <c r="AZ155" s="1"/>
      <c r="BA155" s="1"/>
      <c r="BB155" s="1" t="n">
        <v>376</v>
      </c>
      <c r="BC155" s="1" t="n">
        <v>384</v>
      </c>
      <c r="BD155" s="1"/>
      <c r="BE155" s="1" t="s">
        <v>3081</v>
      </c>
      <c r="BF155" s="1" t="str">
        <f aca="false">HYPERLINK("http://dx.doi.org/10.1109/SEAA51224.2020.00068","http://dx.doi.org/10.1109/SEAA51224.2020.00068")</f>
        <v>http://dx.doi.org/10.1109/SEAA51224.2020.00068</v>
      </c>
      <c r="BG155" s="1"/>
      <c r="BH155" s="1"/>
      <c r="BI155" s="1" t="n">
        <v>9</v>
      </c>
      <c r="BJ155" s="1" t="s">
        <v>3082</v>
      </c>
      <c r="BK155" s="1" t="s">
        <v>100</v>
      </c>
      <c r="BL155" s="1" t="s">
        <v>1255</v>
      </c>
      <c r="BM155" s="1" t="s">
        <v>3083</v>
      </c>
      <c r="BN155" s="1"/>
      <c r="BO155" s="1" t="s">
        <v>227</v>
      </c>
      <c r="BP155" s="1"/>
      <c r="BQ155" s="1"/>
      <c r="BR155" s="1" t="s">
        <v>103</v>
      </c>
      <c r="BS155" s="1" t="s">
        <v>3084</v>
      </c>
      <c r="BT155" s="1" t="str">
        <f aca="false">HYPERLINK("https%3A%2F%2Fwww.webofscience.com%2Fwos%2Fwoscc%2Ffull-record%2FWOS:000702094100057","View Full Record in Web of Science")</f>
        <v>View Full Record in Web of Science</v>
      </c>
    </row>
    <row r="156" customFormat="false" ht="12.75" hidden="false" customHeight="false" outlineLevel="0" collapsed="false">
      <c r="A156" s="1" t="s">
        <v>72</v>
      </c>
      <c r="B156" s="1" t="s">
        <v>3085</v>
      </c>
      <c r="C156" s="1"/>
      <c r="D156" s="1"/>
      <c r="E156" s="1" t="s">
        <v>106</v>
      </c>
      <c r="F156" s="1" t="s">
        <v>3086</v>
      </c>
      <c r="G156" s="1"/>
      <c r="H156" s="1"/>
      <c r="I156" s="1" t="s">
        <v>3087</v>
      </c>
      <c r="J156" s="1" t="s">
        <v>3088</v>
      </c>
      <c r="K156" s="1"/>
      <c r="L156" s="1"/>
      <c r="M156" s="1" t="s">
        <v>78</v>
      </c>
      <c r="N156" s="1" t="s">
        <v>79</v>
      </c>
      <c r="O156" s="1" t="s">
        <v>3089</v>
      </c>
      <c r="P156" s="1" t="s">
        <v>3090</v>
      </c>
      <c r="Q156" s="1" t="s">
        <v>3091</v>
      </c>
      <c r="R156" s="1" t="s">
        <v>106</v>
      </c>
      <c r="S156" s="1"/>
      <c r="T156" s="1" t="s">
        <v>3092</v>
      </c>
      <c r="U156" s="1"/>
      <c r="V156" s="1" t="s">
        <v>3093</v>
      </c>
      <c r="W156" s="1" t="s">
        <v>3094</v>
      </c>
      <c r="X156" s="1" t="s">
        <v>86</v>
      </c>
      <c r="Y156" s="1" t="s">
        <v>3095</v>
      </c>
      <c r="Z156" s="1" t="s">
        <v>3096</v>
      </c>
      <c r="AA156" s="1" t="s">
        <v>3097</v>
      </c>
      <c r="AB156" s="1"/>
      <c r="AC156" s="1" t="s">
        <v>2167</v>
      </c>
      <c r="AD156" s="1" t="s">
        <v>2167</v>
      </c>
      <c r="AE156" s="1" t="s">
        <v>3098</v>
      </c>
      <c r="AF156" s="1"/>
      <c r="AG156" s="1" t="n">
        <v>62</v>
      </c>
      <c r="AH156" s="1" t="n">
        <v>0</v>
      </c>
      <c r="AI156" s="1" t="n">
        <v>0</v>
      </c>
      <c r="AJ156" s="1" t="n">
        <v>0</v>
      </c>
      <c r="AK156" s="1" t="n">
        <v>0</v>
      </c>
      <c r="AL156" s="1" t="s">
        <v>106</v>
      </c>
      <c r="AM156" s="1" t="s">
        <v>95</v>
      </c>
      <c r="AN156" s="1" t="s">
        <v>122</v>
      </c>
      <c r="AO156" s="1"/>
      <c r="AP156" s="1"/>
      <c r="AQ156" s="1" t="s">
        <v>3099</v>
      </c>
      <c r="AR156" s="1"/>
      <c r="AS156" s="1"/>
      <c r="AT156" s="1"/>
      <c r="AU156" s="1" t="n">
        <v>2024</v>
      </c>
      <c r="AV156" s="1"/>
      <c r="AW156" s="1"/>
      <c r="AX156" s="1"/>
      <c r="AY156" s="1"/>
      <c r="AZ156" s="1"/>
      <c r="BA156" s="1"/>
      <c r="BB156" s="1" t="n">
        <v>321</v>
      </c>
      <c r="BC156" s="1" t="n">
        <v>328</v>
      </c>
      <c r="BD156" s="1"/>
      <c r="BE156" s="1" t="s">
        <v>3100</v>
      </c>
      <c r="BF156" s="1" t="str">
        <f aca="false">HYPERLINK("http://dx.doi.org/10.1109/IPDPSW63119.2024.00073","http://dx.doi.org/10.1109/IPDPSW63119.2024.00073")</f>
        <v>http://dx.doi.org/10.1109/IPDPSW63119.2024.00073</v>
      </c>
      <c r="BG156" s="1"/>
      <c r="BH156" s="1"/>
      <c r="BI156" s="1" t="n">
        <v>8</v>
      </c>
      <c r="BJ156" s="1" t="s">
        <v>3101</v>
      </c>
      <c r="BK156" s="1" t="s">
        <v>100</v>
      </c>
      <c r="BL156" s="1" t="s">
        <v>101</v>
      </c>
      <c r="BM156" s="1" t="s">
        <v>3102</v>
      </c>
      <c r="BN156" s="1"/>
      <c r="BO156" s="1"/>
      <c r="BP156" s="1"/>
      <c r="BQ156" s="1"/>
      <c r="BR156" s="1" t="s">
        <v>103</v>
      </c>
      <c r="BS156" s="1" t="s">
        <v>3103</v>
      </c>
      <c r="BT156" s="1" t="str">
        <f aca="false">HYPERLINK("https%3A%2F%2Fwww.webofscience.com%2Fwos%2Fwoscc%2Ffull-record%2FWOS:001284697300115","View Full Record in Web of Science")</f>
        <v>View Full Record in Web of Science</v>
      </c>
    </row>
    <row r="157" customFormat="false" ht="12.75" hidden="false" customHeight="false" outlineLevel="0" collapsed="false">
      <c r="A157" s="1" t="s">
        <v>72</v>
      </c>
      <c r="B157" s="1" t="s">
        <v>3104</v>
      </c>
      <c r="C157" s="1"/>
      <c r="D157" s="1"/>
      <c r="E157" s="1" t="s">
        <v>106</v>
      </c>
      <c r="F157" s="1" t="s">
        <v>3105</v>
      </c>
      <c r="G157" s="1"/>
      <c r="H157" s="1"/>
      <c r="I157" s="1" t="s">
        <v>3106</v>
      </c>
      <c r="J157" s="1" t="s">
        <v>3107</v>
      </c>
      <c r="K157" s="1" t="s">
        <v>3108</v>
      </c>
      <c r="L157" s="1"/>
      <c r="M157" s="1" t="s">
        <v>78</v>
      </c>
      <c r="N157" s="1" t="s">
        <v>79</v>
      </c>
      <c r="O157" s="1" t="s">
        <v>3109</v>
      </c>
      <c r="P157" s="1" t="s">
        <v>3110</v>
      </c>
      <c r="Q157" s="1" t="s">
        <v>3111</v>
      </c>
      <c r="R157" s="1" t="s">
        <v>106</v>
      </c>
      <c r="S157" s="1"/>
      <c r="T157" s="1" t="s">
        <v>3112</v>
      </c>
      <c r="U157" s="1" t="s">
        <v>3113</v>
      </c>
      <c r="V157" s="1" t="s">
        <v>3114</v>
      </c>
      <c r="W157" s="1" t="s">
        <v>3115</v>
      </c>
      <c r="X157" s="1" t="s">
        <v>86</v>
      </c>
      <c r="Y157" s="1" t="s">
        <v>3116</v>
      </c>
      <c r="Z157" s="1"/>
      <c r="AA157" s="1" t="s">
        <v>3117</v>
      </c>
      <c r="AB157" s="1" t="s">
        <v>3118</v>
      </c>
      <c r="AC157" s="1"/>
      <c r="AD157" s="1"/>
      <c r="AE157" s="1"/>
      <c r="AF157" s="1"/>
      <c r="AG157" s="1" t="n">
        <v>13</v>
      </c>
      <c r="AH157" s="1" t="n">
        <v>0</v>
      </c>
      <c r="AI157" s="1" t="n">
        <v>0</v>
      </c>
      <c r="AJ157" s="1" t="n">
        <v>0</v>
      </c>
      <c r="AK157" s="1" t="n">
        <v>2</v>
      </c>
      <c r="AL157" s="1" t="s">
        <v>106</v>
      </c>
      <c r="AM157" s="1" t="s">
        <v>95</v>
      </c>
      <c r="AN157" s="1" t="s">
        <v>122</v>
      </c>
      <c r="AO157" s="1" t="s">
        <v>3119</v>
      </c>
      <c r="AP157" s="1"/>
      <c r="AQ157" s="1" t="s">
        <v>3120</v>
      </c>
      <c r="AR157" s="1" t="s">
        <v>3121</v>
      </c>
      <c r="AS157" s="1"/>
      <c r="AT157" s="1"/>
      <c r="AU157" s="1" t="n">
        <v>2022</v>
      </c>
      <c r="AV157" s="1"/>
      <c r="AW157" s="1"/>
      <c r="AX157" s="1"/>
      <c r="AY157" s="1"/>
      <c r="AZ157" s="1"/>
      <c r="BA157" s="1"/>
      <c r="BB157" s="1" t="n">
        <v>64</v>
      </c>
      <c r="BC157" s="1" t="n">
        <v>67</v>
      </c>
      <c r="BD157" s="1"/>
      <c r="BE157" s="1" t="s">
        <v>3122</v>
      </c>
      <c r="BF157" s="1" t="str">
        <f aca="false">HYPERLINK("http://dx.doi.org/10.1109/IGARSS46834.2022.9884014","http://dx.doi.org/10.1109/IGARSS46834.2022.9884014")</f>
        <v>http://dx.doi.org/10.1109/IGARSS46834.2022.9884014</v>
      </c>
      <c r="BG157" s="1"/>
      <c r="BH157" s="1"/>
      <c r="BI157" s="1" t="n">
        <v>4</v>
      </c>
      <c r="BJ157" s="1" t="s">
        <v>3123</v>
      </c>
      <c r="BK157" s="1" t="s">
        <v>100</v>
      </c>
      <c r="BL157" s="1" t="s">
        <v>3124</v>
      </c>
      <c r="BM157" s="1" t="s">
        <v>3125</v>
      </c>
      <c r="BN157" s="1"/>
      <c r="BO157" s="1"/>
      <c r="BP157" s="1"/>
      <c r="BQ157" s="1"/>
      <c r="BR157" s="1" t="s">
        <v>103</v>
      </c>
      <c r="BS157" s="1" t="s">
        <v>3126</v>
      </c>
      <c r="BT157" s="1" t="str">
        <f aca="false">HYPERLINK("https%3A%2F%2Fwww.webofscience.com%2Fwos%2Fwoscc%2Ffull-record%2FWOS:000920916600017","View Full Record in Web of Science")</f>
        <v>View Full Record in Web of Science</v>
      </c>
    </row>
    <row r="158" customFormat="false" ht="12.75" hidden="false" customHeight="false" outlineLevel="0" collapsed="false">
      <c r="A158" s="1" t="s">
        <v>72</v>
      </c>
      <c r="B158" s="1" t="s">
        <v>3127</v>
      </c>
      <c r="C158" s="1"/>
      <c r="D158" s="1" t="s">
        <v>3128</v>
      </c>
      <c r="E158" s="1"/>
      <c r="F158" s="1" t="s">
        <v>3129</v>
      </c>
      <c r="G158" s="1"/>
      <c r="H158" s="1"/>
      <c r="I158" s="1" t="s">
        <v>3130</v>
      </c>
      <c r="J158" s="1" t="s">
        <v>3131</v>
      </c>
      <c r="K158" s="1" t="s">
        <v>3132</v>
      </c>
      <c r="L158" s="1"/>
      <c r="M158" s="1" t="s">
        <v>78</v>
      </c>
      <c r="N158" s="1" t="s">
        <v>79</v>
      </c>
      <c r="O158" s="1" t="s">
        <v>3133</v>
      </c>
      <c r="P158" s="1" t="s">
        <v>3134</v>
      </c>
      <c r="Q158" s="1" t="s">
        <v>3135</v>
      </c>
      <c r="R158" s="1" t="s">
        <v>106</v>
      </c>
      <c r="S158" s="1"/>
      <c r="T158" s="1" t="s">
        <v>3136</v>
      </c>
      <c r="U158" s="1" t="s">
        <v>3137</v>
      </c>
      <c r="V158" s="1" t="s">
        <v>3138</v>
      </c>
      <c r="W158" s="1" t="s">
        <v>3139</v>
      </c>
      <c r="X158" s="1" t="s">
        <v>86</v>
      </c>
      <c r="Y158" s="1" t="s">
        <v>3140</v>
      </c>
      <c r="Z158" s="1" t="s">
        <v>3141</v>
      </c>
      <c r="AA158" s="1" t="s">
        <v>3142</v>
      </c>
      <c r="AB158" s="1"/>
      <c r="AC158" s="1" t="s">
        <v>3143</v>
      </c>
      <c r="AD158" s="1" t="s">
        <v>3144</v>
      </c>
      <c r="AE158" s="1" t="s">
        <v>2853</v>
      </c>
      <c r="AF158" s="1"/>
      <c r="AG158" s="1" t="n">
        <v>28</v>
      </c>
      <c r="AH158" s="1" t="n">
        <v>0</v>
      </c>
      <c r="AI158" s="1" t="n">
        <v>0</v>
      </c>
      <c r="AJ158" s="1" t="n">
        <v>1</v>
      </c>
      <c r="AK158" s="1" t="n">
        <v>1</v>
      </c>
      <c r="AL158" s="1" t="s">
        <v>106</v>
      </c>
      <c r="AM158" s="1" t="s">
        <v>95</v>
      </c>
      <c r="AN158" s="1" t="s">
        <v>122</v>
      </c>
      <c r="AO158" s="1" t="s">
        <v>3145</v>
      </c>
      <c r="AP158" s="1"/>
      <c r="AQ158" s="1" t="s">
        <v>3146</v>
      </c>
      <c r="AR158" s="1" t="s">
        <v>3147</v>
      </c>
      <c r="AS158" s="1"/>
      <c r="AT158" s="1"/>
      <c r="AU158" s="1" t="n">
        <v>2024</v>
      </c>
      <c r="AV158" s="1"/>
      <c r="AW158" s="1"/>
      <c r="AX158" s="1"/>
      <c r="AY158" s="1"/>
      <c r="AZ158" s="1"/>
      <c r="BA158" s="1"/>
      <c r="BB158" s="1" t="n">
        <v>15</v>
      </c>
      <c r="BC158" s="1" t="n">
        <v>24</v>
      </c>
      <c r="BD158" s="1"/>
      <c r="BE158" s="1" t="s">
        <v>3148</v>
      </c>
      <c r="BF158" s="1" t="str">
        <f aca="false">HYPERLINK("http://dx.doi.org/10.1109/EAIS58494.2024.10569997","http://dx.doi.org/10.1109/EAIS58494.2024.10569997")</f>
        <v>http://dx.doi.org/10.1109/EAIS58494.2024.10569997</v>
      </c>
      <c r="BG158" s="1"/>
      <c r="BH158" s="1"/>
      <c r="BI158" s="1" t="n">
        <v>10</v>
      </c>
      <c r="BJ158" s="1" t="s">
        <v>1529</v>
      </c>
      <c r="BK158" s="1" t="s">
        <v>100</v>
      </c>
      <c r="BL158" s="1" t="s">
        <v>101</v>
      </c>
      <c r="BM158" s="1" t="s">
        <v>3149</v>
      </c>
      <c r="BN158" s="1"/>
      <c r="BO158" s="1" t="s">
        <v>179</v>
      </c>
      <c r="BP158" s="1"/>
      <c r="BQ158" s="1"/>
      <c r="BR158" s="1" t="s">
        <v>103</v>
      </c>
      <c r="BS158" s="1" t="s">
        <v>3150</v>
      </c>
      <c r="BT158" s="1" t="str">
        <f aca="false">HYPERLINK("https%3A%2F%2Fwww.webofscience.com%2Fwos%2Fwoscc%2Ffull-record%2FWOS:001261404700019","View Full Record in Web of Science")</f>
        <v>View Full Record in Web of Science</v>
      </c>
    </row>
    <row r="159" customFormat="false" ht="12.75" hidden="false" customHeight="false" outlineLevel="0" collapsed="false">
      <c r="A159" s="1" t="s">
        <v>72</v>
      </c>
      <c r="B159" s="1" t="s">
        <v>3151</v>
      </c>
      <c r="C159" s="1"/>
      <c r="D159" s="1" t="s">
        <v>3152</v>
      </c>
      <c r="E159" s="1"/>
      <c r="F159" s="1" t="s">
        <v>3153</v>
      </c>
      <c r="G159" s="1"/>
      <c r="H159" s="1"/>
      <c r="I159" s="1" t="s">
        <v>3154</v>
      </c>
      <c r="J159" s="1" t="s">
        <v>3155</v>
      </c>
      <c r="K159" s="1" t="s">
        <v>976</v>
      </c>
      <c r="L159" s="1"/>
      <c r="M159" s="1" t="s">
        <v>78</v>
      </c>
      <c r="N159" s="1" t="s">
        <v>79</v>
      </c>
      <c r="O159" s="1" t="s">
        <v>3156</v>
      </c>
      <c r="P159" s="1" t="s">
        <v>3157</v>
      </c>
      <c r="Q159" s="1" t="s">
        <v>3158</v>
      </c>
      <c r="R159" s="1"/>
      <c r="S159" s="1"/>
      <c r="T159" s="1" t="s">
        <v>3159</v>
      </c>
      <c r="U159" s="1"/>
      <c r="V159" s="1" t="s">
        <v>3160</v>
      </c>
      <c r="W159" s="1" t="s">
        <v>3161</v>
      </c>
      <c r="X159" s="1" t="s">
        <v>86</v>
      </c>
      <c r="Y159" s="1" t="s">
        <v>3162</v>
      </c>
      <c r="Z159" s="1" t="s">
        <v>3163</v>
      </c>
      <c r="AA159" s="1" t="s">
        <v>222</v>
      </c>
      <c r="AB159" s="1"/>
      <c r="AC159" s="1"/>
      <c r="AD159" s="1"/>
      <c r="AE159" s="1"/>
      <c r="AF159" s="1"/>
      <c r="AG159" s="1" t="n">
        <v>16</v>
      </c>
      <c r="AH159" s="1" t="n">
        <v>0</v>
      </c>
      <c r="AI159" s="1" t="n">
        <v>0</v>
      </c>
      <c r="AJ159" s="1" t="n">
        <v>1</v>
      </c>
      <c r="AK159" s="1" t="n">
        <v>1</v>
      </c>
      <c r="AL159" s="1" t="s">
        <v>302</v>
      </c>
      <c r="AM159" s="1" t="s">
        <v>303</v>
      </c>
      <c r="AN159" s="1" t="s">
        <v>304</v>
      </c>
      <c r="AO159" s="1" t="s">
        <v>989</v>
      </c>
      <c r="AP159" s="1" t="s">
        <v>990</v>
      </c>
      <c r="AQ159" s="1" t="s">
        <v>3164</v>
      </c>
      <c r="AR159" s="1" t="s">
        <v>992</v>
      </c>
      <c r="AS159" s="1"/>
      <c r="AT159" s="1"/>
      <c r="AU159" s="1" t="n">
        <v>2024</v>
      </c>
      <c r="AV159" s="1" t="n">
        <v>14351</v>
      </c>
      <c r="AW159" s="1"/>
      <c r="AX159" s="1"/>
      <c r="AY159" s="1"/>
      <c r="AZ159" s="1"/>
      <c r="BA159" s="1"/>
      <c r="BB159" s="1" t="n">
        <v>110</v>
      </c>
      <c r="BC159" s="1" t="n">
        <v>122</v>
      </c>
      <c r="BD159" s="1"/>
      <c r="BE159" s="1" t="s">
        <v>3165</v>
      </c>
      <c r="BF159" s="1" t="str">
        <f aca="false">HYPERLINK("http://dx.doi.org/10.1007/978-3-031-50684-0_9","http://dx.doi.org/10.1007/978-3-031-50684-0_9")</f>
        <v>http://dx.doi.org/10.1007/978-3-031-50684-0_9</v>
      </c>
      <c r="BG159" s="1"/>
      <c r="BH159" s="1"/>
      <c r="BI159" s="1" t="n">
        <v>13</v>
      </c>
      <c r="BJ159" s="1" t="s">
        <v>994</v>
      </c>
      <c r="BK159" s="1" t="s">
        <v>100</v>
      </c>
      <c r="BL159" s="1" t="s">
        <v>101</v>
      </c>
      <c r="BM159" s="1" t="s">
        <v>3166</v>
      </c>
      <c r="BN159" s="1"/>
      <c r="BO159" s="1"/>
      <c r="BP159" s="1"/>
      <c r="BQ159" s="1"/>
      <c r="BR159" s="1" t="s">
        <v>103</v>
      </c>
      <c r="BS159" s="1" t="s">
        <v>3167</v>
      </c>
      <c r="BT159" s="1" t="str">
        <f aca="false">HYPERLINK("https%3A%2F%2Fwww.webofscience.com%2Fwos%2Fwoscc%2Ffull-record%2FWOS:001279250600009","View Full Record in Web of Science")</f>
        <v>View Full Record in Web of Science</v>
      </c>
    </row>
    <row r="160" customFormat="false" ht="12.75" hidden="false" customHeight="false" outlineLevel="0" collapsed="false">
      <c r="A160" s="1" t="s">
        <v>72</v>
      </c>
      <c r="B160" s="1" t="s">
        <v>3168</v>
      </c>
      <c r="C160" s="1"/>
      <c r="D160" s="1" t="s">
        <v>3152</v>
      </c>
      <c r="E160" s="1"/>
      <c r="F160" s="1" t="s">
        <v>3169</v>
      </c>
      <c r="G160" s="1"/>
      <c r="H160" s="1"/>
      <c r="I160" s="1" t="s">
        <v>3170</v>
      </c>
      <c r="J160" s="1" t="s">
        <v>3155</v>
      </c>
      <c r="K160" s="1" t="s">
        <v>976</v>
      </c>
      <c r="L160" s="1"/>
      <c r="M160" s="1" t="s">
        <v>78</v>
      </c>
      <c r="N160" s="1" t="s">
        <v>79</v>
      </c>
      <c r="O160" s="1" t="s">
        <v>3156</v>
      </c>
      <c r="P160" s="1" t="s">
        <v>3157</v>
      </c>
      <c r="Q160" s="1" t="s">
        <v>3158</v>
      </c>
      <c r="R160" s="1"/>
      <c r="S160" s="1"/>
      <c r="T160" s="1" t="s">
        <v>3171</v>
      </c>
      <c r="U160" s="1"/>
      <c r="V160" s="1" t="s">
        <v>3172</v>
      </c>
      <c r="W160" s="1" t="s">
        <v>3173</v>
      </c>
      <c r="X160" s="1" t="s">
        <v>86</v>
      </c>
      <c r="Y160" s="1" t="s">
        <v>3174</v>
      </c>
      <c r="Z160" s="1" t="s">
        <v>3175</v>
      </c>
      <c r="AA160" s="1" t="s">
        <v>222</v>
      </c>
      <c r="AB160" s="1"/>
      <c r="AC160" s="1"/>
      <c r="AD160" s="1"/>
      <c r="AE160" s="1"/>
      <c r="AF160" s="1"/>
      <c r="AG160" s="1" t="n">
        <v>12</v>
      </c>
      <c r="AH160" s="1" t="n">
        <v>0</v>
      </c>
      <c r="AI160" s="1" t="n">
        <v>0</v>
      </c>
      <c r="AJ160" s="1" t="n">
        <v>1</v>
      </c>
      <c r="AK160" s="1" t="n">
        <v>1</v>
      </c>
      <c r="AL160" s="1" t="s">
        <v>302</v>
      </c>
      <c r="AM160" s="1" t="s">
        <v>303</v>
      </c>
      <c r="AN160" s="1" t="s">
        <v>304</v>
      </c>
      <c r="AO160" s="1" t="s">
        <v>989</v>
      </c>
      <c r="AP160" s="1" t="s">
        <v>990</v>
      </c>
      <c r="AQ160" s="1" t="s">
        <v>3164</v>
      </c>
      <c r="AR160" s="1" t="s">
        <v>992</v>
      </c>
      <c r="AS160" s="1"/>
      <c r="AT160" s="1"/>
      <c r="AU160" s="1" t="n">
        <v>2024</v>
      </c>
      <c r="AV160" s="1" t="n">
        <v>14351</v>
      </c>
      <c r="AW160" s="1"/>
      <c r="AX160" s="1"/>
      <c r="AY160" s="1"/>
      <c r="AZ160" s="1"/>
      <c r="BA160" s="1"/>
      <c r="BB160" s="1" t="n">
        <v>219</v>
      </c>
      <c r="BC160" s="1" t="n">
        <v>231</v>
      </c>
      <c r="BD160" s="1"/>
      <c r="BE160" s="1" t="s">
        <v>3176</v>
      </c>
      <c r="BF160" s="1" t="str">
        <f aca="false">HYPERLINK("http://dx.doi.org/10.1007/978-3-031-50684-0_17","http://dx.doi.org/10.1007/978-3-031-50684-0_17")</f>
        <v>http://dx.doi.org/10.1007/978-3-031-50684-0_17</v>
      </c>
      <c r="BG160" s="1"/>
      <c r="BH160" s="1"/>
      <c r="BI160" s="1" t="n">
        <v>13</v>
      </c>
      <c r="BJ160" s="1" t="s">
        <v>994</v>
      </c>
      <c r="BK160" s="1" t="s">
        <v>100</v>
      </c>
      <c r="BL160" s="1" t="s">
        <v>101</v>
      </c>
      <c r="BM160" s="1" t="s">
        <v>3166</v>
      </c>
      <c r="BN160" s="1"/>
      <c r="BO160" s="1"/>
      <c r="BP160" s="1"/>
      <c r="BQ160" s="1"/>
      <c r="BR160" s="1" t="s">
        <v>103</v>
      </c>
      <c r="BS160" s="1" t="s">
        <v>3177</v>
      </c>
      <c r="BT160" s="1" t="str">
        <f aca="false">HYPERLINK("https%3A%2F%2Fwww.webofscience.com%2Fwos%2Fwoscc%2Ffull-record%2FWOS:001279250600017","View Full Record in Web of Science")</f>
        <v>View Full Record in Web of Science</v>
      </c>
    </row>
    <row r="161" customFormat="false" ht="12.75" hidden="false" customHeight="false" outlineLevel="0" collapsed="false">
      <c r="A161" s="1" t="s">
        <v>72</v>
      </c>
      <c r="B161" s="1" t="s">
        <v>2658</v>
      </c>
      <c r="C161" s="1"/>
      <c r="D161" s="1" t="s">
        <v>494</v>
      </c>
      <c r="E161" s="1"/>
      <c r="F161" s="1" t="s">
        <v>3178</v>
      </c>
      <c r="G161" s="1"/>
      <c r="H161" s="1"/>
      <c r="I161" s="1" t="s">
        <v>3179</v>
      </c>
      <c r="J161" s="1" t="s">
        <v>497</v>
      </c>
      <c r="K161" s="1" t="s">
        <v>498</v>
      </c>
      <c r="L161" s="1"/>
      <c r="M161" s="1" t="s">
        <v>78</v>
      </c>
      <c r="N161" s="1" t="s">
        <v>79</v>
      </c>
      <c r="O161" s="1" t="s">
        <v>499</v>
      </c>
      <c r="P161" s="1" t="s">
        <v>500</v>
      </c>
      <c r="Q161" s="1" t="s">
        <v>501</v>
      </c>
      <c r="R161" s="1"/>
      <c r="S161" s="1"/>
      <c r="T161" s="1" t="s">
        <v>3180</v>
      </c>
      <c r="U161" s="1" t="s">
        <v>3181</v>
      </c>
      <c r="V161" s="1" t="s">
        <v>3182</v>
      </c>
      <c r="W161" s="1" t="s">
        <v>3183</v>
      </c>
      <c r="X161" s="1" t="s">
        <v>86</v>
      </c>
      <c r="Y161" s="1" t="s">
        <v>3184</v>
      </c>
      <c r="Z161" s="1" t="s">
        <v>3185</v>
      </c>
      <c r="AA161" s="1" t="s">
        <v>3186</v>
      </c>
      <c r="AB161" s="1" t="s">
        <v>3187</v>
      </c>
      <c r="AC161" s="1" t="s">
        <v>3188</v>
      </c>
      <c r="AD161" s="1" t="s">
        <v>3189</v>
      </c>
      <c r="AE161" s="1" t="s">
        <v>3190</v>
      </c>
      <c r="AF161" s="1"/>
      <c r="AG161" s="1" t="n">
        <v>51</v>
      </c>
      <c r="AH161" s="1" t="n">
        <v>0</v>
      </c>
      <c r="AI161" s="1" t="n">
        <v>0</v>
      </c>
      <c r="AJ161" s="1" t="n">
        <v>0</v>
      </c>
      <c r="AK161" s="1" t="n">
        <v>0</v>
      </c>
      <c r="AL161" s="1" t="s">
        <v>302</v>
      </c>
      <c r="AM161" s="1" t="s">
        <v>303</v>
      </c>
      <c r="AN161" s="1" t="s">
        <v>304</v>
      </c>
      <c r="AO161" s="1" t="s">
        <v>512</v>
      </c>
      <c r="AP161" s="1" t="s">
        <v>513</v>
      </c>
      <c r="AQ161" s="1" t="s">
        <v>514</v>
      </c>
      <c r="AR161" s="1" t="s">
        <v>515</v>
      </c>
      <c r="AS161" s="1"/>
      <c r="AT161" s="1"/>
      <c r="AU161" s="1" t="n">
        <v>2023</v>
      </c>
      <c r="AV161" s="1" t="n">
        <v>472</v>
      </c>
      <c r="AW161" s="1"/>
      <c r="AX161" s="1"/>
      <c r="AY161" s="1"/>
      <c r="AZ161" s="1"/>
      <c r="BA161" s="1"/>
      <c r="BB161" s="1" t="n">
        <v>87</v>
      </c>
      <c r="BC161" s="1" t="n">
        <v>106</v>
      </c>
      <c r="BD161" s="1"/>
      <c r="BE161" s="1" t="s">
        <v>3191</v>
      </c>
      <c r="BF161" s="1" t="str">
        <f aca="false">HYPERLINK("http://dx.doi.org/10.1007/978-3-031-31488-9_5","http://dx.doi.org/10.1007/978-3-031-31488-9_5")</f>
        <v>http://dx.doi.org/10.1007/978-3-031-31488-9_5</v>
      </c>
      <c r="BG161" s="1"/>
      <c r="BH161" s="1"/>
      <c r="BI161" s="1" t="n">
        <v>20</v>
      </c>
      <c r="BJ161" s="1" t="s">
        <v>517</v>
      </c>
      <c r="BK161" s="1" t="s">
        <v>100</v>
      </c>
      <c r="BL161" s="1" t="s">
        <v>101</v>
      </c>
      <c r="BM161" s="1" t="s">
        <v>518</v>
      </c>
      <c r="BN161" s="1"/>
      <c r="BO161" s="1"/>
      <c r="BP161" s="1"/>
      <c r="BQ161" s="1"/>
      <c r="BR161" s="1" t="s">
        <v>103</v>
      </c>
      <c r="BS161" s="1" t="s">
        <v>3192</v>
      </c>
      <c r="BT161" s="1" t="str">
        <f aca="false">HYPERLINK("https%3A%2F%2Fwww.webofscience.com%2Fwos%2Fwoscc%2Ffull-record%2FWOS:001269092500005","View Full Record in Web of Science")</f>
        <v>View Full Record in Web of Science</v>
      </c>
    </row>
    <row r="162" customFormat="false" ht="12.75" hidden="false" customHeight="false" outlineLevel="0" collapsed="false">
      <c r="A162" s="1" t="s">
        <v>72</v>
      </c>
      <c r="B162" s="1" t="s">
        <v>3193</v>
      </c>
      <c r="C162" s="1"/>
      <c r="D162" s="1" t="s">
        <v>3194</v>
      </c>
      <c r="E162" s="1"/>
      <c r="F162" s="1" t="s">
        <v>3195</v>
      </c>
      <c r="G162" s="1"/>
      <c r="H162" s="1"/>
      <c r="I162" s="1" t="s">
        <v>3196</v>
      </c>
      <c r="J162" s="1" t="s">
        <v>3197</v>
      </c>
      <c r="K162" s="1"/>
      <c r="L162" s="1"/>
      <c r="M162" s="1" t="s">
        <v>78</v>
      </c>
      <c r="N162" s="1" t="s">
        <v>79</v>
      </c>
      <c r="O162" s="1" t="s">
        <v>3198</v>
      </c>
      <c r="P162" s="1" t="s">
        <v>3199</v>
      </c>
      <c r="Q162" s="1" t="s">
        <v>3200</v>
      </c>
      <c r="R162" s="1" t="s">
        <v>3201</v>
      </c>
      <c r="S162" s="1"/>
      <c r="T162" s="1" t="s">
        <v>3202</v>
      </c>
      <c r="U162" s="1"/>
      <c r="V162" s="1" t="s">
        <v>3203</v>
      </c>
      <c r="W162" s="1" t="s">
        <v>3204</v>
      </c>
      <c r="X162" s="1" t="s">
        <v>86</v>
      </c>
      <c r="Y162" s="1" t="s">
        <v>3205</v>
      </c>
      <c r="Z162" s="1" t="s">
        <v>3206</v>
      </c>
      <c r="AA162" s="1" t="s">
        <v>3207</v>
      </c>
      <c r="AB162" s="1"/>
      <c r="AC162" s="1" t="s">
        <v>3208</v>
      </c>
      <c r="AD162" s="1" t="s">
        <v>3209</v>
      </c>
      <c r="AE162" s="1" t="s">
        <v>3210</v>
      </c>
      <c r="AF162" s="1"/>
      <c r="AG162" s="1" t="n">
        <v>31</v>
      </c>
      <c r="AH162" s="1" t="n">
        <v>1</v>
      </c>
      <c r="AI162" s="1" t="n">
        <v>1</v>
      </c>
      <c r="AJ162" s="1" t="n">
        <v>0</v>
      </c>
      <c r="AK162" s="1" t="n">
        <v>1</v>
      </c>
      <c r="AL162" s="1" t="s">
        <v>106</v>
      </c>
      <c r="AM162" s="1" t="s">
        <v>95</v>
      </c>
      <c r="AN162" s="1" t="s">
        <v>122</v>
      </c>
      <c r="AO162" s="1"/>
      <c r="AP162" s="1"/>
      <c r="AQ162" s="1" t="s">
        <v>3211</v>
      </c>
      <c r="AR162" s="1"/>
      <c r="AS162" s="1"/>
      <c r="AT162" s="1"/>
      <c r="AU162" s="1" t="n">
        <v>2023</v>
      </c>
      <c r="AV162" s="1"/>
      <c r="AW162" s="1"/>
      <c r="AX162" s="1"/>
      <c r="AY162" s="1"/>
      <c r="AZ162" s="1"/>
      <c r="BA162" s="1"/>
      <c r="BB162" s="1" t="n">
        <v>34</v>
      </c>
      <c r="BC162" s="1" t="n">
        <v>41</v>
      </c>
      <c r="BD162" s="1"/>
      <c r="BE162" s="1" t="s">
        <v>3212</v>
      </c>
      <c r="BF162" s="1" t="str">
        <f aca="false">HYPERLINK("http://dx.doi.org/10.1109/FMEC59375.2023.10306021","http://dx.doi.org/10.1109/FMEC59375.2023.10306021")</f>
        <v>http://dx.doi.org/10.1109/FMEC59375.2023.10306021</v>
      </c>
      <c r="BG162" s="1"/>
      <c r="BH162" s="1"/>
      <c r="BI162" s="1" t="n">
        <v>8</v>
      </c>
      <c r="BJ162" s="1" t="s">
        <v>2136</v>
      </c>
      <c r="BK162" s="1" t="s">
        <v>100</v>
      </c>
      <c r="BL162" s="1" t="s">
        <v>101</v>
      </c>
      <c r="BM162" s="1" t="s">
        <v>3213</v>
      </c>
      <c r="BN162" s="1"/>
      <c r="BO162" s="1"/>
      <c r="BP162" s="1"/>
      <c r="BQ162" s="1"/>
      <c r="BR162" s="1" t="s">
        <v>103</v>
      </c>
      <c r="BS162" s="1" t="s">
        <v>3214</v>
      </c>
      <c r="BT162" s="1" t="str">
        <f aca="false">HYPERLINK("https%3A%2F%2Fwww.webofscience.com%2Fwos%2Fwoscc%2Ffull-record%2FWOS:001103180200005","View Full Record in Web of Science")</f>
        <v>View Full Record in Web of Science</v>
      </c>
    </row>
    <row r="163" customFormat="false" ht="12.75" hidden="false" customHeight="false" outlineLevel="0" collapsed="false">
      <c r="A163" s="1" t="s">
        <v>181</v>
      </c>
      <c r="B163" s="1" t="s">
        <v>3215</v>
      </c>
      <c r="C163" s="1"/>
      <c r="D163" s="1"/>
      <c r="E163" s="1"/>
      <c r="F163" s="1" t="s">
        <v>3216</v>
      </c>
      <c r="G163" s="1"/>
      <c r="H163" s="1"/>
      <c r="I163" s="1" t="s">
        <v>3217</v>
      </c>
      <c r="J163" s="1" t="s">
        <v>3218</v>
      </c>
      <c r="K163" s="1"/>
      <c r="L163" s="1"/>
      <c r="M163" s="1" t="s">
        <v>78</v>
      </c>
      <c r="N163" s="1" t="s">
        <v>186</v>
      </c>
      <c r="O163" s="1"/>
      <c r="P163" s="1"/>
      <c r="Q163" s="1"/>
      <c r="R163" s="1"/>
      <c r="S163" s="1"/>
      <c r="T163" s="1" t="s">
        <v>3219</v>
      </c>
      <c r="U163" s="1" t="s">
        <v>3220</v>
      </c>
      <c r="V163" s="1" t="s">
        <v>3221</v>
      </c>
      <c r="W163" s="1" t="s">
        <v>3222</v>
      </c>
      <c r="X163" s="1" t="s">
        <v>912</v>
      </c>
      <c r="Y163" s="1" t="s">
        <v>3223</v>
      </c>
      <c r="Z163" s="1" t="s">
        <v>3224</v>
      </c>
      <c r="AA163" s="1" t="s">
        <v>595</v>
      </c>
      <c r="AB163" s="1" t="s">
        <v>3225</v>
      </c>
      <c r="AC163" s="1" t="s">
        <v>3226</v>
      </c>
      <c r="AD163" s="1" t="s">
        <v>3226</v>
      </c>
      <c r="AE163" s="1" t="s">
        <v>3227</v>
      </c>
      <c r="AF163" s="1"/>
      <c r="AG163" s="1" t="n">
        <v>41</v>
      </c>
      <c r="AH163" s="1" t="n">
        <v>13</v>
      </c>
      <c r="AI163" s="1" t="n">
        <v>14</v>
      </c>
      <c r="AJ163" s="1" t="n">
        <v>1</v>
      </c>
      <c r="AK163" s="1" t="n">
        <v>5</v>
      </c>
      <c r="AL163" s="1" t="s">
        <v>3228</v>
      </c>
      <c r="AM163" s="1" t="s">
        <v>3229</v>
      </c>
      <c r="AN163" s="1" t="s">
        <v>3230</v>
      </c>
      <c r="AO163" s="1" t="s">
        <v>3231</v>
      </c>
      <c r="AP163" s="1" t="s">
        <v>3232</v>
      </c>
      <c r="AQ163" s="1"/>
      <c r="AR163" s="1" t="s">
        <v>3233</v>
      </c>
      <c r="AS163" s="1" t="s">
        <v>3234</v>
      </c>
      <c r="AT163" s="1" t="s">
        <v>277</v>
      </c>
      <c r="AU163" s="1" t="n">
        <v>2023</v>
      </c>
      <c r="AV163" s="1" t="n">
        <v>106</v>
      </c>
      <c r="AW163" s="1"/>
      <c r="AX163" s="1"/>
      <c r="AY163" s="1"/>
      <c r="AZ163" s="1"/>
      <c r="BA163" s="1"/>
      <c r="BB163" s="1"/>
      <c r="BC163" s="1"/>
      <c r="BD163" s="1" t="n">
        <v>104899</v>
      </c>
      <c r="BE163" s="1" t="s">
        <v>3235</v>
      </c>
      <c r="BF163" s="1" t="str">
        <f aca="false">HYPERLINK("http://dx.doi.org/10.1016/j.archger.2022.104899","http://dx.doi.org/10.1016/j.archger.2022.104899")</f>
        <v>http://dx.doi.org/10.1016/j.archger.2022.104899</v>
      </c>
      <c r="BG163" s="1"/>
      <c r="BH163" s="1" t="s">
        <v>3236</v>
      </c>
      <c r="BI163" s="1" t="n">
        <v>6</v>
      </c>
      <c r="BJ163" s="1" t="s">
        <v>2038</v>
      </c>
      <c r="BK163" s="1" t="s">
        <v>204</v>
      </c>
      <c r="BL163" s="1" t="s">
        <v>2038</v>
      </c>
      <c r="BM163" s="1" t="s">
        <v>3237</v>
      </c>
      <c r="BN163" s="1" t="n">
        <v>36512858</v>
      </c>
      <c r="BO163" s="1" t="s">
        <v>207</v>
      </c>
      <c r="BP163" s="1"/>
      <c r="BQ163" s="1"/>
      <c r="BR163" s="1" t="s">
        <v>103</v>
      </c>
      <c r="BS163" s="1" t="s">
        <v>3238</v>
      </c>
      <c r="BT163" s="1" t="str">
        <f aca="false">HYPERLINK("https%3A%2F%2Fwww.webofscience.com%2Fwos%2Fwoscc%2Ffull-record%2FWOS:000897712900008","View Full Record in Web of Science")</f>
        <v>View Full Record in Web of Science</v>
      </c>
    </row>
    <row r="164" customFormat="false" ht="12.75" hidden="false" customHeight="false" outlineLevel="0" collapsed="false">
      <c r="A164" s="1" t="s">
        <v>72</v>
      </c>
      <c r="B164" s="1" t="s">
        <v>1565</v>
      </c>
      <c r="C164" s="1"/>
      <c r="D164" s="1"/>
      <c r="E164" s="1" t="s">
        <v>1080</v>
      </c>
      <c r="F164" s="1" t="s">
        <v>1566</v>
      </c>
      <c r="G164" s="1"/>
      <c r="H164" s="1"/>
      <c r="I164" s="1" t="s">
        <v>3239</v>
      </c>
      <c r="J164" s="1" t="s">
        <v>3240</v>
      </c>
      <c r="K164" s="1"/>
      <c r="L164" s="1"/>
      <c r="M164" s="1" t="s">
        <v>78</v>
      </c>
      <c r="N164" s="1" t="s">
        <v>79</v>
      </c>
      <c r="O164" s="1" t="s">
        <v>3241</v>
      </c>
      <c r="P164" s="1" t="s">
        <v>3242</v>
      </c>
      <c r="Q164" s="1" t="s">
        <v>320</v>
      </c>
      <c r="R164" s="1" t="s">
        <v>3243</v>
      </c>
      <c r="S164" s="1"/>
      <c r="T164" s="1" t="s">
        <v>3244</v>
      </c>
      <c r="U164" s="1"/>
      <c r="V164" s="1" t="s">
        <v>3245</v>
      </c>
      <c r="W164" s="1" t="s">
        <v>1574</v>
      </c>
      <c r="X164" s="1" t="s">
        <v>86</v>
      </c>
      <c r="Y164" s="1" t="s">
        <v>1575</v>
      </c>
      <c r="Z164" s="1" t="s">
        <v>1576</v>
      </c>
      <c r="AA164" s="1" t="s">
        <v>557</v>
      </c>
      <c r="AB164" s="1"/>
      <c r="AC164" s="1" t="s">
        <v>531</v>
      </c>
      <c r="AD164" s="1" t="s">
        <v>532</v>
      </c>
      <c r="AE164" s="1" t="s">
        <v>3246</v>
      </c>
      <c r="AF164" s="1"/>
      <c r="AG164" s="1" t="n">
        <v>16</v>
      </c>
      <c r="AH164" s="1" t="n">
        <v>0</v>
      </c>
      <c r="AI164" s="1" t="n">
        <v>0</v>
      </c>
      <c r="AJ164" s="1" t="n">
        <v>0</v>
      </c>
      <c r="AK164" s="1" t="n">
        <v>1</v>
      </c>
      <c r="AL164" s="1" t="s">
        <v>172</v>
      </c>
      <c r="AM164" s="1" t="s">
        <v>173</v>
      </c>
      <c r="AN164" s="1" t="s">
        <v>174</v>
      </c>
      <c r="AO164" s="1"/>
      <c r="AP164" s="1"/>
      <c r="AQ164" s="1" t="s">
        <v>3247</v>
      </c>
      <c r="AR164" s="1"/>
      <c r="AS164" s="1"/>
      <c r="AT164" s="1"/>
      <c r="AU164" s="1" t="n">
        <v>2022</v>
      </c>
      <c r="AV164" s="1"/>
      <c r="AW164" s="1"/>
      <c r="AX164" s="1"/>
      <c r="AY164" s="1"/>
      <c r="AZ164" s="1"/>
      <c r="BA164" s="1"/>
      <c r="BB164" s="1" t="n">
        <v>180</v>
      </c>
      <c r="BC164" s="1" t="n">
        <v>185</v>
      </c>
      <c r="BD164" s="1"/>
      <c r="BE164" s="1" t="s">
        <v>3248</v>
      </c>
      <c r="BF164" s="1" t="str">
        <f aca="false">HYPERLINK("http://dx.doi.org/10.1109/VRW55335.2022.00047","http://dx.doi.org/10.1109/VRW55335.2022.00047")</f>
        <v>http://dx.doi.org/10.1109/VRW55335.2022.00047</v>
      </c>
      <c r="BG164" s="1"/>
      <c r="BH164" s="1"/>
      <c r="BI164" s="1" t="n">
        <v>6</v>
      </c>
      <c r="BJ164" s="1" t="s">
        <v>3249</v>
      </c>
      <c r="BK164" s="1" t="s">
        <v>100</v>
      </c>
      <c r="BL164" s="1" t="s">
        <v>101</v>
      </c>
      <c r="BM164" s="1" t="s">
        <v>3250</v>
      </c>
      <c r="BN164" s="1"/>
      <c r="BO164" s="1" t="s">
        <v>179</v>
      </c>
      <c r="BP164" s="1"/>
      <c r="BQ164" s="1"/>
      <c r="BR164" s="1" t="s">
        <v>103</v>
      </c>
      <c r="BS164" s="1" t="s">
        <v>3251</v>
      </c>
      <c r="BT164" s="1" t="str">
        <f aca="false">HYPERLINK("https%3A%2F%2Fwww.webofscience.com%2Fwos%2Fwoscc%2Ffull-record%2FWOS:000808111800038","View Full Record in Web of Science")</f>
        <v>View Full Record in Web of Science</v>
      </c>
    </row>
    <row r="165" customFormat="false" ht="12.75" hidden="false" customHeight="false" outlineLevel="0" collapsed="false">
      <c r="A165" s="1" t="s">
        <v>72</v>
      </c>
      <c r="B165" s="1" t="s">
        <v>131</v>
      </c>
      <c r="C165" s="1"/>
      <c r="D165" s="1"/>
      <c r="E165" s="1" t="s">
        <v>106</v>
      </c>
      <c r="F165" s="1" t="s">
        <v>3252</v>
      </c>
      <c r="G165" s="1"/>
      <c r="H165" s="1"/>
      <c r="I165" s="1" t="s">
        <v>3253</v>
      </c>
      <c r="J165" s="1" t="s">
        <v>1821</v>
      </c>
      <c r="K165" s="1"/>
      <c r="L165" s="1"/>
      <c r="M165" s="1" t="s">
        <v>78</v>
      </c>
      <c r="N165" s="1" t="s">
        <v>79</v>
      </c>
      <c r="O165" s="1" t="s">
        <v>1822</v>
      </c>
      <c r="P165" s="1" t="s">
        <v>1823</v>
      </c>
      <c r="Q165" s="1" t="s">
        <v>1824</v>
      </c>
      <c r="R165" s="1" t="s">
        <v>1825</v>
      </c>
      <c r="S165" s="1"/>
      <c r="T165" s="1"/>
      <c r="U165" s="1"/>
      <c r="V165" s="1" t="s">
        <v>3254</v>
      </c>
      <c r="W165" s="1" t="s">
        <v>3255</v>
      </c>
      <c r="X165" s="1" t="s">
        <v>86</v>
      </c>
      <c r="Y165" s="1" t="s">
        <v>143</v>
      </c>
      <c r="Z165" s="1" t="s">
        <v>144</v>
      </c>
      <c r="AA165" s="1" t="s">
        <v>145</v>
      </c>
      <c r="AB165" s="1"/>
      <c r="AC165" s="1"/>
      <c r="AD165" s="1"/>
      <c r="AE165" s="1"/>
      <c r="AF165" s="1"/>
      <c r="AG165" s="1" t="n">
        <v>11</v>
      </c>
      <c r="AH165" s="1" t="n">
        <v>1</v>
      </c>
      <c r="AI165" s="1" t="n">
        <v>1</v>
      </c>
      <c r="AJ165" s="1" t="n">
        <v>0</v>
      </c>
      <c r="AK165" s="1" t="n">
        <v>4</v>
      </c>
      <c r="AL165" s="1" t="s">
        <v>106</v>
      </c>
      <c r="AM165" s="1" t="s">
        <v>95</v>
      </c>
      <c r="AN165" s="1" t="s">
        <v>122</v>
      </c>
      <c r="AO165" s="1"/>
      <c r="AP165" s="1"/>
      <c r="AQ165" s="1" t="s">
        <v>1831</v>
      </c>
      <c r="AR165" s="1"/>
      <c r="AS165" s="1"/>
      <c r="AT165" s="1"/>
      <c r="AU165" s="1" t="n">
        <v>2021</v>
      </c>
      <c r="AV165" s="1"/>
      <c r="AW165" s="1"/>
      <c r="AX165" s="1"/>
      <c r="AY165" s="1"/>
      <c r="AZ165" s="1"/>
      <c r="BA165" s="1"/>
      <c r="BB165" s="1" t="n">
        <v>105</v>
      </c>
      <c r="BC165" s="1" t="n">
        <v>110</v>
      </c>
      <c r="BD165" s="1"/>
      <c r="BE165" s="1" t="s">
        <v>3256</v>
      </c>
      <c r="BF165" s="1" t="str">
        <f aca="false">HYPERLINK("http://dx.doi.org/10.1109/ICCE48956.2021.9352143","http://dx.doi.org/10.1109/ICCE48956.2021.9352143")</f>
        <v>http://dx.doi.org/10.1109/ICCE48956.2021.9352143</v>
      </c>
      <c r="BG165" s="1"/>
      <c r="BH165" s="1"/>
      <c r="BI165" s="1" t="n">
        <v>6</v>
      </c>
      <c r="BJ165" s="1" t="s">
        <v>1833</v>
      </c>
      <c r="BK165" s="1" t="s">
        <v>100</v>
      </c>
      <c r="BL165" s="1" t="s">
        <v>1834</v>
      </c>
      <c r="BM165" s="1" t="s">
        <v>1835</v>
      </c>
      <c r="BN165" s="1"/>
      <c r="BO165" s="1" t="s">
        <v>179</v>
      </c>
      <c r="BP165" s="1"/>
      <c r="BQ165" s="1"/>
      <c r="BR165" s="1" t="s">
        <v>103</v>
      </c>
      <c r="BS165" s="1" t="s">
        <v>3257</v>
      </c>
      <c r="BT165" s="1" t="str">
        <f aca="false">HYPERLINK("https%3A%2F%2Fwww.webofscience.com%2Fwos%2Fwoscc%2Ffull-record%2FWOS:000670611800016","View Full Record in Web of Science")</f>
        <v>View Full Record in Web of Science</v>
      </c>
    </row>
    <row r="166" customFormat="false" ht="12.75" hidden="false" customHeight="false" outlineLevel="0" collapsed="false">
      <c r="A166" s="1" t="s">
        <v>181</v>
      </c>
      <c r="B166" s="1" t="s">
        <v>3258</v>
      </c>
      <c r="C166" s="1"/>
      <c r="D166" s="1"/>
      <c r="E166" s="1"/>
      <c r="F166" s="1" t="s">
        <v>3259</v>
      </c>
      <c r="G166" s="1"/>
      <c r="H166" s="1"/>
      <c r="I166" s="1" t="s">
        <v>3260</v>
      </c>
      <c r="J166" s="1" t="s">
        <v>1378</v>
      </c>
      <c r="K166" s="1"/>
      <c r="L166" s="1"/>
      <c r="M166" s="1" t="s">
        <v>78</v>
      </c>
      <c r="N166" s="1" t="s">
        <v>186</v>
      </c>
      <c r="O166" s="1"/>
      <c r="P166" s="1"/>
      <c r="Q166" s="1"/>
      <c r="R166" s="1"/>
      <c r="S166" s="1"/>
      <c r="T166" s="1" t="s">
        <v>3261</v>
      </c>
      <c r="U166" s="1" t="s">
        <v>3262</v>
      </c>
      <c r="V166" s="1" t="s">
        <v>3263</v>
      </c>
      <c r="W166" s="1" t="s">
        <v>3264</v>
      </c>
      <c r="X166" s="1" t="s">
        <v>86</v>
      </c>
      <c r="Y166" s="1" t="s">
        <v>3265</v>
      </c>
      <c r="Z166" s="1" t="s">
        <v>3266</v>
      </c>
      <c r="AA166" s="1" t="s">
        <v>3267</v>
      </c>
      <c r="AB166" s="1" t="s">
        <v>3268</v>
      </c>
      <c r="AC166" s="1" t="s">
        <v>3269</v>
      </c>
      <c r="AD166" s="1" t="s">
        <v>3269</v>
      </c>
      <c r="AE166" s="1" t="s">
        <v>3270</v>
      </c>
      <c r="AF166" s="1"/>
      <c r="AG166" s="1" t="n">
        <v>109</v>
      </c>
      <c r="AH166" s="1" t="n">
        <v>25</v>
      </c>
      <c r="AI166" s="1" t="n">
        <v>28</v>
      </c>
      <c r="AJ166" s="1" t="n">
        <v>1</v>
      </c>
      <c r="AK166" s="1" t="n">
        <v>23</v>
      </c>
      <c r="AL166" s="1" t="s">
        <v>893</v>
      </c>
      <c r="AM166" s="1" t="s">
        <v>894</v>
      </c>
      <c r="AN166" s="1" t="s">
        <v>895</v>
      </c>
      <c r="AO166" s="1" t="s">
        <v>1387</v>
      </c>
      <c r="AP166" s="1" t="s">
        <v>1388</v>
      </c>
      <c r="AQ166" s="1"/>
      <c r="AR166" s="1" t="s">
        <v>1389</v>
      </c>
      <c r="AS166" s="1" t="s">
        <v>1390</v>
      </c>
      <c r="AT166" s="1" t="s">
        <v>1362</v>
      </c>
      <c r="AU166" s="1" t="n">
        <v>2020</v>
      </c>
      <c r="AV166" s="1" t="n">
        <v>126</v>
      </c>
      <c r="AW166" s="1"/>
      <c r="AX166" s="1"/>
      <c r="AY166" s="1"/>
      <c r="AZ166" s="1"/>
      <c r="BA166" s="1"/>
      <c r="BB166" s="1"/>
      <c r="BC166" s="1"/>
      <c r="BD166" s="1" t="n">
        <v>106335</v>
      </c>
      <c r="BE166" s="1" t="s">
        <v>3271</v>
      </c>
      <c r="BF166" s="1" t="str">
        <f aca="false">HYPERLINK("http://dx.doi.org/10.1016/j.infsof.2020.106335","http://dx.doi.org/10.1016/j.infsof.2020.106335")</f>
        <v>http://dx.doi.org/10.1016/j.infsof.2020.106335</v>
      </c>
      <c r="BG166" s="1"/>
      <c r="BH166" s="1"/>
      <c r="BI166" s="1" t="n">
        <v>18</v>
      </c>
      <c r="BJ166" s="1" t="s">
        <v>1394</v>
      </c>
      <c r="BK166" s="1" t="s">
        <v>398</v>
      </c>
      <c r="BL166" s="1" t="s">
        <v>101</v>
      </c>
      <c r="BM166" s="1" t="s">
        <v>3272</v>
      </c>
      <c r="BN166" s="1"/>
      <c r="BO166" s="1"/>
      <c r="BP166" s="1"/>
      <c r="BQ166" s="1"/>
      <c r="BR166" s="1" t="s">
        <v>103</v>
      </c>
      <c r="BS166" s="1" t="s">
        <v>3273</v>
      </c>
      <c r="BT166" s="1" t="str">
        <f aca="false">HYPERLINK("https%3A%2F%2Fwww.webofscience.com%2Fwos%2Fwoscc%2Ffull-record%2FWOS:000573271800015","View Full Record in Web of Science")</f>
        <v>View Full Record in Web of Science</v>
      </c>
    </row>
    <row r="167" customFormat="false" ht="12.75" hidden="false" customHeight="false" outlineLevel="0" collapsed="false">
      <c r="A167" s="1" t="s">
        <v>72</v>
      </c>
      <c r="B167" s="1" t="s">
        <v>1873</v>
      </c>
      <c r="C167" s="1"/>
      <c r="D167" s="1"/>
      <c r="E167" s="1" t="s">
        <v>106</v>
      </c>
      <c r="F167" s="1" t="s">
        <v>1875</v>
      </c>
      <c r="G167" s="1"/>
      <c r="H167" s="1"/>
      <c r="I167" s="1" t="s">
        <v>3274</v>
      </c>
      <c r="J167" s="1" t="s">
        <v>3275</v>
      </c>
      <c r="K167" s="1"/>
      <c r="L167" s="1"/>
      <c r="M167" s="1" t="s">
        <v>78</v>
      </c>
      <c r="N167" s="1" t="s">
        <v>79</v>
      </c>
      <c r="O167" s="1" t="s">
        <v>3276</v>
      </c>
      <c r="P167" s="1" t="s">
        <v>3277</v>
      </c>
      <c r="Q167" s="1" t="s">
        <v>3046</v>
      </c>
      <c r="R167" s="1" t="s">
        <v>1080</v>
      </c>
      <c r="S167" s="1"/>
      <c r="T167" s="1"/>
      <c r="U167" s="1"/>
      <c r="V167" s="1" t="s">
        <v>3278</v>
      </c>
      <c r="W167" s="1" t="s">
        <v>3279</v>
      </c>
      <c r="X167" s="1" t="s">
        <v>86</v>
      </c>
      <c r="Y167" s="1" t="s">
        <v>3280</v>
      </c>
      <c r="Z167" s="1" t="s">
        <v>1887</v>
      </c>
      <c r="AA167" s="1"/>
      <c r="AB167" s="1"/>
      <c r="AC167" s="1" t="s">
        <v>1186</v>
      </c>
      <c r="AD167" s="1" t="s">
        <v>1186</v>
      </c>
      <c r="AE167" s="1" t="s">
        <v>3281</v>
      </c>
      <c r="AF167" s="1"/>
      <c r="AG167" s="1" t="n">
        <v>9</v>
      </c>
      <c r="AH167" s="1" t="n">
        <v>0</v>
      </c>
      <c r="AI167" s="1" t="n">
        <v>0</v>
      </c>
      <c r="AJ167" s="1" t="n">
        <v>0</v>
      </c>
      <c r="AK167" s="1" t="n">
        <v>3</v>
      </c>
      <c r="AL167" s="1" t="s">
        <v>172</v>
      </c>
      <c r="AM167" s="1" t="s">
        <v>173</v>
      </c>
      <c r="AN167" s="1" t="s">
        <v>174</v>
      </c>
      <c r="AO167" s="1"/>
      <c r="AP167" s="1"/>
      <c r="AQ167" s="1" t="s">
        <v>3282</v>
      </c>
      <c r="AR167" s="1"/>
      <c r="AS167" s="1"/>
      <c r="AT167" s="1"/>
      <c r="AU167" s="1" t="n">
        <v>2020</v>
      </c>
      <c r="AV167" s="1"/>
      <c r="AW167" s="1"/>
      <c r="AX167" s="1"/>
      <c r="AY167" s="1"/>
      <c r="AZ167" s="1"/>
      <c r="BA167" s="1"/>
      <c r="BB167" s="1" t="n">
        <v>79</v>
      </c>
      <c r="BC167" s="1" t="n">
        <v>82</v>
      </c>
      <c r="BD167" s="1"/>
      <c r="BE167" s="1" t="s">
        <v>3283</v>
      </c>
      <c r="BF167" s="1" t="str">
        <f aca="false">HYPERLINK("http://dx.doi.org/10.1109/AIRE51212.2020.00018","http://dx.doi.org/10.1109/AIRE51212.2020.00018")</f>
        <v>http://dx.doi.org/10.1109/AIRE51212.2020.00018</v>
      </c>
      <c r="BG167" s="1"/>
      <c r="BH167" s="1"/>
      <c r="BI167" s="1" t="n">
        <v>4</v>
      </c>
      <c r="BJ167" s="1" t="s">
        <v>3284</v>
      </c>
      <c r="BK167" s="1" t="s">
        <v>100</v>
      </c>
      <c r="BL167" s="1" t="s">
        <v>1255</v>
      </c>
      <c r="BM167" s="1" t="s">
        <v>3285</v>
      </c>
      <c r="BN167" s="1"/>
      <c r="BO167" s="1" t="s">
        <v>227</v>
      </c>
      <c r="BP167" s="1"/>
      <c r="BQ167" s="1"/>
      <c r="BR167" s="1" t="s">
        <v>103</v>
      </c>
      <c r="BS167" s="1" t="s">
        <v>3286</v>
      </c>
      <c r="BT167" s="1" t="str">
        <f aca="false">HYPERLINK("https%3A%2F%2Fwww.webofscience.com%2Fwos%2Fwoscc%2Ffull-record%2FWOS:000630449700012","View Full Record in Web of Science")</f>
        <v>View Full Record in Web of Science</v>
      </c>
    </row>
    <row r="168" customFormat="false" ht="12.75" hidden="false" customHeight="false" outlineLevel="0" collapsed="false">
      <c r="A168" s="1" t="s">
        <v>72</v>
      </c>
      <c r="B168" s="1" t="s">
        <v>3287</v>
      </c>
      <c r="C168" s="1"/>
      <c r="D168" s="1"/>
      <c r="E168" s="1" t="s">
        <v>106</v>
      </c>
      <c r="F168" s="1" t="s">
        <v>3288</v>
      </c>
      <c r="G168" s="1"/>
      <c r="H168" s="1"/>
      <c r="I168" s="1" t="s">
        <v>3289</v>
      </c>
      <c r="J168" s="1" t="s">
        <v>3290</v>
      </c>
      <c r="K168" s="1"/>
      <c r="L168" s="1"/>
      <c r="M168" s="1" t="s">
        <v>78</v>
      </c>
      <c r="N168" s="1" t="s">
        <v>79</v>
      </c>
      <c r="O168" s="1" t="s">
        <v>3291</v>
      </c>
      <c r="P168" s="1" t="s">
        <v>3292</v>
      </c>
      <c r="Q168" s="1" t="s">
        <v>320</v>
      </c>
      <c r="R168" s="1" t="s">
        <v>3293</v>
      </c>
      <c r="S168" s="1"/>
      <c r="T168" s="1" t="s">
        <v>3294</v>
      </c>
      <c r="U168" s="1"/>
      <c r="V168" s="1" t="s">
        <v>3295</v>
      </c>
      <c r="W168" s="1" t="s">
        <v>3296</v>
      </c>
      <c r="X168" s="1" t="s">
        <v>86</v>
      </c>
      <c r="Y168" s="1" t="s">
        <v>3297</v>
      </c>
      <c r="Z168" s="1" t="s">
        <v>3298</v>
      </c>
      <c r="AA168" s="1"/>
      <c r="AB168" s="1"/>
      <c r="AC168" s="1"/>
      <c r="AD168" s="1"/>
      <c r="AE168" s="1"/>
      <c r="AF168" s="1"/>
      <c r="AG168" s="1" t="n">
        <v>30</v>
      </c>
      <c r="AH168" s="1" t="n">
        <v>0</v>
      </c>
      <c r="AI168" s="1" t="n">
        <v>0</v>
      </c>
      <c r="AJ168" s="1" t="n">
        <v>0</v>
      </c>
      <c r="AK168" s="1" t="n">
        <v>1</v>
      </c>
      <c r="AL168" s="1" t="s">
        <v>106</v>
      </c>
      <c r="AM168" s="1" t="s">
        <v>95</v>
      </c>
      <c r="AN168" s="1" t="s">
        <v>122</v>
      </c>
      <c r="AO168" s="1"/>
      <c r="AP168" s="1"/>
      <c r="AQ168" s="1" t="s">
        <v>3299</v>
      </c>
      <c r="AR168" s="1"/>
      <c r="AS168" s="1"/>
      <c r="AT168" s="1"/>
      <c r="AU168" s="1" t="n">
        <v>2020</v>
      </c>
      <c r="AV168" s="1"/>
      <c r="AW168" s="1"/>
      <c r="AX168" s="1"/>
      <c r="AY168" s="1"/>
      <c r="AZ168" s="1"/>
      <c r="BA168" s="1"/>
      <c r="BB168" s="1" t="n">
        <v>3</v>
      </c>
      <c r="BC168" s="1" t="n">
        <v>14</v>
      </c>
      <c r="BD168" s="1"/>
      <c r="BE168" s="1" t="s">
        <v>3300</v>
      </c>
      <c r="BF168" s="1" t="str">
        <f aca="false">HYPERLINK("http://dx.doi.org/10.1109/comm48946.2020.9141950","http://dx.doi.org/10.1109/comm48946.2020.9141950")</f>
        <v>http://dx.doi.org/10.1109/comm48946.2020.9141950</v>
      </c>
      <c r="BG168" s="1"/>
      <c r="BH168" s="1"/>
      <c r="BI168" s="1" t="n">
        <v>12</v>
      </c>
      <c r="BJ168" s="1" t="s">
        <v>1117</v>
      </c>
      <c r="BK168" s="1" t="s">
        <v>100</v>
      </c>
      <c r="BL168" s="1" t="s">
        <v>1118</v>
      </c>
      <c r="BM168" s="1" t="s">
        <v>3301</v>
      </c>
      <c r="BN168" s="1"/>
      <c r="BO168" s="1"/>
      <c r="BP168" s="1"/>
      <c r="BQ168" s="1"/>
      <c r="BR168" s="1" t="s">
        <v>103</v>
      </c>
      <c r="BS168" s="1" t="s">
        <v>3302</v>
      </c>
      <c r="BT168" s="1" t="str">
        <f aca="false">HYPERLINK("https%3A%2F%2Fwww.webofscience.com%2Fwos%2Fwoscc%2Ffull-record%2FWOS:000612723900001","View Full Record in Web of Science")</f>
        <v>View Full Record in Web of Science</v>
      </c>
    </row>
    <row r="169" customFormat="false" ht="12.75" hidden="false" customHeight="false" outlineLevel="0" collapsed="false">
      <c r="A169" s="1" t="s">
        <v>72</v>
      </c>
      <c r="B169" s="1" t="s">
        <v>3038</v>
      </c>
      <c r="C169" s="1"/>
      <c r="D169" s="1"/>
      <c r="E169" s="1" t="s">
        <v>106</v>
      </c>
      <c r="F169" s="1" t="s">
        <v>3040</v>
      </c>
      <c r="G169" s="1"/>
      <c r="H169" s="1"/>
      <c r="I169" s="1" t="s">
        <v>3303</v>
      </c>
      <c r="J169" s="1" t="s">
        <v>3275</v>
      </c>
      <c r="K169" s="1"/>
      <c r="L169" s="1"/>
      <c r="M169" s="1" t="s">
        <v>78</v>
      </c>
      <c r="N169" s="1" t="s">
        <v>79</v>
      </c>
      <c r="O169" s="1" t="s">
        <v>3276</v>
      </c>
      <c r="P169" s="1" t="s">
        <v>3277</v>
      </c>
      <c r="Q169" s="1" t="s">
        <v>3046</v>
      </c>
      <c r="R169" s="1" t="s">
        <v>1080</v>
      </c>
      <c r="S169" s="1"/>
      <c r="T169" s="1" t="s">
        <v>3304</v>
      </c>
      <c r="U169" s="1"/>
      <c r="V169" s="1" t="s">
        <v>3305</v>
      </c>
      <c r="W169" s="1" t="s">
        <v>3050</v>
      </c>
      <c r="X169" s="1" t="s">
        <v>86</v>
      </c>
      <c r="Y169" s="1" t="s">
        <v>3051</v>
      </c>
      <c r="Z169" s="1" t="s">
        <v>1692</v>
      </c>
      <c r="AA169" s="1"/>
      <c r="AB169" s="1"/>
      <c r="AC169" s="1"/>
      <c r="AD169" s="1"/>
      <c r="AE169" s="1"/>
      <c r="AF169" s="1"/>
      <c r="AG169" s="1" t="n">
        <v>7</v>
      </c>
      <c r="AH169" s="1" t="n">
        <v>1</v>
      </c>
      <c r="AI169" s="1" t="n">
        <v>1</v>
      </c>
      <c r="AJ169" s="1" t="n">
        <v>0</v>
      </c>
      <c r="AK169" s="1" t="n">
        <v>1</v>
      </c>
      <c r="AL169" s="1" t="s">
        <v>172</v>
      </c>
      <c r="AM169" s="1" t="s">
        <v>173</v>
      </c>
      <c r="AN169" s="1" t="s">
        <v>174</v>
      </c>
      <c r="AO169" s="1"/>
      <c r="AP169" s="1"/>
      <c r="AQ169" s="1" t="s">
        <v>3282</v>
      </c>
      <c r="AR169" s="1"/>
      <c r="AS169" s="1"/>
      <c r="AT169" s="1"/>
      <c r="AU169" s="1" t="n">
        <v>2020</v>
      </c>
      <c r="AV169" s="1"/>
      <c r="AW169" s="1"/>
      <c r="AX169" s="1"/>
      <c r="AY169" s="1"/>
      <c r="AZ169" s="1"/>
      <c r="BA169" s="1"/>
      <c r="BB169" s="1" t="n">
        <v>18</v>
      </c>
      <c r="BC169" s="1" t="n">
        <v>21</v>
      </c>
      <c r="BD169" s="1"/>
      <c r="BE169" s="1" t="s">
        <v>3306</v>
      </c>
      <c r="BF169" s="1" t="str">
        <f aca="false">HYPERLINK("http://dx.doi.org/10.1109/AIRE51212.2020.00009","http://dx.doi.org/10.1109/AIRE51212.2020.00009")</f>
        <v>http://dx.doi.org/10.1109/AIRE51212.2020.00009</v>
      </c>
      <c r="BG169" s="1"/>
      <c r="BH169" s="1"/>
      <c r="BI169" s="1" t="n">
        <v>4</v>
      </c>
      <c r="BJ169" s="1" t="s">
        <v>3284</v>
      </c>
      <c r="BK169" s="1" t="s">
        <v>100</v>
      </c>
      <c r="BL169" s="1" t="s">
        <v>1255</v>
      </c>
      <c r="BM169" s="1" t="s">
        <v>3285</v>
      </c>
      <c r="BN169" s="1"/>
      <c r="BO169" s="1" t="s">
        <v>227</v>
      </c>
      <c r="BP169" s="1"/>
      <c r="BQ169" s="1"/>
      <c r="BR169" s="1" t="s">
        <v>103</v>
      </c>
      <c r="BS169" s="1" t="s">
        <v>3307</v>
      </c>
      <c r="BT169" s="1" t="str">
        <f aca="false">HYPERLINK("https%3A%2F%2Fwww.webofscience.com%2Fwos%2Fwoscc%2Ffull-record%2FWOS:000630449700003","View Full Record in Web of Science")</f>
        <v>View Full Record in Web of Science</v>
      </c>
    </row>
    <row r="170" customFormat="false" ht="12.75" hidden="false" customHeight="false" outlineLevel="0" collapsed="false">
      <c r="A170" s="1" t="s">
        <v>181</v>
      </c>
      <c r="B170" s="1" t="s">
        <v>3308</v>
      </c>
      <c r="C170" s="1"/>
      <c r="D170" s="1"/>
      <c r="E170" s="1"/>
      <c r="F170" s="1" t="s">
        <v>3309</v>
      </c>
      <c r="G170" s="1"/>
      <c r="H170" s="1"/>
      <c r="I170" s="1" t="s">
        <v>3310</v>
      </c>
      <c r="J170" s="1" t="s">
        <v>3311</v>
      </c>
      <c r="K170" s="1"/>
      <c r="L170" s="1"/>
      <c r="M170" s="1" t="s">
        <v>78</v>
      </c>
      <c r="N170" s="1" t="s">
        <v>186</v>
      </c>
      <c r="O170" s="1"/>
      <c r="P170" s="1"/>
      <c r="Q170" s="1"/>
      <c r="R170" s="1"/>
      <c r="S170" s="1"/>
      <c r="T170" s="1"/>
      <c r="U170" s="1" t="s">
        <v>3312</v>
      </c>
      <c r="V170" s="1" t="s">
        <v>3313</v>
      </c>
      <c r="W170" s="1" t="s">
        <v>3314</v>
      </c>
      <c r="X170" s="1" t="s">
        <v>86</v>
      </c>
      <c r="Y170" s="1" t="s">
        <v>264</v>
      </c>
      <c r="Z170" s="1" t="s">
        <v>3315</v>
      </c>
      <c r="AA170" s="1"/>
      <c r="AB170" s="1"/>
      <c r="AC170" s="1"/>
      <c r="AD170" s="1"/>
      <c r="AE170" s="1"/>
      <c r="AF170" s="1"/>
      <c r="AG170" s="1" t="n">
        <v>53</v>
      </c>
      <c r="AH170" s="1" t="n">
        <v>0</v>
      </c>
      <c r="AI170" s="1" t="n">
        <v>0</v>
      </c>
      <c r="AJ170" s="1" t="n">
        <v>0</v>
      </c>
      <c r="AK170" s="1" t="n">
        <v>1</v>
      </c>
      <c r="AL170" s="1" t="s">
        <v>3316</v>
      </c>
      <c r="AM170" s="1" t="s">
        <v>3317</v>
      </c>
      <c r="AN170" s="1" t="s">
        <v>3318</v>
      </c>
      <c r="AO170" s="1" t="s">
        <v>3319</v>
      </c>
      <c r="AP170" s="1" t="s">
        <v>3320</v>
      </c>
      <c r="AQ170" s="1"/>
      <c r="AR170" s="1" t="s">
        <v>3321</v>
      </c>
      <c r="AS170" s="1" t="s">
        <v>3322</v>
      </c>
      <c r="AT170" s="1" t="s">
        <v>2134</v>
      </c>
      <c r="AU170" s="1" t="n">
        <v>2024</v>
      </c>
      <c r="AV170" s="1" t="n">
        <v>27</v>
      </c>
      <c r="AW170" s="1" t="n">
        <v>4</v>
      </c>
      <c r="AX170" s="1"/>
      <c r="AY170" s="1"/>
      <c r="AZ170" s="1"/>
      <c r="BA170" s="1"/>
      <c r="BB170" s="1" t="n">
        <v>789</v>
      </c>
      <c r="BC170" s="1" t="n">
        <v>811</v>
      </c>
      <c r="BD170" s="1"/>
      <c r="BE170" s="1" t="s">
        <v>3323</v>
      </c>
      <c r="BF170" s="1" t="str">
        <f aca="false">HYPERLINK("http://dx.doi.org/10.1515/jgth-2023-0110","http://dx.doi.org/10.1515/jgth-2023-0110")</f>
        <v>http://dx.doi.org/10.1515/jgth-2023-0110</v>
      </c>
      <c r="BG170" s="1"/>
      <c r="BH170" s="1" t="s">
        <v>3324</v>
      </c>
      <c r="BI170" s="1" t="n">
        <v>23</v>
      </c>
      <c r="BJ170" s="1" t="s">
        <v>280</v>
      </c>
      <c r="BK170" s="1" t="s">
        <v>204</v>
      </c>
      <c r="BL170" s="1" t="s">
        <v>280</v>
      </c>
      <c r="BM170" s="1" t="s">
        <v>3325</v>
      </c>
      <c r="BN170" s="1"/>
      <c r="BO170" s="1" t="s">
        <v>3326</v>
      </c>
      <c r="BP170" s="1"/>
      <c r="BQ170" s="1"/>
      <c r="BR170" s="1" t="s">
        <v>103</v>
      </c>
      <c r="BS170" s="1" t="s">
        <v>3327</v>
      </c>
      <c r="BT170" s="1" t="str">
        <f aca="false">HYPERLINK("https%3A%2F%2Fwww.webofscience.com%2Fwos%2Fwoscc%2Ffull-record%2FWOS:001151748200001","View Full Record in Web of Science")</f>
        <v>View Full Record in Web of Science</v>
      </c>
    </row>
    <row r="171" customFormat="false" ht="12.75" hidden="false" customHeight="false" outlineLevel="0" collapsed="false">
      <c r="A171" s="1" t="s">
        <v>72</v>
      </c>
      <c r="B171" s="1" t="s">
        <v>3328</v>
      </c>
      <c r="C171" s="1"/>
      <c r="D171" s="1"/>
      <c r="E171" s="1" t="s">
        <v>106</v>
      </c>
      <c r="F171" s="1" t="s">
        <v>3329</v>
      </c>
      <c r="G171" s="1"/>
      <c r="H171" s="1"/>
      <c r="I171" s="1" t="s">
        <v>3330</v>
      </c>
      <c r="J171" s="1" t="s">
        <v>3331</v>
      </c>
      <c r="K171" s="1" t="s">
        <v>3332</v>
      </c>
      <c r="L171" s="1"/>
      <c r="M171" s="1" t="s">
        <v>78</v>
      </c>
      <c r="N171" s="1" t="s">
        <v>79</v>
      </c>
      <c r="O171" s="1" t="s">
        <v>3333</v>
      </c>
      <c r="P171" s="1" t="s">
        <v>3334</v>
      </c>
      <c r="Q171" s="1" t="s">
        <v>3335</v>
      </c>
      <c r="R171" s="1"/>
      <c r="S171" s="1"/>
      <c r="T171" s="1" t="s">
        <v>3336</v>
      </c>
      <c r="U171" s="1"/>
      <c r="V171" s="1" t="s">
        <v>3337</v>
      </c>
      <c r="W171" s="1" t="s">
        <v>3338</v>
      </c>
      <c r="X171" s="1" t="s">
        <v>86</v>
      </c>
      <c r="Y171" s="1" t="s">
        <v>3339</v>
      </c>
      <c r="Z171" s="1" t="s">
        <v>3340</v>
      </c>
      <c r="AA171" s="1" t="s">
        <v>121</v>
      </c>
      <c r="AB171" s="1" t="s">
        <v>3341</v>
      </c>
      <c r="AC171" s="1" t="s">
        <v>3342</v>
      </c>
      <c r="AD171" s="1" t="s">
        <v>3342</v>
      </c>
      <c r="AE171" s="1" t="s">
        <v>3343</v>
      </c>
      <c r="AF171" s="1"/>
      <c r="AG171" s="1" t="n">
        <v>18</v>
      </c>
      <c r="AH171" s="1" t="n">
        <v>0</v>
      </c>
      <c r="AI171" s="1" t="n">
        <v>0</v>
      </c>
      <c r="AJ171" s="1" t="n">
        <v>0</v>
      </c>
      <c r="AK171" s="1" t="n">
        <v>0</v>
      </c>
      <c r="AL171" s="1" t="s">
        <v>106</v>
      </c>
      <c r="AM171" s="1" t="s">
        <v>95</v>
      </c>
      <c r="AN171" s="1" t="s">
        <v>122</v>
      </c>
      <c r="AO171" s="1" t="s">
        <v>3344</v>
      </c>
      <c r="AP171" s="1"/>
      <c r="AQ171" s="1" t="s">
        <v>3345</v>
      </c>
      <c r="AR171" s="1" t="s">
        <v>3346</v>
      </c>
      <c r="AS171" s="1"/>
      <c r="AT171" s="1"/>
      <c r="AU171" s="1" t="n">
        <v>2024</v>
      </c>
      <c r="AV171" s="1"/>
      <c r="AW171" s="1"/>
      <c r="AX171" s="1"/>
      <c r="AY171" s="1"/>
      <c r="AZ171" s="1"/>
      <c r="BA171" s="1"/>
      <c r="BB171" s="1" t="n">
        <v>18</v>
      </c>
      <c r="BC171" s="1" t="n">
        <v>23</v>
      </c>
      <c r="BD171" s="1"/>
      <c r="BE171" s="1"/>
      <c r="BF171" s="1"/>
      <c r="BG171" s="1"/>
      <c r="BH171" s="1"/>
      <c r="BI171" s="1" t="n">
        <v>6</v>
      </c>
      <c r="BJ171" s="1" t="s">
        <v>581</v>
      </c>
      <c r="BK171" s="1" t="s">
        <v>100</v>
      </c>
      <c r="BL171" s="1" t="s">
        <v>582</v>
      </c>
      <c r="BM171" s="1" t="s">
        <v>3347</v>
      </c>
      <c r="BN171" s="1"/>
      <c r="BO171" s="1"/>
      <c r="BP171" s="1"/>
      <c r="BQ171" s="1"/>
      <c r="BR171" s="1" t="s">
        <v>103</v>
      </c>
      <c r="BS171" s="1" t="s">
        <v>3348</v>
      </c>
      <c r="BT171" s="1" t="str">
        <f aca="false">HYPERLINK("https%3A%2F%2Fwww.webofscience.com%2Fwos%2Fwoscc%2Ffull-record%2FWOS:001307923500004","View Full Record in Web of Science")</f>
        <v>View Full Record in Web of Science</v>
      </c>
    </row>
    <row r="172" customFormat="false" ht="12.75" hidden="false" customHeight="false" outlineLevel="0" collapsed="false">
      <c r="A172" s="1" t="s">
        <v>72</v>
      </c>
      <c r="B172" s="1" t="s">
        <v>3349</v>
      </c>
      <c r="C172" s="1"/>
      <c r="D172" s="1"/>
      <c r="E172" s="1" t="s">
        <v>74</v>
      </c>
      <c r="F172" s="1" t="s">
        <v>3350</v>
      </c>
      <c r="G172" s="1"/>
      <c r="H172" s="1"/>
      <c r="I172" s="1" t="s">
        <v>3351</v>
      </c>
      <c r="J172" s="1" t="s">
        <v>3352</v>
      </c>
      <c r="K172" s="1"/>
      <c r="L172" s="1"/>
      <c r="M172" s="1" t="s">
        <v>78</v>
      </c>
      <c r="N172" s="1" t="s">
        <v>79</v>
      </c>
      <c r="O172" s="1" t="s">
        <v>3353</v>
      </c>
      <c r="P172" s="1" t="s">
        <v>3354</v>
      </c>
      <c r="Q172" s="1" t="s">
        <v>3355</v>
      </c>
      <c r="R172" s="1" t="s">
        <v>3356</v>
      </c>
      <c r="S172" s="1" t="s">
        <v>3357</v>
      </c>
      <c r="T172" s="1" t="s">
        <v>3358</v>
      </c>
      <c r="U172" s="1"/>
      <c r="V172" s="1" t="s">
        <v>3359</v>
      </c>
      <c r="W172" s="1" t="s">
        <v>3360</v>
      </c>
      <c r="X172" s="1" t="s">
        <v>86</v>
      </c>
      <c r="Y172" s="1" t="s">
        <v>3361</v>
      </c>
      <c r="Z172" s="1" t="s">
        <v>3362</v>
      </c>
      <c r="AA172" s="1"/>
      <c r="AB172" s="1" t="s">
        <v>3363</v>
      </c>
      <c r="AC172" s="1"/>
      <c r="AD172" s="1"/>
      <c r="AE172" s="1"/>
      <c r="AF172" s="1"/>
      <c r="AG172" s="1" t="n">
        <v>13</v>
      </c>
      <c r="AH172" s="1" t="n">
        <v>0</v>
      </c>
      <c r="AI172" s="1" t="n">
        <v>0</v>
      </c>
      <c r="AJ172" s="1" t="n">
        <v>0</v>
      </c>
      <c r="AK172" s="1" t="n">
        <v>0</v>
      </c>
      <c r="AL172" s="1" t="s">
        <v>94</v>
      </c>
      <c r="AM172" s="1" t="s">
        <v>95</v>
      </c>
      <c r="AN172" s="1" t="s">
        <v>96</v>
      </c>
      <c r="AO172" s="1"/>
      <c r="AP172" s="1"/>
      <c r="AQ172" s="1" t="s">
        <v>3364</v>
      </c>
      <c r="AR172" s="1"/>
      <c r="AS172" s="1"/>
      <c r="AT172" s="1"/>
      <c r="AU172" s="1" t="n">
        <v>2024</v>
      </c>
      <c r="AV172" s="1"/>
      <c r="AW172" s="1"/>
      <c r="AX172" s="1"/>
      <c r="AY172" s="1"/>
      <c r="AZ172" s="1"/>
      <c r="BA172" s="1"/>
      <c r="BB172" s="1" t="n">
        <v>828</v>
      </c>
      <c r="BC172" s="1" t="n">
        <v>829</v>
      </c>
      <c r="BD172" s="1"/>
      <c r="BE172" s="1" t="s">
        <v>3365</v>
      </c>
      <c r="BF172" s="1" t="str">
        <f aca="false">HYPERLINK("http://dx.doi.org/10.1145/3649405.3659471","http://dx.doi.org/10.1145/3649405.3659471")</f>
        <v>http://dx.doi.org/10.1145/3649405.3659471</v>
      </c>
      <c r="BG172" s="1"/>
      <c r="BH172" s="1"/>
      <c r="BI172" s="1" t="n">
        <v>2</v>
      </c>
      <c r="BJ172" s="1" t="s">
        <v>3366</v>
      </c>
      <c r="BK172" s="1" t="s">
        <v>1254</v>
      </c>
      <c r="BL172" s="1" t="s">
        <v>3367</v>
      </c>
      <c r="BM172" s="1" t="s">
        <v>3368</v>
      </c>
      <c r="BN172" s="1"/>
      <c r="BO172" s="1"/>
      <c r="BP172" s="1"/>
      <c r="BQ172" s="1"/>
      <c r="BR172" s="1" t="s">
        <v>103</v>
      </c>
      <c r="BS172" s="1" t="s">
        <v>3369</v>
      </c>
      <c r="BT172" s="1" t="str">
        <f aca="false">HYPERLINK("https%3A%2F%2Fwww.webofscience.com%2Fwos%2Fwoscc%2Ffull-record%2FWOS:001265872800052","View Full Record in Web of Science")</f>
        <v>View Full Record in Web of Science</v>
      </c>
    </row>
    <row r="173" customFormat="false" ht="12.75" hidden="false" customHeight="false" outlineLevel="0" collapsed="false">
      <c r="A173" s="1" t="s">
        <v>72</v>
      </c>
      <c r="B173" s="1" t="s">
        <v>3370</v>
      </c>
      <c r="C173" s="1"/>
      <c r="D173" s="1"/>
      <c r="E173" s="1" t="s">
        <v>94</v>
      </c>
      <c r="F173" s="1" t="s">
        <v>3371</v>
      </c>
      <c r="G173" s="1"/>
      <c r="H173" s="1"/>
      <c r="I173" s="1" t="s">
        <v>3372</v>
      </c>
      <c r="J173" s="1" t="s">
        <v>3373</v>
      </c>
      <c r="K173" s="1"/>
      <c r="L173" s="1"/>
      <c r="M173" s="1" t="s">
        <v>78</v>
      </c>
      <c r="N173" s="1" t="s">
        <v>79</v>
      </c>
      <c r="O173" s="1" t="s">
        <v>3374</v>
      </c>
      <c r="P173" s="1" t="s">
        <v>3375</v>
      </c>
      <c r="Q173" s="1" t="s">
        <v>3376</v>
      </c>
      <c r="R173" s="1"/>
      <c r="S173" s="1"/>
      <c r="T173" s="1"/>
      <c r="U173" s="1"/>
      <c r="V173" s="1"/>
      <c r="W173" s="1" t="s">
        <v>3377</v>
      </c>
      <c r="X173" s="1" t="s">
        <v>86</v>
      </c>
      <c r="Y173" s="1" t="s">
        <v>1796</v>
      </c>
      <c r="Z173" s="1" t="s">
        <v>3378</v>
      </c>
      <c r="AA173" s="1" t="s">
        <v>3379</v>
      </c>
      <c r="AB173" s="1" t="s">
        <v>3380</v>
      </c>
      <c r="AC173" s="1"/>
      <c r="AD173" s="1"/>
      <c r="AE173" s="1"/>
      <c r="AF173" s="1"/>
      <c r="AG173" s="1" t="n">
        <v>2</v>
      </c>
      <c r="AH173" s="1" t="n">
        <v>0</v>
      </c>
      <c r="AI173" s="1" t="n">
        <v>0</v>
      </c>
      <c r="AJ173" s="1" t="n">
        <v>1</v>
      </c>
      <c r="AK173" s="1" t="n">
        <v>1</v>
      </c>
      <c r="AL173" s="1" t="s">
        <v>94</v>
      </c>
      <c r="AM173" s="1" t="s">
        <v>95</v>
      </c>
      <c r="AN173" s="1" t="s">
        <v>96</v>
      </c>
      <c r="AO173" s="1"/>
      <c r="AP173" s="1"/>
      <c r="AQ173" s="1" t="s">
        <v>3381</v>
      </c>
      <c r="AR173" s="1"/>
      <c r="AS173" s="1"/>
      <c r="AT173" s="1"/>
      <c r="AU173" s="1" t="n">
        <v>2024</v>
      </c>
      <c r="AV173" s="1"/>
      <c r="AW173" s="1"/>
      <c r="AX173" s="1"/>
      <c r="AY173" s="1"/>
      <c r="AZ173" s="1"/>
      <c r="BA173" s="1"/>
      <c r="BB173" s="1" t="n">
        <v>144</v>
      </c>
      <c r="BC173" s="1" t="n">
        <v>144</v>
      </c>
      <c r="BD173" s="1"/>
      <c r="BE173" s="1" t="s">
        <v>3382</v>
      </c>
      <c r="BF173" s="1" t="str">
        <f aca="false">HYPERLINK("http://dx.doi.org/10.1145/3638550.3643624","http://dx.doi.org/10.1145/3638550.3643624")</f>
        <v>http://dx.doi.org/10.1145/3638550.3643624</v>
      </c>
      <c r="BG173" s="1"/>
      <c r="BH173" s="1"/>
      <c r="BI173" s="1" t="n">
        <v>1</v>
      </c>
      <c r="BJ173" s="1" t="s">
        <v>3383</v>
      </c>
      <c r="BK173" s="1" t="s">
        <v>100</v>
      </c>
      <c r="BL173" s="1" t="s">
        <v>311</v>
      </c>
      <c r="BM173" s="1" t="s">
        <v>3384</v>
      </c>
      <c r="BN173" s="1"/>
      <c r="BO173" s="1" t="s">
        <v>179</v>
      </c>
      <c r="BP173" s="1"/>
      <c r="BQ173" s="1"/>
      <c r="BR173" s="1" t="s">
        <v>103</v>
      </c>
      <c r="BS173" s="1" t="s">
        <v>3385</v>
      </c>
      <c r="BT173" s="1" t="str">
        <f aca="false">HYPERLINK("https%3A%2F%2Fwww.webofscience.com%2Fwos%2Fwoscc%2Ffull-record%2FWOS:001278360200032","View Full Record in Web of Science")</f>
        <v>View Full Record in Web of Science</v>
      </c>
    </row>
    <row r="174" customFormat="false" ht="12.75" hidden="false" customHeight="false" outlineLevel="0" collapsed="false">
      <c r="A174" s="1" t="s">
        <v>72</v>
      </c>
      <c r="B174" s="1" t="s">
        <v>331</v>
      </c>
      <c r="C174" s="1"/>
      <c r="D174" s="1"/>
      <c r="E174" s="1" t="s">
        <v>106</v>
      </c>
      <c r="F174" s="1" t="s">
        <v>3386</v>
      </c>
      <c r="G174" s="1"/>
      <c r="H174" s="1"/>
      <c r="I174" s="1" t="s">
        <v>3387</v>
      </c>
      <c r="J174" s="1" t="s">
        <v>3388</v>
      </c>
      <c r="K174" s="1"/>
      <c r="L174" s="1"/>
      <c r="M174" s="1" t="s">
        <v>78</v>
      </c>
      <c r="N174" s="1" t="s">
        <v>79</v>
      </c>
      <c r="O174" s="1" t="s">
        <v>3389</v>
      </c>
      <c r="P174" s="1" t="s">
        <v>3390</v>
      </c>
      <c r="Q174" s="1" t="s">
        <v>2932</v>
      </c>
      <c r="R174" s="1" t="s">
        <v>3391</v>
      </c>
      <c r="S174" s="1"/>
      <c r="T174" s="1" t="s">
        <v>3392</v>
      </c>
      <c r="U174" s="1" t="s">
        <v>3393</v>
      </c>
      <c r="V174" s="1" t="s">
        <v>3394</v>
      </c>
      <c r="W174" s="1" t="s">
        <v>3395</v>
      </c>
      <c r="X174" s="1" t="s">
        <v>86</v>
      </c>
      <c r="Y174" s="1" t="s">
        <v>342</v>
      </c>
      <c r="Z174" s="1" t="s">
        <v>343</v>
      </c>
      <c r="AA174" s="1" t="s">
        <v>193</v>
      </c>
      <c r="AB174" s="1" t="s">
        <v>194</v>
      </c>
      <c r="AC174" s="1" t="s">
        <v>3396</v>
      </c>
      <c r="AD174" s="1" t="s">
        <v>344</v>
      </c>
      <c r="AE174" s="1" t="s">
        <v>3397</v>
      </c>
      <c r="AF174" s="1"/>
      <c r="AG174" s="1" t="n">
        <v>20</v>
      </c>
      <c r="AH174" s="1" t="n">
        <v>0</v>
      </c>
      <c r="AI174" s="1" t="n">
        <v>0</v>
      </c>
      <c r="AJ174" s="1" t="n">
        <v>3</v>
      </c>
      <c r="AK174" s="1" t="n">
        <v>4</v>
      </c>
      <c r="AL174" s="1" t="s">
        <v>106</v>
      </c>
      <c r="AM174" s="1" t="s">
        <v>95</v>
      </c>
      <c r="AN174" s="1" t="s">
        <v>122</v>
      </c>
      <c r="AO174" s="1"/>
      <c r="AP174" s="1"/>
      <c r="AQ174" s="1" t="s">
        <v>3398</v>
      </c>
      <c r="AR174" s="1"/>
      <c r="AS174" s="1"/>
      <c r="AT174" s="1"/>
      <c r="AU174" s="1" t="n">
        <v>2023</v>
      </c>
      <c r="AV174" s="1"/>
      <c r="AW174" s="1"/>
      <c r="AX174" s="1"/>
      <c r="AY174" s="1"/>
      <c r="AZ174" s="1"/>
      <c r="BA174" s="1"/>
      <c r="BB174" s="1"/>
      <c r="BC174" s="1"/>
      <c r="BD174" s="1"/>
      <c r="BE174" s="1" t="s">
        <v>3399</v>
      </c>
      <c r="BF174" s="1" t="str">
        <f aca="false">HYPERLINK("http://dx.doi.org/10.1109/RADARCONF2351548.2023.10149760","http://dx.doi.org/10.1109/RADARCONF2351548.2023.10149760")</f>
        <v>http://dx.doi.org/10.1109/RADARCONF2351548.2023.10149760</v>
      </c>
      <c r="BG174" s="1"/>
      <c r="BH174" s="1"/>
      <c r="BI174" s="1" t="n">
        <v>6</v>
      </c>
      <c r="BJ174" s="1" t="s">
        <v>3400</v>
      </c>
      <c r="BK174" s="1" t="s">
        <v>100</v>
      </c>
      <c r="BL174" s="1" t="s">
        <v>3400</v>
      </c>
      <c r="BM174" s="1" t="s">
        <v>3401</v>
      </c>
      <c r="BN174" s="1"/>
      <c r="BO174" s="1" t="s">
        <v>179</v>
      </c>
      <c r="BP174" s="1"/>
      <c r="BQ174" s="1"/>
      <c r="BR174" s="1" t="s">
        <v>103</v>
      </c>
      <c r="BS174" s="1" t="s">
        <v>3402</v>
      </c>
      <c r="BT174" s="1" t="str">
        <f aca="false">HYPERLINK("https%3A%2F%2Fwww.webofscience.com%2Fwos%2Fwoscc%2Ffull-record%2FWOS:001031599600217","View Full Record in Web of Science")</f>
        <v>View Full Record in Web of Science</v>
      </c>
    </row>
    <row r="175" customFormat="false" ht="12.75" hidden="false" customHeight="false" outlineLevel="0" collapsed="false">
      <c r="A175" s="1" t="s">
        <v>181</v>
      </c>
      <c r="B175" s="1" t="s">
        <v>3403</v>
      </c>
      <c r="C175" s="1"/>
      <c r="D175" s="1"/>
      <c r="E175" s="1"/>
      <c r="F175" s="1" t="s">
        <v>3086</v>
      </c>
      <c r="G175" s="1"/>
      <c r="H175" s="1"/>
      <c r="I175" s="1" t="s">
        <v>3404</v>
      </c>
      <c r="J175" s="1" t="s">
        <v>355</v>
      </c>
      <c r="K175" s="1"/>
      <c r="L175" s="1"/>
      <c r="M175" s="1" t="s">
        <v>78</v>
      </c>
      <c r="N175" s="1" t="s">
        <v>186</v>
      </c>
      <c r="O175" s="1"/>
      <c r="P175" s="1"/>
      <c r="Q175" s="1"/>
      <c r="R175" s="1"/>
      <c r="S175" s="1"/>
      <c r="T175" s="1" t="s">
        <v>3405</v>
      </c>
      <c r="U175" s="1" t="s">
        <v>3406</v>
      </c>
      <c r="V175" s="1" t="s">
        <v>3407</v>
      </c>
      <c r="W175" s="1" t="s">
        <v>3408</v>
      </c>
      <c r="X175" s="1" t="s">
        <v>86</v>
      </c>
      <c r="Y175" s="1" t="s">
        <v>3409</v>
      </c>
      <c r="Z175" s="1" t="s">
        <v>3410</v>
      </c>
      <c r="AA175" s="1" t="s">
        <v>3411</v>
      </c>
      <c r="AB175" s="1" t="s">
        <v>3412</v>
      </c>
      <c r="AC175" s="1" t="s">
        <v>3413</v>
      </c>
      <c r="AD175" s="1" t="s">
        <v>3414</v>
      </c>
      <c r="AE175" s="1" t="s">
        <v>3415</v>
      </c>
      <c r="AF175" s="1"/>
      <c r="AG175" s="1" t="n">
        <v>108</v>
      </c>
      <c r="AH175" s="1" t="n">
        <v>5</v>
      </c>
      <c r="AI175" s="1" t="n">
        <v>5</v>
      </c>
      <c r="AJ175" s="1" t="n">
        <v>4</v>
      </c>
      <c r="AK175" s="1" t="n">
        <v>19</v>
      </c>
      <c r="AL175" s="1" t="s">
        <v>367</v>
      </c>
      <c r="AM175" s="1" t="s">
        <v>368</v>
      </c>
      <c r="AN175" s="1" t="s">
        <v>369</v>
      </c>
      <c r="AO175" s="1"/>
      <c r="AP175" s="1" t="s">
        <v>370</v>
      </c>
      <c r="AQ175" s="1"/>
      <c r="AR175" s="1" t="s">
        <v>355</v>
      </c>
      <c r="AS175" s="1" t="s">
        <v>371</v>
      </c>
      <c r="AT175" s="1" t="s">
        <v>1391</v>
      </c>
      <c r="AU175" s="1" t="n">
        <v>2022</v>
      </c>
      <c r="AV175" s="1" t="n">
        <v>15</v>
      </c>
      <c r="AW175" s="1" t="n">
        <v>11</v>
      </c>
      <c r="AX175" s="1"/>
      <c r="AY175" s="1"/>
      <c r="AZ175" s="1"/>
      <c r="BA175" s="1"/>
      <c r="BB175" s="1"/>
      <c r="BC175" s="1"/>
      <c r="BD175" s="1" t="n">
        <v>419</v>
      </c>
      <c r="BE175" s="1" t="s">
        <v>3416</v>
      </c>
      <c r="BF175" s="1" t="str">
        <f aca="false">HYPERLINK("http://dx.doi.org/10.3390/a15110419","http://dx.doi.org/10.3390/a15110419")</f>
        <v>http://dx.doi.org/10.3390/a15110419</v>
      </c>
      <c r="BG175" s="1"/>
      <c r="BH175" s="1"/>
      <c r="BI175" s="1" t="n">
        <v>28</v>
      </c>
      <c r="BJ175" s="1" t="s">
        <v>374</v>
      </c>
      <c r="BK175" s="1" t="s">
        <v>253</v>
      </c>
      <c r="BL175" s="1" t="s">
        <v>101</v>
      </c>
      <c r="BM175" s="1" t="s">
        <v>3417</v>
      </c>
      <c r="BN175" s="1"/>
      <c r="BO175" s="1" t="s">
        <v>542</v>
      </c>
      <c r="BP175" s="1"/>
      <c r="BQ175" s="1"/>
      <c r="BR175" s="1" t="s">
        <v>103</v>
      </c>
      <c r="BS175" s="1" t="s">
        <v>3418</v>
      </c>
      <c r="BT175" s="1" t="str">
        <f aca="false">HYPERLINK("https%3A%2F%2Fwww.webofscience.com%2Fwos%2Fwoscc%2Ffull-record%2FWOS:000930705100001","View Full Record in Web of Science")</f>
        <v>View Full Record in Web of Science</v>
      </c>
    </row>
    <row r="176" customFormat="false" ht="12.75" hidden="false" customHeight="false" outlineLevel="0" collapsed="false">
      <c r="A176" s="1" t="s">
        <v>181</v>
      </c>
      <c r="B176" s="1" t="s">
        <v>857</v>
      </c>
      <c r="C176" s="1"/>
      <c r="D176" s="1"/>
      <c r="E176" s="1"/>
      <c r="F176" s="1" t="s">
        <v>858</v>
      </c>
      <c r="G176" s="1"/>
      <c r="H176" s="1"/>
      <c r="I176" s="1" t="s">
        <v>3419</v>
      </c>
      <c r="J176" s="1" t="s">
        <v>3420</v>
      </c>
      <c r="K176" s="1"/>
      <c r="L176" s="1"/>
      <c r="M176" s="1" t="s">
        <v>78</v>
      </c>
      <c r="N176" s="1" t="s">
        <v>186</v>
      </c>
      <c r="O176" s="1"/>
      <c r="P176" s="1"/>
      <c r="Q176" s="1"/>
      <c r="R176" s="1"/>
      <c r="S176" s="1"/>
      <c r="T176" s="1" t="s">
        <v>3421</v>
      </c>
      <c r="U176" s="1" t="s">
        <v>3422</v>
      </c>
      <c r="V176" s="1" t="s">
        <v>3423</v>
      </c>
      <c r="W176" s="1" t="s">
        <v>864</v>
      </c>
      <c r="X176" s="1" t="s">
        <v>86</v>
      </c>
      <c r="Y176" s="1" t="s">
        <v>865</v>
      </c>
      <c r="Z176" s="1" t="s">
        <v>866</v>
      </c>
      <c r="AA176" s="1" t="s">
        <v>266</v>
      </c>
      <c r="AB176" s="1" t="s">
        <v>267</v>
      </c>
      <c r="AC176" s="1" t="s">
        <v>867</v>
      </c>
      <c r="AD176" s="1" t="s">
        <v>868</v>
      </c>
      <c r="AE176" s="1" t="s">
        <v>3424</v>
      </c>
      <c r="AF176" s="1"/>
      <c r="AG176" s="1" t="n">
        <v>26</v>
      </c>
      <c r="AH176" s="1" t="n">
        <v>2</v>
      </c>
      <c r="AI176" s="1" t="n">
        <v>2</v>
      </c>
      <c r="AJ176" s="1" t="n">
        <v>0</v>
      </c>
      <c r="AK176" s="1" t="n">
        <v>2</v>
      </c>
      <c r="AL176" s="1" t="s">
        <v>3425</v>
      </c>
      <c r="AM176" s="1" t="s">
        <v>3426</v>
      </c>
      <c r="AN176" s="1" t="s">
        <v>3427</v>
      </c>
      <c r="AO176" s="1" t="s">
        <v>3428</v>
      </c>
      <c r="AP176" s="1" t="s">
        <v>3429</v>
      </c>
      <c r="AQ176" s="1"/>
      <c r="AR176" s="1" t="s">
        <v>3430</v>
      </c>
      <c r="AS176" s="1" t="s">
        <v>3431</v>
      </c>
      <c r="AT176" s="1" t="s">
        <v>3432</v>
      </c>
      <c r="AU176" s="1" t="n">
        <v>2021</v>
      </c>
      <c r="AV176" s="1" t="n">
        <v>567</v>
      </c>
      <c r="AW176" s="1"/>
      <c r="AX176" s="1"/>
      <c r="AY176" s="1"/>
      <c r="AZ176" s="1"/>
      <c r="BA176" s="1"/>
      <c r="BB176" s="1" t="n">
        <v>91</v>
      </c>
      <c r="BC176" s="1" t="n">
        <v>113</v>
      </c>
      <c r="BD176" s="1"/>
      <c r="BE176" s="1" t="s">
        <v>3433</v>
      </c>
      <c r="BF176" s="1" t="str">
        <f aca="false">HYPERLINK("http://dx.doi.org/10.1016/j.jalgebra.2020.09.022","http://dx.doi.org/10.1016/j.jalgebra.2020.09.022")</f>
        <v>http://dx.doi.org/10.1016/j.jalgebra.2020.09.022</v>
      </c>
      <c r="BG176" s="1"/>
      <c r="BH176" s="1"/>
      <c r="BI176" s="1" t="n">
        <v>23</v>
      </c>
      <c r="BJ176" s="1" t="s">
        <v>280</v>
      </c>
      <c r="BK176" s="1" t="s">
        <v>204</v>
      </c>
      <c r="BL176" s="1" t="s">
        <v>280</v>
      </c>
      <c r="BM176" s="1" t="s">
        <v>3434</v>
      </c>
      <c r="BN176" s="1"/>
      <c r="BO176" s="1" t="s">
        <v>1281</v>
      </c>
      <c r="BP176" s="1"/>
      <c r="BQ176" s="1"/>
      <c r="BR176" s="1" t="s">
        <v>103</v>
      </c>
      <c r="BS176" s="1" t="s">
        <v>3435</v>
      </c>
      <c r="BT176" s="1" t="str">
        <f aca="false">HYPERLINK("https%3A%2F%2Fwww.webofscience.com%2Fwos%2Fwoscc%2Ffull-record%2FWOS:000590242700005","View Full Record in Web of Science")</f>
        <v>View Full Record in Web of Science</v>
      </c>
    </row>
    <row r="177" customFormat="false" ht="12.75" hidden="false" customHeight="false" outlineLevel="0" collapsed="false">
      <c r="A177" s="1" t="s">
        <v>181</v>
      </c>
      <c r="B177" s="1" t="s">
        <v>3436</v>
      </c>
      <c r="C177" s="1"/>
      <c r="D177" s="1"/>
      <c r="E177" s="1"/>
      <c r="F177" s="1" t="s">
        <v>3437</v>
      </c>
      <c r="G177" s="1"/>
      <c r="H177" s="1"/>
      <c r="I177" s="1" t="s">
        <v>3438</v>
      </c>
      <c r="J177" s="1" t="s">
        <v>381</v>
      </c>
      <c r="K177" s="1"/>
      <c r="L177" s="1"/>
      <c r="M177" s="1" t="s">
        <v>78</v>
      </c>
      <c r="N177" s="1" t="s">
        <v>186</v>
      </c>
      <c r="O177" s="1"/>
      <c r="P177" s="1"/>
      <c r="Q177" s="1"/>
      <c r="R177" s="1"/>
      <c r="S177" s="1"/>
      <c r="T177" s="1" t="s">
        <v>3439</v>
      </c>
      <c r="U177" s="1" t="s">
        <v>1241</v>
      </c>
      <c r="V177" s="1" t="s">
        <v>3440</v>
      </c>
      <c r="W177" s="1" t="s">
        <v>3441</v>
      </c>
      <c r="X177" s="1" t="s">
        <v>86</v>
      </c>
      <c r="Y177" s="1" t="s">
        <v>3442</v>
      </c>
      <c r="Z177" s="1" t="s">
        <v>958</v>
      </c>
      <c r="AA177" s="1" t="s">
        <v>1021</v>
      </c>
      <c r="AB177" s="1" t="s">
        <v>960</v>
      </c>
      <c r="AC177" s="1"/>
      <c r="AD177" s="1"/>
      <c r="AE177" s="1"/>
      <c r="AF177" s="1"/>
      <c r="AG177" s="1" t="n">
        <v>43</v>
      </c>
      <c r="AH177" s="1" t="n">
        <v>4</v>
      </c>
      <c r="AI177" s="1" t="n">
        <v>5</v>
      </c>
      <c r="AJ177" s="1" t="n">
        <v>0</v>
      </c>
      <c r="AK177" s="1" t="n">
        <v>10</v>
      </c>
      <c r="AL177" s="1" t="s">
        <v>367</v>
      </c>
      <c r="AM177" s="1" t="s">
        <v>368</v>
      </c>
      <c r="AN177" s="1" t="s">
        <v>369</v>
      </c>
      <c r="AO177" s="1"/>
      <c r="AP177" s="1" t="s">
        <v>393</v>
      </c>
      <c r="AQ177" s="1"/>
      <c r="AR177" s="1" t="s">
        <v>394</v>
      </c>
      <c r="AS177" s="1" t="s">
        <v>395</v>
      </c>
      <c r="AT177" s="1" t="s">
        <v>1362</v>
      </c>
      <c r="AU177" s="1" t="n">
        <v>2020</v>
      </c>
      <c r="AV177" s="1" t="n">
        <v>12</v>
      </c>
      <c r="AW177" s="1" t="n">
        <v>20</v>
      </c>
      <c r="AX177" s="1"/>
      <c r="AY177" s="1"/>
      <c r="AZ177" s="1"/>
      <c r="BA177" s="1"/>
      <c r="BB177" s="1"/>
      <c r="BC177" s="1"/>
      <c r="BD177" s="1" t="n">
        <v>8350</v>
      </c>
      <c r="BE177" s="1" t="s">
        <v>3443</v>
      </c>
      <c r="BF177" s="1" t="str">
        <f aca="false">HYPERLINK("http://dx.doi.org/10.3390/su12208350","http://dx.doi.org/10.3390/su12208350")</f>
        <v>http://dx.doi.org/10.3390/su12208350</v>
      </c>
      <c r="BG177" s="1"/>
      <c r="BH177" s="1"/>
      <c r="BI177" s="1" t="n">
        <v>16</v>
      </c>
      <c r="BJ177" s="1" t="s">
        <v>397</v>
      </c>
      <c r="BK177" s="1" t="s">
        <v>398</v>
      </c>
      <c r="BL177" s="1" t="s">
        <v>399</v>
      </c>
      <c r="BM177" s="1" t="s">
        <v>3444</v>
      </c>
      <c r="BN177" s="1"/>
      <c r="BO177" s="1" t="s">
        <v>401</v>
      </c>
      <c r="BP177" s="1"/>
      <c r="BQ177" s="1"/>
      <c r="BR177" s="1" t="s">
        <v>103</v>
      </c>
      <c r="BS177" s="1" t="s">
        <v>3445</v>
      </c>
      <c r="BT177" s="1" t="str">
        <f aca="false">HYPERLINK("https%3A%2F%2Fwww.webofscience.com%2Fwos%2Fwoscc%2Ffull-record%2FWOS:000583105300001","View Full Record in Web of Science")</f>
        <v>View Full Record in Web of Science</v>
      </c>
    </row>
    <row r="178" customFormat="false" ht="12.75" hidden="false" customHeight="false" outlineLevel="0" collapsed="false">
      <c r="A178" s="1" t="s">
        <v>181</v>
      </c>
      <c r="B178" s="1" t="s">
        <v>3446</v>
      </c>
      <c r="C178" s="1"/>
      <c r="D178" s="1"/>
      <c r="E178" s="1"/>
      <c r="F178" s="1" t="s">
        <v>3447</v>
      </c>
      <c r="G178" s="1"/>
      <c r="H178" s="1"/>
      <c r="I178" s="1" t="s">
        <v>3448</v>
      </c>
      <c r="J178" s="1" t="s">
        <v>381</v>
      </c>
      <c r="K178" s="1"/>
      <c r="L178" s="1"/>
      <c r="M178" s="1" t="s">
        <v>78</v>
      </c>
      <c r="N178" s="1" t="s">
        <v>186</v>
      </c>
      <c r="O178" s="1"/>
      <c r="P178" s="1"/>
      <c r="Q178" s="1"/>
      <c r="R178" s="1"/>
      <c r="S178" s="1"/>
      <c r="T178" s="1" t="s">
        <v>3449</v>
      </c>
      <c r="U178" s="1" t="s">
        <v>1241</v>
      </c>
      <c r="V178" s="1" t="s">
        <v>3450</v>
      </c>
      <c r="W178" s="1" t="s">
        <v>3451</v>
      </c>
      <c r="X178" s="1" t="s">
        <v>86</v>
      </c>
      <c r="Y178" s="1" t="s">
        <v>3452</v>
      </c>
      <c r="Z178" s="1" t="s">
        <v>3453</v>
      </c>
      <c r="AA178" s="1"/>
      <c r="AB178" s="1" t="s">
        <v>3454</v>
      </c>
      <c r="AC178" s="1"/>
      <c r="AD178" s="1"/>
      <c r="AE178" s="1"/>
      <c r="AF178" s="1"/>
      <c r="AG178" s="1" t="n">
        <v>57</v>
      </c>
      <c r="AH178" s="1" t="n">
        <v>24</v>
      </c>
      <c r="AI178" s="1" t="n">
        <v>26</v>
      </c>
      <c r="AJ178" s="1" t="n">
        <v>4</v>
      </c>
      <c r="AK178" s="1" t="n">
        <v>28</v>
      </c>
      <c r="AL178" s="1" t="s">
        <v>367</v>
      </c>
      <c r="AM178" s="1" t="s">
        <v>368</v>
      </c>
      <c r="AN178" s="1" t="s">
        <v>369</v>
      </c>
      <c r="AO178" s="1"/>
      <c r="AP178" s="1" t="s">
        <v>393</v>
      </c>
      <c r="AQ178" s="1"/>
      <c r="AR178" s="1" t="s">
        <v>394</v>
      </c>
      <c r="AS178" s="1" t="s">
        <v>395</v>
      </c>
      <c r="AT178" s="1" t="s">
        <v>474</v>
      </c>
      <c r="AU178" s="1" t="n">
        <v>2020</v>
      </c>
      <c r="AV178" s="1" t="n">
        <v>12</v>
      </c>
      <c r="AW178" s="1" t="n">
        <v>17</v>
      </c>
      <c r="AX178" s="1"/>
      <c r="AY178" s="1"/>
      <c r="AZ178" s="1"/>
      <c r="BA178" s="1"/>
      <c r="BB178" s="1"/>
      <c r="BC178" s="1"/>
      <c r="BD178" s="1" t="n">
        <v>6726</v>
      </c>
      <c r="BE178" s="1" t="s">
        <v>3455</v>
      </c>
      <c r="BF178" s="1" t="str">
        <f aca="false">HYPERLINK("http://dx.doi.org/10.3390/su12176726","http://dx.doi.org/10.3390/su12176726")</f>
        <v>http://dx.doi.org/10.3390/su12176726</v>
      </c>
      <c r="BG178" s="1"/>
      <c r="BH178" s="1"/>
      <c r="BI178" s="1" t="n">
        <v>21</v>
      </c>
      <c r="BJ178" s="1" t="s">
        <v>397</v>
      </c>
      <c r="BK178" s="1" t="s">
        <v>398</v>
      </c>
      <c r="BL178" s="1" t="s">
        <v>399</v>
      </c>
      <c r="BM178" s="1" t="s">
        <v>3456</v>
      </c>
      <c r="BN178" s="1"/>
      <c r="BO178" s="1" t="s">
        <v>542</v>
      </c>
      <c r="BP178" s="1"/>
      <c r="BQ178" s="1"/>
      <c r="BR178" s="1" t="s">
        <v>103</v>
      </c>
      <c r="BS178" s="1" t="s">
        <v>3457</v>
      </c>
      <c r="BT178" s="1" t="str">
        <f aca="false">HYPERLINK("https%3A%2F%2Fwww.webofscience.com%2Fwos%2Fwoscc%2Ffull-record%2FWOS:000569725600001","View Full Record in Web of Science")</f>
        <v>View Full Record in Web of Science</v>
      </c>
    </row>
    <row r="179" customFormat="false" ht="12.75" hidden="false" customHeight="false" outlineLevel="0" collapsed="false">
      <c r="A179" s="1" t="s">
        <v>181</v>
      </c>
      <c r="B179" s="1" t="s">
        <v>3458</v>
      </c>
      <c r="C179" s="1"/>
      <c r="D179" s="1"/>
      <c r="E179" s="1"/>
      <c r="F179" s="1" t="s">
        <v>3459</v>
      </c>
      <c r="G179" s="1"/>
      <c r="H179" s="1"/>
      <c r="I179" s="1" t="s">
        <v>3460</v>
      </c>
      <c r="J179" s="1" t="s">
        <v>3461</v>
      </c>
      <c r="K179" s="1"/>
      <c r="L179" s="1"/>
      <c r="M179" s="1" t="s">
        <v>78</v>
      </c>
      <c r="N179" s="1" t="s">
        <v>186</v>
      </c>
      <c r="O179" s="1"/>
      <c r="P179" s="1"/>
      <c r="Q179" s="1"/>
      <c r="R179" s="1"/>
      <c r="S179" s="1"/>
      <c r="T179" s="1" t="s">
        <v>3462</v>
      </c>
      <c r="U179" s="1" t="s">
        <v>3463</v>
      </c>
      <c r="V179" s="1" t="s">
        <v>3464</v>
      </c>
      <c r="W179" s="1" t="s">
        <v>3465</v>
      </c>
      <c r="X179" s="1" t="s">
        <v>86</v>
      </c>
      <c r="Y179" s="1" t="s">
        <v>3466</v>
      </c>
      <c r="Z179" s="1" t="s">
        <v>3467</v>
      </c>
      <c r="AA179" s="1" t="s">
        <v>3468</v>
      </c>
      <c r="AB179" s="1" t="s">
        <v>3469</v>
      </c>
      <c r="AC179" s="1" t="s">
        <v>3470</v>
      </c>
      <c r="AD179" s="1" t="s">
        <v>3470</v>
      </c>
      <c r="AE179" s="1" t="s">
        <v>3471</v>
      </c>
      <c r="AF179" s="1"/>
      <c r="AG179" s="1" t="n">
        <v>74</v>
      </c>
      <c r="AH179" s="1" t="n">
        <v>8</v>
      </c>
      <c r="AI179" s="1" t="n">
        <v>8</v>
      </c>
      <c r="AJ179" s="1" t="n">
        <v>3</v>
      </c>
      <c r="AK179" s="1" t="n">
        <v>17</v>
      </c>
      <c r="AL179" s="1" t="s">
        <v>367</v>
      </c>
      <c r="AM179" s="1" t="s">
        <v>368</v>
      </c>
      <c r="AN179" s="1" t="s">
        <v>369</v>
      </c>
      <c r="AO179" s="1"/>
      <c r="AP179" s="1" t="s">
        <v>3472</v>
      </c>
      <c r="AQ179" s="1"/>
      <c r="AR179" s="1" t="s">
        <v>3473</v>
      </c>
      <c r="AS179" s="1" t="s">
        <v>3474</v>
      </c>
      <c r="AT179" s="1" t="s">
        <v>2698</v>
      </c>
      <c r="AU179" s="1" t="n">
        <v>2020</v>
      </c>
      <c r="AV179" s="1" t="n">
        <v>8</v>
      </c>
      <c r="AW179" s="1" t="n">
        <v>2</v>
      </c>
      <c r="AX179" s="1"/>
      <c r="AY179" s="1"/>
      <c r="AZ179" s="1"/>
      <c r="BA179" s="1"/>
      <c r="BB179" s="1"/>
      <c r="BC179" s="1"/>
      <c r="BD179" s="1" t="n">
        <v>22</v>
      </c>
      <c r="BE179" s="1" t="s">
        <v>3475</v>
      </c>
      <c r="BF179" s="1" t="str">
        <f aca="false">HYPERLINK("http://dx.doi.org/10.3390/systems8020022","http://dx.doi.org/10.3390/systems8020022")</f>
        <v>http://dx.doi.org/10.3390/systems8020022</v>
      </c>
      <c r="BG179" s="1"/>
      <c r="BH179" s="1"/>
      <c r="BI179" s="1" t="n">
        <v>20</v>
      </c>
      <c r="BJ179" s="1" t="s">
        <v>2364</v>
      </c>
      <c r="BK179" s="1" t="s">
        <v>610</v>
      </c>
      <c r="BL179" s="1" t="s">
        <v>2365</v>
      </c>
      <c r="BM179" s="1" t="s">
        <v>3476</v>
      </c>
      <c r="BN179" s="1"/>
      <c r="BO179" s="1" t="s">
        <v>401</v>
      </c>
      <c r="BP179" s="1"/>
      <c r="BQ179" s="1"/>
      <c r="BR179" s="1" t="s">
        <v>103</v>
      </c>
      <c r="BS179" s="1" t="s">
        <v>3477</v>
      </c>
      <c r="BT179" s="1" t="str">
        <f aca="false">HYPERLINK("https%3A%2F%2Fwww.webofscience.com%2Fwos%2Fwoscc%2Ffull-record%2FWOS:000551174800004","View Full Record in Web of Science")</f>
        <v>View Full Record in Web of Science</v>
      </c>
    </row>
    <row r="180" customFormat="false" ht="12.75" hidden="false" customHeight="false" outlineLevel="0" collapsed="false">
      <c r="A180" s="1" t="s">
        <v>181</v>
      </c>
      <c r="B180" s="1" t="s">
        <v>3478</v>
      </c>
      <c r="C180" s="1"/>
      <c r="D180" s="1"/>
      <c r="E180" s="1"/>
      <c r="F180" s="1" t="s">
        <v>3479</v>
      </c>
      <c r="G180" s="1"/>
      <c r="H180" s="1"/>
      <c r="I180" s="1" t="s">
        <v>3480</v>
      </c>
      <c r="J180" s="1" t="s">
        <v>3481</v>
      </c>
      <c r="K180" s="1"/>
      <c r="L180" s="1"/>
      <c r="M180" s="1" t="s">
        <v>78</v>
      </c>
      <c r="N180" s="1" t="s">
        <v>186</v>
      </c>
      <c r="O180" s="1"/>
      <c r="P180" s="1"/>
      <c r="Q180" s="1"/>
      <c r="R180" s="1"/>
      <c r="S180" s="1"/>
      <c r="T180" s="1" t="s">
        <v>3482</v>
      </c>
      <c r="U180" s="1" t="s">
        <v>3483</v>
      </c>
      <c r="V180" s="1" t="s">
        <v>3484</v>
      </c>
      <c r="W180" s="1" t="s">
        <v>3485</v>
      </c>
      <c r="X180" s="1" t="s">
        <v>912</v>
      </c>
      <c r="Y180" s="1" t="s">
        <v>3486</v>
      </c>
      <c r="Z180" s="1" t="s">
        <v>3487</v>
      </c>
      <c r="AA180" s="1" t="s">
        <v>3488</v>
      </c>
      <c r="AB180" s="1" t="s">
        <v>3489</v>
      </c>
      <c r="AC180" s="1" t="s">
        <v>3490</v>
      </c>
      <c r="AD180" s="1" t="s">
        <v>3490</v>
      </c>
      <c r="AE180" s="1" t="s">
        <v>3491</v>
      </c>
      <c r="AF180" s="1"/>
      <c r="AG180" s="1" t="n">
        <v>20</v>
      </c>
      <c r="AH180" s="1" t="n">
        <v>17</v>
      </c>
      <c r="AI180" s="1" t="n">
        <v>17</v>
      </c>
      <c r="AJ180" s="1" t="n">
        <v>1</v>
      </c>
      <c r="AK180" s="1" t="n">
        <v>11</v>
      </c>
      <c r="AL180" s="1" t="s">
        <v>367</v>
      </c>
      <c r="AM180" s="1" t="s">
        <v>368</v>
      </c>
      <c r="AN180" s="1" t="s">
        <v>369</v>
      </c>
      <c r="AO180" s="1"/>
      <c r="AP180" s="1" t="s">
        <v>3492</v>
      </c>
      <c r="AQ180" s="1"/>
      <c r="AR180" s="1" t="s">
        <v>3493</v>
      </c>
      <c r="AS180" s="1" t="s">
        <v>3494</v>
      </c>
      <c r="AT180" s="1" t="s">
        <v>1453</v>
      </c>
      <c r="AU180" s="1" t="n">
        <v>2020</v>
      </c>
      <c r="AV180" s="1" t="n">
        <v>20</v>
      </c>
      <c r="AW180" s="1" t="n">
        <v>1</v>
      </c>
      <c r="AX180" s="1"/>
      <c r="AY180" s="1"/>
      <c r="AZ180" s="1"/>
      <c r="BA180" s="1"/>
      <c r="BB180" s="1"/>
      <c r="BC180" s="1"/>
      <c r="BD180" s="1" t="n">
        <v>160</v>
      </c>
      <c r="BE180" s="1" t="s">
        <v>3495</v>
      </c>
      <c r="BF180" s="1" t="str">
        <f aca="false">HYPERLINK("http://dx.doi.org/10.3390/s20010160","http://dx.doi.org/10.3390/s20010160")</f>
        <v>http://dx.doi.org/10.3390/s20010160</v>
      </c>
      <c r="BG180" s="1"/>
      <c r="BH180" s="1"/>
      <c r="BI180" s="1" t="n">
        <v>10</v>
      </c>
      <c r="BJ180" s="1" t="s">
        <v>3496</v>
      </c>
      <c r="BK180" s="1" t="s">
        <v>204</v>
      </c>
      <c r="BL180" s="1" t="s">
        <v>3497</v>
      </c>
      <c r="BM180" s="1" t="s">
        <v>3498</v>
      </c>
      <c r="BN180" s="1" t="n">
        <v>31887982</v>
      </c>
      <c r="BO180" s="1" t="s">
        <v>3499</v>
      </c>
      <c r="BP180" s="1"/>
      <c r="BQ180" s="1"/>
      <c r="BR180" s="1" t="s">
        <v>103</v>
      </c>
      <c r="BS180" s="1" t="s">
        <v>3500</v>
      </c>
      <c r="BT180" s="1" t="str">
        <f aca="false">HYPERLINK("https%3A%2F%2Fwww.webofscience.com%2Fwos%2Fwoscc%2Ffull-record%2FWOS:000510493100160","View Full Record in Web of Science")</f>
        <v>View Full Record in Web of Science</v>
      </c>
    </row>
    <row r="181" customFormat="false" ht="12.75" hidden="false" customHeight="false" outlineLevel="0" collapsed="false">
      <c r="A181" s="1" t="s">
        <v>181</v>
      </c>
      <c r="B181" s="1" t="s">
        <v>3501</v>
      </c>
      <c r="C181" s="1"/>
      <c r="D181" s="1"/>
      <c r="E181" s="1"/>
      <c r="F181" s="1" t="s">
        <v>3502</v>
      </c>
      <c r="G181" s="1"/>
      <c r="H181" s="1"/>
      <c r="I181" s="1" t="s">
        <v>3503</v>
      </c>
      <c r="J181" s="1" t="s">
        <v>3504</v>
      </c>
      <c r="K181" s="1"/>
      <c r="L181" s="1"/>
      <c r="M181" s="1" t="s">
        <v>78</v>
      </c>
      <c r="N181" s="1" t="s">
        <v>186</v>
      </c>
      <c r="O181" s="1"/>
      <c r="P181" s="1"/>
      <c r="Q181" s="1"/>
      <c r="R181" s="1"/>
      <c r="S181" s="1"/>
      <c r="T181" s="1" t="s">
        <v>3505</v>
      </c>
      <c r="U181" s="1"/>
      <c r="V181" s="1" t="s">
        <v>3506</v>
      </c>
      <c r="W181" s="1" t="s">
        <v>3507</v>
      </c>
      <c r="X181" s="1" t="s">
        <v>86</v>
      </c>
      <c r="Y181" s="1" t="s">
        <v>3508</v>
      </c>
      <c r="Z181" s="1" t="s">
        <v>3509</v>
      </c>
      <c r="AA181" s="1"/>
      <c r="AB181" s="1" t="s">
        <v>802</v>
      </c>
      <c r="AC181" s="1"/>
      <c r="AD181" s="1"/>
      <c r="AE181" s="1"/>
      <c r="AF181" s="1"/>
      <c r="AG181" s="1" t="n">
        <v>22</v>
      </c>
      <c r="AH181" s="1" t="n">
        <v>0</v>
      </c>
      <c r="AI181" s="1" t="n">
        <v>0</v>
      </c>
      <c r="AJ181" s="1" t="n">
        <v>0</v>
      </c>
      <c r="AK181" s="1" t="n">
        <v>0</v>
      </c>
      <c r="AL181" s="1" t="s">
        <v>94</v>
      </c>
      <c r="AM181" s="1" t="s">
        <v>95</v>
      </c>
      <c r="AN181" s="1" t="s">
        <v>826</v>
      </c>
      <c r="AO181" s="1"/>
      <c r="AP181" s="1" t="s">
        <v>3510</v>
      </c>
      <c r="AQ181" s="1"/>
      <c r="AR181" s="1" t="s">
        <v>3511</v>
      </c>
      <c r="AS181" s="1" t="s">
        <v>3512</v>
      </c>
      <c r="AT181" s="1" t="s">
        <v>808</v>
      </c>
      <c r="AU181" s="1" t="n">
        <v>2024</v>
      </c>
      <c r="AV181" s="1" t="n">
        <v>7</v>
      </c>
      <c r="AW181" s="1" t="n">
        <v>3</v>
      </c>
      <c r="AX181" s="1"/>
      <c r="AY181" s="1"/>
      <c r="AZ181" s="1"/>
      <c r="BA181" s="1"/>
      <c r="BB181" s="1"/>
      <c r="BC181" s="1"/>
      <c r="BD181" s="1" t="n">
        <v>50</v>
      </c>
      <c r="BE181" s="1" t="s">
        <v>3513</v>
      </c>
      <c r="BF181" s="1" t="str">
        <f aca="false">HYPERLINK("http://dx.doi.org/10.1145/3675374","http://dx.doi.org/10.1145/3675374")</f>
        <v>http://dx.doi.org/10.1145/3675374</v>
      </c>
      <c r="BG181" s="1"/>
      <c r="BH181" s="1"/>
      <c r="BI181" s="1" t="n">
        <v>20</v>
      </c>
      <c r="BJ181" s="1" t="s">
        <v>252</v>
      </c>
      <c r="BK181" s="1" t="s">
        <v>253</v>
      </c>
      <c r="BL181" s="1" t="s">
        <v>101</v>
      </c>
      <c r="BM181" s="1" t="s">
        <v>3514</v>
      </c>
      <c r="BN181" s="1"/>
      <c r="BO181" s="1" t="s">
        <v>612</v>
      </c>
      <c r="BP181" s="1"/>
      <c r="BQ181" s="1"/>
      <c r="BR181" s="1" t="s">
        <v>103</v>
      </c>
      <c r="BS181" s="1" t="s">
        <v>3515</v>
      </c>
      <c r="BT181" s="1" t="str">
        <f aca="false">HYPERLINK("https%3A%2F%2Fwww.webofscience.com%2Fwos%2Fwoscc%2Ffull-record%2FWOS:001303603000003","View Full Record in Web of Science")</f>
        <v>View Full Record in Web of Science</v>
      </c>
    </row>
    <row r="182" customFormat="false" ht="12.75" hidden="false" customHeight="false" outlineLevel="0" collapsed="false">
      <c r="A182" s="1" t="s">
        <v>181</v>
      </c>
      <c r="B182" s="1" t="s">
        <v>3516</v>
      </c>
      <c r="C182" s="1"/>
      <c r="D182" s="1"/>
      <c r="E182" s="1"/>
      <c r="F182" s="1" t="s">
        <v>3517</v>
      </c>
      <c r="G182" s="1"/>
      <c r="H182" s="1"/>
      <c r="I182" s="1" t="s">
        <v>3518</v>
      </c>
      <c r="J182" s="1" t="s">
        <v>523</v>
      </c>
      <c r="K182" s="1"/>
      <c r="L182" s="1"/>
      <c r="M182" s="1" t="s">
        <v>78</v>
      </c>
      <c r="N182" s="1" t="s">
        <v>186</v>
      </c>
      <c r="O182" s="1"/>
      <c r="P182" s="1"/>
      <c r="Q182" s="1"/>
      <c r="R182" s="1"/>
      <c r="S182" s="1"/>
      <c r="T182" s="1" t="s">
        <v>3519</v>
      </c>
      <c r="U182" s="1" t="s">
        <v>3520</v>
      </c>
      <c r="V182" s="1" t="s">
        <v>3521</v>
      </c>
      <c r="W182" s="1" t="s">
        <v>3522</v>
      </c>
      <c r="X182" s="1" t="s">
        <v>86</v>
      </c>
      <c r="Y182" s="1" t="s">
        <v>3523</v>
      </c>
      <c r="Z182" s="1" t="s">
        <v>3524</v>
      </c>
      <c r="AA182" s="1" t="s">
        <v>3525</v>
      </c>
      <c r="AB182" s="1" t="s">
        <v>3526</v>
      </c>
      <c r="AC182" s="1"/>
      <c r="AD182" s="1"/>
      <c r="AE182" s="1"/>
      <c r="AF182" s="1"/>
      <c r="AG182" s="1" t="n">
        <v>46</v>
      </c>
      <c r="AH182" s="1" t="n">
        <v>1</v>
      </c>
      <c r="AI182" s="1" t="n">
        <v>1</v>
      </c>
      <c r="AJ182" s="1" t="n">
        <v>6</v>
      </c>
      <c r="AK182" s="1" t="n">
        <v>7</v>
      </c>
      <c r="AL182" s="1" t="s">
        <v>367</v>
      </c>
      <c r="AM182" s="1" t="s">
        <v>368</v>
      </c>
      <c r="AN182" s="1" t="s">
        <v>3527</v>
      </c>
      <c r="AO182" s="1"/>
      <c r="AP182" s="1" t="s">
        <v>534</v>
      </c>
      <c r="AQ182" s="1"/>
      <c r="AR182" s="1" t="s">
        <v>535</v>
      </c>
      <c r="AS182" s="1" t="s">
        <v>536</v>
      </c>
      <c r="AT182" s="1" t="s">
        <v>808</v>
      </c>
      <c r="AU182" s="1" t="n">
        <v>2024</v>
      </c>
      <c r="AV182" s="1" t="n">
        <v>14</v>
      </c>
      <c r="AW182" s="1" t="n">
        <v>13</v>
      </c>
      <c r="AX182" s="1"/>
      <c r="AY182" s="1"/>
      <c r="AZ182" s="1"/>
      <c r="BA182" s="1"/>
      <c r="BB182" s="1"/>
      <c r="BC182" s="1"/>
      <c r="BD182" s="1" t="n">
        <v>5469</v>
      </c>
      <c r="BE182" s="1" t="s">
        <v>3528</v>
      </c>
      <c r="BF182" s="1" t="str">
        <f aca="false">HYPERLINK("http://dx.doi.org/10.3390/app14135469","http://dx.doi.org/10.3390/app14135469")</f>
        <v>http://dx.doi.org/10.3390/app14135469</v>
      </c>
      <c r="BG182" s="1"/>
      <c r="BH182" s="1"/>
      <c r="BI182" s="1" t="n">
        <v>18</v>
      </c>
      <c r="BJ182" s="1" t="s">
        <v>539</v>
      </c>
      <c r="BK182" s="1" t="s">
        <v>204</v>
      </c>
      <c r="BL182" s="1" t="s">
        <v>540</v>
      </c>
      <c r="BM182" s="1" t="s">
        <v>3529</v>
      </c>
      <c r="BN182" s="1"/>
      <c r="BO182" s="1" t="s">
        <v>642</v>
      </c>
      <c r="BP182" s="1"/>
      <c r="BQ182" s="1"/>
      <c r="BR182" s="1" t="s">
        <v>103</v>
      </c>
      <c r="BS182" s="1" t="s">
        <v>3530</v>
      </c>
      <c r="BT182" s="1" t="str">
        <f aca="false">HYPERLINK("https%3A%2F%2Fwww.webofscience.com%2Fwos%2Fwoscc%2Ffull-record%2FWOS:001269774000001","View Full Record in Web of Science")</f>
        <v>View Full Record in Web of Science</v>
      </c>
    </row>
    <row r="183" customFormat="false" ht="12.75" hidden="false" customHeight="false" outlineLevel="0" collapsed="false">
      <c r="A183" s="1" t="s">
        <v>181</v>
      </c>
      <c r="B183" s="1" t="s">
        <v>3531</v>
      </c>
      <c r="C183" s="1"/>
      <c r="D183" s="1"/>
      <c r="E183" s="1"/>
      <c r="F183" s="1" t="s">
        <v>3532</v>
      </c>
      <c r="G183" s="1"/>
      <c r="H183" s="1"/>
      <c r="I183" s="1" t="s">
        <v>3533</v>
      </c>
      <c r="J183" s="1" t="s">
        <v>3534</v>
      </c>
      <c r="K183" s="1"/>
      <c r="L183" s="1"/>
      <c r="M183" s="1" t="s">
        <v>78</v>
      </c>
      <c r="N183" s="1" t="s">
        <v>186</v>
      </c>
      <c r="O183" s="1"/>
      <c r="P183" s="1"/>
      <c r="Q183" s="1"/>
      <c r="R183" s="1"/>
      <c r="S183" s="1"/>
      <c r="T183" s="1" t="s">
        <v>3535</v>
      </c>
      <c r="U183" s="1" t="s">
        <v>3536</v>
      </c>
      <c r="V183" s="1" t="s">
        <v>3537</v>
      </c>
      <c r="W183" s="1" t="s">
        <v>3538</v>
      </c>
      <c r="X183" s="1" t="s">
        <v>3539</v>
      </c>
      <c r="Y183" s="1" t="s">
        <v>3540</v>
      </c>
      <c r="Z183" s="1" t="s">
        <v>3541</v>
      </c>
      <c r="AA183" s="1" t="s">
        <v>3542</v>
      </c>
      <c r="AB183" s="1" t="s">
        <v>3543</v>
      </c>
      <c r="AC183" s="1"/>
      <c r="AD183" s="1"/>
      <c r="AE183" s="1"/>
      <c r="AF183" s="1"/>
      <c r="AG183" s="1" t="n">
        <v>87</v>
      </c>
      <c r="AH183" s="1" t="n">
        <v>5</v>
      </c>
      <c r="AI183" s="1" t="n">
        <v>5</v>
      </c>
      <c r="AJ183" s="1" t="n">
        <v>3</v>
      </c>
      <c r="AK183" s="1" t="n">
        <v>7</v>
      </c>
      <c r="AL183" s="1" t="s">
        <v>1651</v>
      </c>
      <c r="AM183" s="1" t="s">
        <v>1026</v>
      </c>
      <c r="AN183" s="1" t="s">
        <v>1652</v>
      </c>
      <c r="AO183" s="1" t="s">
        <v>3544</v>
      </c>
      <c r="AP183" s="1" t="s">
        <v>3545</v>
      </c>
      <c r="AQ183" s="1"/>
      <c r="AR183" s="1" t="s">
        <v>3546</v>
      </c>
      <c r="AS183" s="1" t="s">
        <v>3547</v>
      </c>
      <c r="AT183" s="1" t="s">
        <v>277</v>
      </c>
      <c r="AU183" s="1" t="n">
        <v>2024</v>
      </c>
      <c r="AV183" s="1" t="n">
        <v>171</v>
      </c>
      <c r="AW183" s="1"/>
      <c r="AX183" s="1"/>
      <c r="AY183" s="1"/>
      <c r="AZ183" s="1"/>
      <c r="BA183" s="1"/>
      <c r="BB183" s="1"/>
      <c r="BC183" s="1"/>
      <c r="BD183" s="1" t="n">
        <v>108126</v>
      </c>
      <c r="BE183" s="1" t="s">
        <v>3548</v>
      </c>
      <c r="BF183" s="1" t="str">
        <f aca="false">HYPERLINK("http://dx.doi.org/10.1016/j.compbiomed.2024.108126","http://dx.doi.org/10.1016/j.compbiomed.2024.108126")</f>
        <v>http://dx.doi.org/10.1016/j.compbiomed.2024.108126</v>
      </c>
      <c r="BG183" s="1"/>
      <c r="BH183" s="1" t="s">
        <v>3549</v>
      </c>
      <c r="BI183" s="1" t="n">
        <v>14</v>
      </c>
      <c r="BJ183" s="1" t="s">
        <v>3550</v>
      </c>
      <c r="BK183" s="1" t="s">
        <v>204</v>
      </c>
      <c r="BL183" s="1" t="s">
        <v>3551</v>
      </c>
      <c r="BM183" s="1" t="s">
        <v>3552</v>
      </c>
      <c r="BN183" s="1" t="n">
        <v>38342045</v>
      </c>
      <c r="BO183" s="1" t="s">
        <v>612</v>
      </c>
      <c r="BP183" s="1"/>
      <c r="BQ183" s="1"/>
      <c r="BR183" s="1" t="s">
        <v>103</v>
      </c>
      <c r="BS183" s="1" t="s">
        <v>3553</v>
      </c>
      <c r="BT183" s="1" t="str">
        <f aca="false">HYPERLINK("https%3A%2F%2Fwww.webofscience.com%2Fwos%2Fwoscc%2Ffull-record%2FWOS:001186260500001","View Full Record in Web of Science")</f>
        <v>View Full Record in Web of Science</v>
      </c>
    </row>
    <row r="184" customFormat="false" ht="12.75" hidden="false" customHeight="false" outlineLevel="0" collapsed="false">
      <c r="A184" s="1" t="s">
        <v>72</v>
      </c>
      <c r="B184" s="1" t="s">
        <v>3554</v>
      </c>
      <c r="C184" s="1"/>
      <c r="D184" s="1" t="s">
        <v>3555</v>
      </c>
      <c r="E184" s="1"/>
      <c r="F184" s="1" t="s">
        <v>3556</v>
      </c>
      <c r="G184" s="1"/>
      <c r="H184" s="1"/>
      <c r="I184" s="1" t="s">
        <v>3557</v>
      </c>
      <c r="J184" s="1" t="s">
        <v>3558</v>
      </c>
      <c r="K184" s="1" t="s">
        <v>3559</v>
      </c>
      <c r="L184" s="1"/>
      <c r="M184" s="1" t="s">
        <v>78</v>
      </c>
      <c r="N184" s="1" t="s">
        <v>79</v>
      </c>
      <c r="O184" s="1" t="s">
        <v>3560</v>
      </c>
      <c r="P184" s="1" t="s">
        <v>3561</v>
      </c>
      <c r="Q184" s="1" t="s">
        <v>3562</v>
      </c>
      <c r="R184" s="1"/>
      <c r="S184" s="1" t="s">
        <v>3563</v>
      </c>
      <c r="T184" s="1"/>
      <c r="U184" s="1"/>
      <c r="V184" s="1" t="s">
        <v>3564</v>
      </c>
      <c r="W184" s="1" t="s">
        <v>3565</v>
      </c>
      <c r="X184" s="1" t="s">
        <v>86</v>
      </c>
      <c r="Y184" s="1" t="s">
        <v>3566</v>
      </c>
      <c r="Z184" s="1" t="s">
        <v>3567</v>
      </c>
      <c r="AA184" s="1" t="s">
        <v>3568</v>
      </c>
      <c r="AB184" s="1"/>
      <c r="AC184" s="1"/>
      <c r="AD184" s="1"/>
      <c r="AE184" s="1"/>
      <c r="AF184" s="1"/>
      <c r="AG184" s="1" t="n">
        <v>20</v>
      </c>
      <c r="AH184" s="1" t="n">
        <v>1</v>
      </c>
      <c r="AI184" s="1" t="n">
        <v>1</v>
      </c>
      <c r="AJ184" s="1" t="n">
        <v>0</v>
      </c>
      <c r="AK184" s="1" t="n">
        <v>0</v>
      </c>
      <c r="AL184" s="1" t="s">
        <v>3569</v>
      </c>
      <c r="AM184" s="1" t="s">
        <v>3426</v>
      </c>
      <c r="AN184" s="1" t="s">
        <v>3570</v>
      </c>
      <c r="AO184" s="1" t="s">
        <v>3571</v>
      </c>
      <c r="AP184" s="1"/>
      <c r="AQ184" s="1"/>
      <c r="AR184" s="1" t="s">
        <v>3572</v>
      </c>
      <c r="AS184" s="1"/>
      <c r="AT184" s="1"/>
      <c r="AU184" s="1" t="n">
        <v>2024</v>
      </c>
      <c r="AV184" s="1" t="n">
        <v>233</v>
      </c>
      <c r="AW184" s="1"/>
      <c r="AX184" s="1"/>
      <c r="AY184" s="1"/>
      <c r="AZ184" s="1"/>
      <c r="BA184" s="1"/>
      <c r="BB184" s="1" t="n">
        <v>81</v>
      </c>
      <c r="BC184" s="1" t="n">
        <v>88</v>
      </c>
      <c r="BD184" s="1"/>
      <c r="BE184" s="1"/>
      <c r="BF184" s="1"/>
      <c r="BG184" s="1"/>
      <c r="BH184" s="1"/>
      <c r="BI184" s="1" t="n">
        <v>8</v>
      </c>
      <c r="BJ184" s="1" t="s">
        <v>374</v>
      </c>
      <c r="BK184" s="1" t="s">
        <v>100</v>
      </c>
      <c r="BL184" s="1" t="s">
        <v>101</v>
      </c>
      <c r="BM184" s="1" t="s">
        <v>3573</v>
      </c>
      <c r="BN184" s="1"/>
      <c r="BO184" s="1"/>
      <c r="BP184" s="1"/>
      <c r="BQ184" s="1"/>
      <c r="BR184" s="1" t="s">
        <v>103</v>
      </c>
      <c r="BS184" s="1" t="s">
        <v>3574</v>
      </c>
      <c r="BT184" s="1" t="str">
        <f aca="false">HYPERLINK("https%3A%2F%2Fwww.webofscience.com%2Fwos%2Fwoscc%2Ffull-record%2FWOS:001221156400012","View Full Record in Web of Science")</f>
        <v>View Full Record in Web of Science</v>
      </c>
    </row>
    <row r="185" customFormat="false" ht="12.75" hidden="false" customHeight="false" outlineLevel="0" collapsed="false">
      <c r="A185" s="1" t="s">
        <v>72</v>
      </c>
      <c r="B185" s="1" t="s">
        <v>131</v>
      </c>
      <c r="C185" s="1"/>
      <c r="D185" s="1"/>
      <c r="E185" s="1" t="s">
        <v>172</v>
      </c>
      <c r="F185" s="1" t="s">
        <v>132</v>
      </c>
      <c r="G185" s="1"/>
      <c r="H185" s="1"/>
      <c r="I185" s="1" t="s">
        <v>3575</v>
      </c>
      <c r="J185" s="1" t="s">
        <v>2782</v>
      </c>
      <c r="K185" s="1" t="s">
        <v>2783</v>
      </c>
      <c r="L185" s="1"/>
      <c r="M185" s="1" t="s">
        <v>78</v>
      </c>
      <c r="N185" s="1" t="s">
        <v>79</v>
      </c>
      <c r="O185" s="1" t="s">
        <v>2784</v>
      </c>
      <c r="P185" s="1" t="s">
        <v>2785</v>
      </c>
      <c r="Q185" s="1" t="s">
        <v>2786</v>
      </c>
      <c r="R185" s="1" t="s">
        <v>2787</v>
      </c>
      <c r="S185" s="1" t="s">
        <v>2788</v>
      </c>
      <c r="T185" s="1"/>
      <c r="U185" s="1"/>
      <c r="V185" s="1" t="s">
        <v>3576</v>
      </c>
      <c r="W185" s="1" t="s">
        <v>142</v>
      </c>
      <c r="X185" s="1" t="s">
        <v>86</v>
      </c>
      <c r="Y185" s="1" t="s">
        <v>143</v>
      </c>
      <c r="Z185" s="1" t="s">
        <v>144</v>
      </c>
      <c r="AA185" s="1" t="s">
        <v>145</v>
      </c>
      <c r="AB185" s="1"/>
      <c r="AC185" s="1" t="s">
        <v>3577</v>
      </c>
      <c r="AD185" s="1" t="s">
        <v>3578</v>
      </c>
      <c r="AE185" s="1" t="s">
        <v>3579</v>
      </c>
      <c r="AF185" s="1"/>
      <c r="AG185" s="1" t="n">
        <v>13</v>
      </c>
      <c r="AH185" s="1" t="n">
        <v>0</v>
      </c>
      <c r="AI185" s="1" t="n">
        <v>0</v>
      </c>
      <c r="AJ185" s="1" t="n">
        <v>0</v>
      </c>
      <c r="AK185" s="1" t="n">
        <v>0</v>
      </c>
      <c r="AL185" s="1" t="s">
        <v>172</v>
      </c>
      <c r="AM185" s="1" t="s">
        <v>173</v>
      </c>
      <c r="AN185" s="1" t="s">
        <v>174</v>
      </c>
      <c r="AO185" s="1" t="s">
        <v>2792</v>
      </c>
      <c r="AP185" s="1"/>
      <c r="AQ185" s="1" t="s">
        <v>2793</v>
      </c>
      <c r="AR185" s="1" t="s">
        <v>2794</v>
      </c>
      <c r="AS185" s="1"/>
      <c r="AT185" s="1"/>
      <c r="AU185" s="1" t="n">
        <v>2024</v>
      </c>
      <c r="AV185" s="1"/>
      <c r="AW185" s="1"/>
      <c r="AX185" s="1"/>
      <c r="AY185" s="1"/>
      <c r="AZ185" s="1"/>
      <c r="BA185" s="1"/>
      <c r="BB185" s="1" t="n">
        <v>363</v>
      </c>
      <c r="BC185" s="1" t="n">
        <v>369</v>
      </c>
      <c r="BD185" s="1"/>
      <c r="BE185" s="1" t="s">
        <v>3580</v>
      </c>
      <c r="BF185" s="1" t="str">
        <f aca="false">HYPERLINK("http://dx.doi.org/10.1109/WoWMoM60985.2024.00064","http://dx.doi.org/10.1109/WoWMoM60985.2024.00064")</f>
        <v>http://dx.doi.org/10.1109/WoWMoM60985.2024.00064</v>
      </c>
      <c r="BG185" s="1"/>
      <c r="BH185" s="1"/>
      <c r="BI185" s="1" t="n">
        <v>7</v>
      </c>
      <c r="BJ185" s="1" t="s">
        <v>2796</v>
      </c>
      <c r="BK185" s="1" t="s">
        <v>100</v>
      </c>
      <c r="BL185" s="1" t="s">
        <v>311</v>
      </c>
      <c r="BM185" s="1" t="s">
        <v>2797</v>
      </c>
      <c r="BN185" s="1"/>
      <c r="BO185" s="1"/>
      <c r="BP185" s="1"/>
      <c r="BQ185" s="1"/>
      <c r="BR185" s="1" t="s">
        <v>103</v>
      </c>
      <c r="BS185" s="1" t="s">
        <v>3581</v>
      </c>
      <c r="BT185" s="1" t="str">
        <f aca="false">HYPERLINK("https%3A%2F%2Fwww.webofscience.com%2Fwos%2Fwoscc%2Ffull-record%2FWOS:001289070500053","View Full Record in Web of Science")</f>
        <v>View Full Record in Web of Science</v>
      </c>
    </row>
    <row r="186" customFormat="false" ht="12.75" hidden="false" customHeight="false" outlineLevel="0" collapsed="false">
      <c r="A186" s="1" t="s">
        <v>181</v>
      </c>
      <c r="B186" s="1" t="s">
        <v>3582</v>
      </c>
      <c r="C186" s="1"/>
      <c r="D186" s="1"/>
      <c r="E186" s="1"/>
      <c r="F186" s="1" t="s">
        <v>3583</v>
      </c>
      <c r="G186" s="1"/>
      <c r="H186" s="1"/>
      <c r="I186" s="1" t="s">
        <v>3584</v>
      </c>
      <c r="J186" s="1" t="s">
        <v>3585</v>
      </c>
      <c r="K186" s="1"/>
      <c r="L186" s="1"/>
      <c r="M186" s="1" t="s">
        <v>78</v>
      </c>
      <c r="N186" s="1" t="s">
        <v>186</v>
      </c>
      <c r="O186" s="1"/>
      <c r="P186" s="1"/>
      <c r="Q186" s="1"/>
      <c r="R186" s="1"/>
      <c r="S186" s="1"/>
      <c r="T186" s="1" t="s">
        <v>3586</v>
      </c>
      <c r="U186" s="1" t="s">
        <v>3587</v>
      </c>
      <c r="V186" s="1" t="s">
        <v>3588</v>
      </c>
      <c r="W186" s="1" t="s">
        <v>3589</v>
      </c>
      <c r="X186" s="1" t="s">
        <v>86</v>
      </c>
      <c r="Y186" s="1" t="s">
        <v>3590</v>
      </c>
      <c r="Z186" s="1" t="s">
        <v>1650</v>
      </c>
      <c r="AA186" s="1" t="s">
        <v>699</v>
      </c>
      <c r="AB186" s="1" t="s">
        <v>3591</v>
      </c>
      <c r="AC186" s="1" t="s">
        <v>3592</v>
      </c>
      <c r="AD186" s="1" t="s">
        <v>3593</v>
      </c>
      <c r="AE186" s="1" t="s">
        <v>703</v>
      </c>
      <c r="AF186" s="1"/>
      <c r="AG186" s="1" t="n">
        <v>43</v>
      </c>
      <c r="AH186" s="1" t="n">
        <v>0</v>
      </c>
      <c r="AI186" s="1" t="n">
        <v>0</v>
      </c>
      <c r="AJ186" s="1" t="n">
        <v>0</v>
      </c>
      <c r="AK186" s="1" t="n">
        <v>7</v>
      </c>
      <c r="AL186" s="1" t="s">
        <v>2710</v>
      </c>
      <c r="AM186" s="1" t="s">
        <v>1221</v>
      </c>
      <c r="AN186" s="1" t="s">
        <v>2711</v>
      </c>
      <c r="AO186" s="1" t="s">
        <v>3594</v>
      </c>
      <c r="AP186" s="1" t="s">
        <v>3595</v>
      </c>
      <c r="AQ186" s="1"/>
      <c r="AR186" s="1" t="s">
        <v>3596</v>
      </c>
      <c r="AS186" s="1" t="s">
        <v>3597</v>
      </c>
      <c r="AT186" s="1" t="s">
        <v>3598</v>
      </c>
      <c r="AU186" s="1" t="n">
        <v>2024</v>
      </c>
      <c r="AV186" s="1" t="n">
        <v>47</v>
      </c>
      <c r="AW186" s="1" t="n">
        <v>3</v>
      </c>
      <c r="AX186" s="1"/>
      <c r="AY186" s="1"/>
      <c r="AZ186" s="1"/>
      <c r="BA186" s="1"/>
      <c r="BB186" s="1" t="n">
        <v>303</v>
      </c>
      <c r="BC186" s="1" t="n">
        <v>322</v>
      </c>
      <c r="BD186" s="1"/>
      <c r="BE186" s="1" t="s">
        <v>3599</v>
      </c>
      <c r="BF186" s="1" t="str">
        <f aca="false">HYPERLINK("http://dx.doi.org/10.1080/03081060.2023.2294339","http://dx.doi.org/10.1080/03081060.2023.2294339")</f>
        <v>http://dx.doi.org/10.1080/03081060.2023.2294339</v>
      </c>
      <c r="BG186" s="1"/>
      <c r="BH186" s="1" t="s">
        <v>923</v>
      </c>
      <c r="BI186" s="1" t="n">
        <v>20</v>
      </c>
      <c r="BJ186" s="1" t="s">
        <v>3600</v>
      </c>
      <c r="BK186" s="1" t="s">
        <v>204</v>
      </c>
      <c r="BL186" s="1" t="s">
        <v>3601</v>
      </c>
      <c r="BM186" s="1" t="s">
        <v>3602</v>
      </c>
      <c r="BN186" s="1"/>
      <c r="BO186" s="1" t="s">
        <v>207</v>
      </c>
      <c r="BP186" s="1"/>
      <c r="BQ186" s="1"/>
      <c r="BR186" s="1" t="s">
        <v>103</v>
      </c>
      <c r="BS186" s="1" t="s">
        <v>3603</v>
      </c>
      <c r="BT186" s="1" t="str">
        <f aca="false">HYPERLINK("https%3A%2F%2Fwww.webofscience.com%2Fwos%2Fwoscc%2Ffull-record%2FWOS:001125846300001","View Full Record in Web of Science")</f>
        <v>View Full Record in Web of Science</v>
      </c>
    </row>
    <row r="187" customFormat="false" ht="12.75" hidden="false" customHeight="false" outlineLevel="0" collapsed="false">
      <c r="A187" s="1" t="s">
        <v>181</v>
      </c>
      <c r="B187" s="1" t="s">
        <v>3604</v>
      </c>
      <c r="C187" s="1"/>
      <c r="D187" s="1"/>
      <c r="E187" s="1"/>
      <c r="F187" s="1" t="s">
        <v>3605</v>
      </c>
      <c r="G187" s="1"/>
      <c r="H187" s="1"/>
      <c r="I187" s="1" t="s">
        <v>3606</v>
      </c>
      <c r="J187" s="1" t="s">
        <v>3607</v>
      </c>
      <c r="K187" s="1"/>
      <c r="L187" s="1"/>
      <c r="M187" s="1" t="s">
        <v>78</v>
      </c>
      <c r="N187" s="1" t="s">
        <v>618</v>
      </c>
      <c r="O187" s="1"/>
      <c r="P187" s="1"/>
      <c r="Q187" s="1"/>
      <c r="R187" s="1"/>
      <c r="S187" s="1"/>
      <c r="T187" s="1" t="s">
        <v>3608</v>
      </c>
      <c r="U187" s="1" t="s">
        <v>3609</v>
      </c>
      <c r="V187" s="1" t="s">
        <v>3610</v>
      </c>
      <c r="W187" s="1" t="s">
        <v>3611</v>
      </c>
      <c r="X187" s="1" t="s">
        <v>86</v>
      </c>
      <c r="Y187" s="1" t="s">
        <v>3612</v>
      </c>
      <c r="Z187" s="1" t="s">
        <v>3613</v>
      </c>
      <c r="AA187" s="1" t="s">
        <v>3614</v>
      </c>
      <c r="AB187" s="1"/>
      <c r="AC187" s="1"/>
      <c r="AD187" s="1"/>
      <c r="AE187" s="1"/>
      <c r="AF187" s="1"/>
      <c r="AG187" s="1" t="n">
        <v>61</v>
      </c>
      <c r="AH187" s="1" t="n">
        <v>3</v>
      </c>
      <c r="AI187" s="1" t="n">
        <v>3</v>
      </c>
      <c r="AJ187" s="1" t="n">
        <v>8</v>
      </c>
      <c r="AK187" s="1" t="n">
        <v>12</v>
      </c>
      <c r="AL187" s="1" t="s">
        <v>1025</v>
      </c>
      <c r="AM187" s="1" t="s">
        <v>3615</v>
      </c>
      <c r="AN187" s="1" t="s">
        <v>3616</v>
      </c>
      <c r="AO187" s="1" t="s">
        <v>3617</v>
      </c>
      <c r="AP187" s="1" t="s">
        <v>3618</v>
      </c>
      <c r="AQ187" s="1"/>
      <c r="AR187" s="1" t="s">
        <v>3619</v>
      </c>
      <c r="AS187" s="1" t="s">
        <v>3620</v>
      </c>
      <c r="AT187" s="1" t="s">
        <v>1391</v>
      </c>
      <c r="AU187" s="1" t="n">
        <v>2023</v>
      </c>
      <c r="AV187" s="1" t="n">
        <v>73</v>
      </c>
      <c r="AW187" s="1"/>
      <c r="AX187" s="1"/>
      <c r="AY187" s="1"/>
      <c r="AZ187" s="1"/>
      <c r="BA187" s="1"/>
      <c r="BB187" s="1"/>
      <c r="BC187" s="1"/>
      <c r="BD187" s="1" t="n">
        <v>103824</v>
      </c>
      <c r="BE187" s="1" t="s">
        <v>3621</v>
      </c>
      <c r="BF187" s="1" t="str">
        <f aca="false">HYPERLINK("http://dx.doi.org/10.1016/j.nepr.2023.103824","http://dx.doi.org/10.1016/j.nepr.2023.103824")</f>
        <v>http://dx.doi.org/10.1016/j.nepr.2023.103824</v>
      </c>
      <c r="BG187" s="1"/>
      <c r="BH187" s="1" t="s">
        <v>3622</v>
      </c>
      <c r="BI187" s="1" t="n">
        <v>7</v>
      </c>
      <c r="BJ187" s="1" t="s">
        <v>609</v>
      </c>
      <c r="BK187" s="1" t="s">
        <v>398</v>
      </c>
      <c r="BL187" s="1" t="s">
        <v>609</v>
      </c>
      <c r="BM187" s="1" t="s">
        <v>3623</v>
      </c>
      <c r="BN187" s="1" t="n">
        <v>37924651</v>
      </c>
      <c r="BO187" s="1" t="s">
        <v>207</v>
      </c>
      <c r="BP187" s="1"/>
      <c r="BQ187" s="1"/>
      <c r="BR187" s="1" t="s">
        <v>103</v>
      </c>
      <c r="BS187" s="1" t="s">
        <v>3624</v>
      </c>
      <c r="BT187" s="1" t="str">
        <f aca="false">HYPERLINK("https%3A%2F%2Fwww.webofscience.com%2Fwos%2Fwoscc%2Ffull-record%2FWOS:001109087200001","View Full Record in Web of Science")</f>
        <v>View Full Record in Web of Science</v>
      </c>
    </row>
    <row r="188" customFormat="false" ht="12.75" hidden="false" customHeight="false" outlineLevel="0" collapsed="false">
      <c r="A188" s="1" t="s">
        <v>72</v>
      </c>
      <c r="B188" s="1" t="s">
        <v>3625</v>
      </c>
      <c r="C188" s="1"/>
      <c r="D188" s="1" t="s">
        <v>3626</v>
      </c>
      <c r="E188" s="1"/>
      <c r="F188" s="1" t="s">
        <v>3627</v>
      </c>
      <c r="G188" s="1"/>
      <c r="H188" s="1"/>
      <c r="I188" s="1" t="s">
        <v>3628</v>
      </c>
      <c r="J188" s="1" t="s">
        <v>3629</v>
      </c>
      <c r="K188" s="1" t="s">
        <v>1063</v>
      </c>
      <c r="L188" s="1"/>
      <c r="M188" s="1" t="s">
        <v>78</v>
      </c>
      <c r="N188" s="1" t="s">
        <v>79</v>
      </c>
      <c r="O188" s="1" t="s">
        <v>3630</v>
      </c>
      <c r="P188" s="1" t="s">
        <v>3631</v>
      </c>
      <c r="Q188" s="1" t="s">
        <v>3632</v>
      </c>
      <c r="R188" s="1" t="s">
        <v>3633</v>
      </c>
      <c r="S188" s="1"/>
      <c r="T188" s="1" t="s">
        <v>3634</v>
      </c>
      <c r="U188" s="1"/>
      <c r="V188" s="1" t="s">
        <v>3635</v>
      </c>
      <c r="W188" s="1" t="s">
        <v>3636</v>
      </c>
      <c r="X188" s="1" t="s">
        <v>86</v>
      </c>
      <c r="Y188" s="1" t="s">
        <v>3637</v>
      </c>
      <c r="Z188" s="1" t="s">
        <v>3638</v>
      </c>
      <c r="AA188" s="1" t="s">
        <v>1072</v>
      </c>
      <c r="AB188" s="1"/>
      <c r="AC188" s="1"/>
      <c r="AD188" s="1"/>
      <c r="AE188" s="1"/>
      <c r="AF188" s="1"/>
      <c r="AG188" s="1" t="n">
        <v>11</v>
      </c>
      <c r="AH188" s="1" t="n">
        <v>0</v>
      </c>
      <c r="AI188" s="1" t="n">
        <v>0</v>
      </c>
      <c r="AJ188" s="1" t="n">
        <v>0</v>
      </c>
      <c r="AK188" s="1" t="n">
        <v>0</v>
      </c>
      <c r="AL188" s="1" t="s">
        <v>106</v>
      </c>
      <c r="AM188" s="1" t="s">
        <v>95</v>
      </c>
      <c r="AN188" s="1" t="s">
        <v>122</v>
      </c>
      <c r="AO188" s="1" t="s">
        <v>1073</v>
      </c>
      <c r="AP188" s="1"/>
      <c r="AQ188" s="1" t="s">
        <v>3639</v>
      </c>
      <c r="AR188" s="1" t="s">
        <v>1075</v>
      </c>
      <c r="AS188" s="1"/>
      <c r="AT188" s="1"/>
      <c r="AU188" s="1" t="n">
        <v>2023</v>
      </c>
      <c r="AV188" s="1"/>
      <c r="AW188" s="1"/>
      <c r="AX188" s="1"/>
      <c r="AY188" s="1"/>
      <c r="AZ188" s="1"/>
      <c r="BA188" s="1"/>
      <c r="BB188" s="1"/>
      <c r="BC188" s="1"/>
      <c r="BD188" s="1"/>
      <c r="BE188" s="1" t="s">
        <v>3640</v>
      </c>
      <c r="BF188" s="1" t="str">
        <f aca="false">HYPERLINK("http://dx.doi.org/10.1109/GEM59776.2023.10390210","http://dx.doi.org/10.1109/GEM59776.2023.10390210")</f>
        <v>http://dx.doi.org/10.1109/GEM59776.2023.10390210</v>
      </c>
      <c r="BG188" s="1"/>
      <c r="BH188" s="1"/>
      <c r="BI188" s="1" t="n">
        <v>6</v>
      </c>
      <c r="BJ188" s="1" t="s">
        <v>3641</v>
      </c>
      <c r="BK188" s="1" t="s">
        <v>100</v>
      </c>
      <c r="BL188" s="1" t="s">
        <v>101</v>
      </c>
      <c r="BM188" s="1" t="s">
        <v>3642</v>
      </c>
      <c r="BN188" s="1"/>
      <c r="BO188" s="1"/>
      <c r="BP188" s="1"/>
      <c r="BQ188" s="1"/>
      <c r="BR188" s="1" t="s">
        <v>103</v>
      </c>
      <c r="BS188" s="1" t="s">
        <v>3643</v>
      </c>
      <c r="BT188" s="1" t="str">
        <f aca="false">HYPERLINK("https%3A%2F%2Fwww.webofscience.com%2Fwos%2Fwoscc%2Ffull-record%2FWOS:001166570300014","View Full Record in Web of Science")</f>
        <v>View Full Record in Web of Science</v>
      </c>
    </row>
    <row r="189" customFormat="false" ht="12.75" hidden="false" customHeight="false" outlineLevel="0" collapsed="false">
      <c r="A189" s="1" t="s">
        <v>72</v>
      </c>
      <c r="B189" s="1" t="s">
        <v>3644</v>
      </c>
      <c r="C189" s="1"/>
      <c r="D189" s="1"/>
      <c r="E189" s="1" t="s">
        <v>74</v>
      </c>
      <c r="F189" s="1" t="s">
        <v>3645</v>
      </c>
      <c r="G189" s="1"/>
      <c r="H189" s="1"/>
      <c r="I189" s="1" t="s">
        <v>3646</v>
      </c>
      <c r="J189" s="1" t="s">
        <v>3647</v>
      </c>
      <c r="K189" s="1"/>
      <c r="L189" s="1"/>
      <c r="M189" s="1" t="s">
        <v>78</v>
      </c>
      <c r="N189" s="1" t="s">
        <v>79</v>
      </c>
      <c r="O189" s="1" t="s">
        <v>3648</v>
      </c>
      <c r="P189" s="1" t="s">
        <v>3649</v>
      </c>
      <c r="Q189" s="1" t="s">
        <v>3650</v>
      </c>
      <c r="R189" s="1"/>
      <c r="S189" s="1"/>
      <c r="T189" s="1" t="s">
        <v>3651</v>
      </c>
      <c r="U189" s="1"/>
      <c r="V189" s="1" t="s">
        <v>3652</v>
      </c>
      <c r="W189" s="1" t="s">
        <v>3653</v>
      </c>
      <c r="X189" s="1" t="s">
        <v>86</v>
      </c>
      <c r="Y189" s="1" t="s">
        <v>3654</v>
      </c>
      <c r="Z189" s="1" t="s">
        <v>3655</v>
      </c>
      <c r="AA189" s="1"/>
      <c r="AB189" s="1" t="s">
        <v>3656</v>
      </c>
      <c r="AC189" s="1" t="s">
        <v>3657</v>
      </c>
      <c r="AD189" s="1" t="s">
        <v>3657</v>
      </c>
      <c r="AE189" s="1" t="s">
        <v>3658</v>
      </c>
      <c r="AF189" s="1"/>
      <c r="AG189" s="1" t="n">
        <v>12</v>
      </c>
      <c r="AH189" s="1" t="n">
        <v>1</v>
      </c>
      <c r="AI189" s="1" t="n">
        <v>1</v>
      </c>
      <c r="AJ189" s="1" t="n">
        <v>0</v>
      </c>
      <c r="AK189" s="1" t="n">
        <v>0</v>
      </c>
      <c r="AL189" s="1" t="s">
        <v>94</v>
      </c>
      <c r="AM189" s="1" t="s">
        <v>95</v>
      </c>
      <c r="AN189" s="1" t="s">
        <v>96</v>
      </c>
      <c r="AO189" s="1"/>
      <c r="AP189" s="1"/>
      <c r="AQ189" s="1" t="s">
        <v>3659</v>
      </c>
      <c r="AR189" s="1"/>
      <c r="AS189" s="1"/>
      <c r="AT189" s="1"/>
      <c r="AU189" s="1" t="n">
        <v>2023</v>
      </c>
      <c r="AV189" s="1"/>
      <c r="AW189" s="1"/>
      <c r="AX189" s="1"/>
      <c r="AY189" s="1"/>
      <c r="AZ189" s="1"/>
      <c r="BA189" s="1"/>
      <c r="BB189" s="1" t="n">
        <v>215</v>
      </c>
      <c r="BC189" s="1" t="n">
        <v>219</v>
      </c>
      <c r="BD189" s="1"/>
      <c r="BE189" s="1" t="s">
        <v>3660</v>
      </c>
      <c r="BF189" s="1" t="str">
        <f aca="false">HYPERLINK("http://dx.doi.org/10.1145/3593663.3593694","http://dx.doi.org/10.1145/3593663.3593694")</f>
        <v>http://dx.doi.org/10.1145/3593663.3593694</v>
      </c>
      <c r="BG189" s="1"/>
      <c r="BH189" s="1"/>
      <c r="BI189" s="1" t="n">
        <v>5</v>
      </c>
      <c r="BJ189" s="1" t="s">
        <v>3661</v>
      </c>
      <c r="BK189" s="1" t="s">
        <v>100</v>
      </c>
      <c r="BL189" s="1" t="s">
        <v>3367</v>
      </c>
      <c r="BM189" s="1" t="s">
        <v>3662</v>
      </c>
      <c r="BN189" s="1"/>
      <c r="BO189" s="1" t="s">
        <v>3663</v>
      </c>
      <c r="BP189" s="1"/>
      <c r="BQ189" s="1"/>
      <c r="BR189" s="1" t="s">
        <v>103</v>
      </c>
      <c r="BS189" s="1" t="s">
        <v>3664</v>
      </c>
      <c r="BT189" s="1" t="str">
        <f aca="false">HYPERLINK("https%3A%2F%2Fwww.webofscience.com%2Fwos%2Fwoscc%2Ffull-record%2FWOS:001124146500028","View Full Record in Web of Science")</f>
        <v>View Full Record in Web of Science</v>
      </c>
    </row>
    <row r="190" customFormat="false" ht="12.75" hidden="false" customHeight="false" outlineLevel="0" collapsed="false">
      <c r="A190" s="1" t="s">
        <v>181</v>
      </c>
      <c r="B190" s="1" t="s">
        <v>3665</v>
      </c>
      <c r="C190" s="1"/>
      <c r="D190" s="1"/>
      <c r="E190" s="1"/>
      <c r="F190" s="1" t="s">
        <v>3666</v>
      </c>
      <c r="G190" s="1"/>
      <c r="H190" s="1"/>
      <c r="I190" s="1" t="s">
        <v>3667</v>
      </c>
      <c r="J190" s="1" t="s">
        <v>3668</v>
      </c>
      <c r="K190" s="1"/>
      <c r="L190" s="1"/>
      <c r="M190" s="1" t="s">
        <v>78</v>
      </c>
      <c r="N190" s="1" t="s">
        <v>186</v>
      </c>
      <c r="O190" s="1"/>
      <c r="P190" s="1"/>
      <c r="Q190" s="1"/>
      <c r="R190" s="1"/>
      <c r="S190" s="1"/>
      <c r="T190" s="1" t="s">
        <v>3669</v>
      </c>
      <c r="U190" s="1" t="s">
        <v>3670</v>
      </c>
      <c r="V190" s="1" t="s">
        <v>3671</v>
      </c>
      <c r="W190" s="1" t="s">
        <v>3672</v>
      </c>
      <c r="X190" s="1" t="s">
        <v>86</v>
      </c>
      <c r="Y190" s="1" t="s">
        <v>3673</v>
      </c>
      <c r="Z190" s="1" t="s">
        <v>2807</v>
      </c>
      <c r="AA190" s="1" t="s">
        <v>699</v>
      </c>
      <c r="AB190" s="1" t="s">
        <v>3674</v>
      </c>
      <c r="AC190" s="1"/>
      <c r="AD190" s="1"/>
      <c r="AE190" s="1"/>
      <c r="AF190" s="1"/>
      <c r="AG190" s="1" t="n">
        <v>67</v>
      </c>
      <c r="AH190" s="1" t="n">
        <v>3</v>
      </c>
      <c r="AI190" s="1" t="n">
        <v>3</v>
      </c>
      <c r="AJ190" s="1" t="n">
        <v>8</v>
      </c>
      <c r="AK190" s="1" t="n">
        <v>39</v>
      </c>
      <c r="AL190" s="1" t="s">
        <v>893</v>
      </c>
      <c r="AM190" s="1" t="s">
        <v>894</v>
      </c>
      <c r="AN190" s="1" t="s">
        <v>895</v>
      </c>
      <c r="AO190" s="1" t="s">
        <v>3675</v>
      </c>
      <c r="AP190" s="1"/>
      <c r="AQ190" s="1"/>
      <c r="AR190" s="1" t="s">
        <v>3676</v>
      </c>
      <c r="AS190" s="1" t="s">
        <v>3677</v>
      </c>
      <c r="AT190" s="1" t="s">
        <v>372</v>
      </c>
      <c r="AU190" s="1" t="n">
        <v>2022</v>
      </c>
      <c r="AV190" s="1" t="n">
        <v>76</v>
      </c>
      <c r="AW190" s="1"/>
      <c r="AX190" s="1"/>
      <c r="AY190" s="1"/>
      <c r="AZ190" s="1"/>
      <c r="BA190" s="1"/>
      <c r="BB190" s="1" t="n">
        <v>325</v>
      </c>
      <c r="BC190" s="1" t="n">
        <v>336</v>
      </c>
      <c r="BD190" s="1"/>
      <c r="BE190" s="1" t="s">
        <v>3678</v>
      </c>
      <c r="BF190" s="1" t="str">
        <f aca="false">HYPERLINK("http://dx.doi.org/10.1016/j.eap.2022.08.010","http://dx.doi.org/10.1016/j.eap.2022.08.010")</f>
        <v>http://dx.doi.org/10.1016/j.eap.2022.08.010</v>
      </c>
      <c r="BG190" s="1"/>
      <c r="BH190" s="1" t="s">
        <v>3679</v>
      </c>
      <c r="BI190" s="1" t="n">
        <v>12</v>
      </c>
      <c r="BJ190" s="1" t="s">
        <v>3680</v>
      </c>
      <c r="BK190" s="1" t="s">
        <v>610</v>
      </c>
      <c r="BL190" s="1" t="s">
        <v>715</v>
      </c>
      <c r="BM190" s="1" t="s">
        <v>3681</v>
      </c>
      <c r="BN190" s="1"/>
      <c r="BO190" s="1" t="s">
        <v>207</v>
      </c>
      <c r="BP190" s="1"/>
      <c r="BQ190" s="1"/>
      <c r="BR190" s="1" t="s">
        <v>103</v>
      </c>
      <c r="BS190" s="1" t="s">
        <v>3682</v>
      </c>
      <c r="BT190" s="1" t="str">
        <f aca="false">HYPERLINK("https%3A%2F%2Fwww.webofscience.com%2Fwos%2Fwoscc%2Ffull-record%2FWOS:000863324500005","View Full Record in Web of Science")</f>
        <v>View Full Record in Web of Science</v>
      </c>
    </row>
    <row r="191" customFormat="false" ht="12.75" hidden="false" customHeight="false" outlineLevel="0" collapsed="false">
      <c r="A191" s="1" t="s">
        <v>181</v>
      </c>
      <c r="B191" s="1" t="s">
        <v>3683</v>
      </c>
      <c r="C191" s="1"/>
      <c r="D191" s="1"/>
      <c r="E191" s="1"/>
      <c r="F191" s="1" t="s">
        <v>3684</v>
      </c>
      <c r="G191" s="1"/>
      <c r="H191" s="1"/>
      <c r="I191" s="1" t="s">
        <v>3685</v>
      </c>
      <c r="J191" s="1" t="s">
        <v>232</v>
      </c>
      <c r="K191" s="1"/>
      <c r="L191" s="1"/>
      <c r="M191" s="1" t="s">
        <v>78</v>
      </c>
      <c r="N191" s="1" t="s">
        <v>618</v>
      </c>
      <c r="O191" s="1"/>
      <c r="P191" s="1"/>
      <c r="Q191" s="1"/>
      <c r="R191" s="1"/>
      <c r="S191" s="1"/>
      <c r="T191" s="1" t="s">
        <v>3686</v>
      </c>
      <c r="U191" s="1" t="s">
        <v>3687</v>
      </c>
      <c r="V191" s="1" t="s">
        <v>3688</v>
      </c>
      <c r="W191" s="1" t="s">
        <v>3689</v>
      </c>
      <c r="X191" s="1" t="s">
        <v>86</v>
      </c>
      <c r="Y191" s="1" t="s">
        <v>3690</v>
      </c>
      <c r="Z191" s="1" t="s">
        <v>3691</v>
      </c>
      <c r="AA191" s="1" t="s">
        <v>1385</v>
      </c>
      <c r="AB191" s="1" t="s">
        <v>3692</v>
      </c>
      <c r="AC191" s="1" t="s">
        <v>3693</v>
      </c>
      <c r="AD191" s="1" t="s">
        <v>3694</v>
      </c>
      <c r="AE191" s="1" t="s">
        <v>3695</v>
      </c>
      <c r="AF191" s="1"/>
      <c r="AG191" s="1" t="n">
        <v>30</v>
      </c>
      <c r="AH191" s="1" t="n">
        <v>6</v>
      </c>
      <c r="AI191" s="1" t="n">
        <v>6</v>
      </c>
      <c r="AJ191" s="1" t="n">
        <v>3</v>
      </c>
      <c r="AK191" s="1" t="n">
        <v>5</v>
      </c>
      <c r="AL191" s="1" t="s">
        <v>244</v>
      </c>
      <c r="AM191" s="1" t="s">
        <v>245</v>
      </c>
      <c r="AN191" s="1" t="s">
        <v>246</v>
      </c>
      <c r="AO191" s="1" t="s">
        <v>247</v>
      </c>
      <c r="AP191" s="1" t="s">
        <v>248</v>
      </c>
      <c r="AQ191" s="1"/>
      <c r="AR191" s="1" t="s">
        <v>249</v>
      </c>
      <c r="AS191" s="1" t="s">
        <v>250</v>
      </c>
      <c r="AT191" s="1"/>
      <c r="AU191" s="1" t="n">
        <v>2022</v>
      </c>
      <c r="AV191" s="1" t="n">
        <v>16</v>
      </c>
      <c r="AW191" s="1" t="n">
        <v>1</v>
      </c>
      <c r="AX191" s="1"/>
      <c r="AY191" s="1"/>
      <c r="AZ191" s="1"/>
      <c r="BA191" s="1"/>
      <c r="BB191" s="1"/>
      <c r="BC191" s="1"/>
      <c r="BD191" s="1"/>
      <c r="BE191" s="1" t="s">
        <v>3696</v>
      </c>
      <c r="BF191" s="1" t="str">
        <f aca="false">HYPERLINK("http://dx.doi.org/10.37190/e-Inf220103","http://dx.doi.org/10.37190/e-Inf220103")</f>
        <v>http://dx.doi.org/10.37190/e-Inf220103</v>
      </c>
      <c r="BG191" s="1"/>
      <c r="BH191" s="1"/>
      <c r="BI191" s="1" t="n">
        <v>21</v>
      </c>
      <c r="BJ191" s="1" t="s">
        <v>252</v>
      </c>
      <c r="BK191" s="1" t="s">
        <v>253</v>
      </c>
      <c r="BL191" s="1" t="s">
        <v>101</v>
      </c>
      <c r="BM191" s="1" t="s">
        <v>3697</v>
      </c>
      <c r="BN191" s="1"/>
      <c r="BO191" s="1" t="s">
        <v>642</v>
      </c>
      <c r="BP191" s="1"/>
      <c r="BQ191" s="1"/>
      <c r="BR191" s="1" t="s">
        <v>103</v>
      </c>
      <c r="BS191" s="1" t="s">
        <v>3698</v>
      </c>
      <c r="BT191" s="1" t="str">
        <f aca="false">HYPERLINK("https%3A%2F%2Fwww.webofscience.com%2Fwos%2Fwoscc%2Ffull-record%2FWOS:000733746700001","View Full Record in Web of Science")</f>
        <v>View Full Record in Web of Science</v>
      </c>
    </row>
    <row r="192" customFormat="false" ht="12.75" hidden="false" customHeight="false" outlineLevel="0" collapsed="false">
      <c r="A192" s="1" t="s">
        <v>181</v>
      </c>
      <c r="B192" s="1" t="s">
        <v>3258</v>
      </c>
      <c r="C192" s="1"/>
      <c r="D192" s="1"/>
      <c r="E192" s="1"/>
      <c r="F192" s="1" t="s">
        <v>3259</v>
      </c>
      <c r="G192" s="1"/>
      <c r="H192" s="1"/>
      <c r="I192" s="1" t="s">
        <v>3699</v>
      </c>
      <c r="J192" s="1" t="s">
        <v>3700</v>
      </c>
      <c r="K192" s="1"/>
      <c r="L192" s="1"/>
      <c r="M192" s="1" t="s">
        <v>78</v>
      </c>
      <c r="N192" s="1" t="s">
        <v>186</v>
      </c>
      <c r="O192" s="1"/>
      <c r="P192" s="1"/>
      <c r="Q192" s="1"/>
      <c r="R192" s="1"/>
      <c r="S192" s="1"/>
      <c r="T192" s="1" t="s">
        <v>3701</v>
      </c>
      <c r="U192" s="1" t="s">
        <v>3702</v>
      </c>
      <c r="V192" s="1" t="s">
        <v>3703</v>
      </c>
      <c r="W192" s="1" t="s">
        <v>3704</v>
      </c>
      <c r="X192" s="1" t="s">
        <v>86</v>
      </c>
      <c r="Y192" s="1" t="s">
        <v>3705</v>
      </c>
      <c r="Z192" s="1" t="s">
        <v>3706</v>
      </c>
      <c r="AA192" s="1" t="s">
        <v>3707</v>
      </c>
      <c r="AB192" s="1" t="s">
        <v>3708</v>
      </c>
      <c r="AC192" s="1" t="s">
        <v>3709</v>
      </c>
      <c r="AD192" s="1" t="s">
        <v>3709</v>
      </c>
      <c r="AE192" s="1" t="s">
        <v>3710</v>
      </c>
      <c r="AF192" s="1"/>
      <c r="AG192" s="1" t="n">
        <v>105</v>
      </c>
      <c r="AH192" s="1" t="n">
        <v>8</v>
      </c>
      <c r="AI192" s="1" t="n">
        <v>9</v>
      </c>
      <c r="AJ192" s="1" t="n">
        <v>1</v>
      </c>
      <c r="AK192" s="1" t="n">
        <v>21</v>
      </c>
      <c r="AL192" s="1" t="s">
        <v>3711</v>
      </c>
      <c r="AM192" s="1" t="s">
        <v>95</v>
      </c>
      <c r="AN192" s="1" t="s">
        <v>3712</v>
      </c>
      <c r="AO192" s="1" t="s">
        <v>3713</v>
      </c>
      <c r="AP192" s="1" t="s">
        <v>3714</v>
      </c>
      <c r="AQ192" s="1"/>
      <c r="AR192" s="1" t="s">
        <v>3715</v>
      </c>
      <c r="AS192" s="1" t="s">
        <v>3716</v>
      </c>
      <c r="AT192" s="1" t="s">
        <v>1362</v>
      </c>
      <c r="AU192" s="1" t="n">
        <v>2021</v>
      </c>
      <c r="AV192" s="1" t="n">
        <v>180</v>
      </c>
      <c r="AW192" s="1"/>
      <c r="AX192" s="1"/>
      <c r="AY192" s="1"/>
      <c r="AZ192" s="1"/>
      <c r="BA192" s="1"/>
      <c r="BB192" s="1"/>
      <c r="BC192" s="1"/>
      <c r="BD192" s="1" t="n">
        <v>111013</v>
      </c>
      <c r="BE192" s="1" t="s">
        <v>3717</v>
      </c>
      <c r="BF192" s="1" t="str">
        <f aca="false">HYPERLINK("http://dx.doi.org/10.1016/j.jss.2021.111013","http://dx.doi.org/10.1016/j.jss.2021.111013")</f>
        <v>http://dx.doi.org/10.1016/j.jss.2021.111013</v>
      </c>
      <c r="BG192" s="1"/>
      <c r="BH192" s="1" t="s">
        <v>1393</v>
      </c>
      <c r="BI192" s="1" t="n">
        <v>32</v>
      </c>
      <c r="BJ192" s="1" t="s">
        <v>994</v>
      </c>
      <c r="BK192" s="1" t="s">
        <v>204</v>
      </c>
      <c r="BL192" s="1" t="s">
        <v>101</v>
      </c>
      <c r="BM192" s="1" t="s">
        <v>3718</v>
      </c>
      <c r="BN192" s="1"/>
      <c r="BO192" s="1" t="s">
        <v>227</v>
      </c>
      <c r="BP192" s="1"/>
      <c r="BQ192" s="1"/>
      <c r="BR192" s="1" t="s">
        <v>103</v>
      </c>
      <c r="BS192" s="1" t="s">
        <v>3719</v>
      </c>
      <c r="BT192" s="1" t="str">
        <f aca="false">HYPERLINK("https%3A%2F%2Fwww.webofscience.com%2Fwos%2Fwoscc%2Ffull-record%2FWOS:000680064900015","View Full Record in Web of Science")</f>
        <v>View Full Record in Web of Science</v>
      </c>
    </row>
    <row r="193" customFormat="false" ht="12.75" hidden="false" customHeight="false" outlineLevel="0" collapsed="false">
      <c r="A193" s="1" t="s">
        <v>181</v>
      </c>
      <c r="B193" s="1" t="s">
        <v>3720</v>
      </c>
      <c r="C193" s="1"/>
      <c r="D193" s="1"/>
      <c r="E193" s="1"/>
      <c r="F193" s="1" t="s">
        <v>3721</v>
      </c>
      <c r="G193" s="1"/>
      <c r="H193" s="1"/>
      <c r="I193" s="1" t="s">
        <v>3722</v>
      </c>
      <c r="J193" s="1" t="s">
        <v>3723</v>
      </c>
      <c r="K193" s="1"/>
      <c r="L193" s="1"/>
      <c r="M193" s="1" t="s">
        <v>78</v>
      </c>
      <c r="N193" s="1" t="s">
        <v>618</v>
      </c>
      <c r="O193" s="1"/>
      <c r="P193" s="1"/>
      <c r="Q193" s="1"/>
      <c r="R193" s="1"/>
      <c r="S193" s="1"/>
      <c r="T193" s="1" t="s">
        <v>3724</v>
      </c>
      <c r="U193" s="1" t="s">
        <v>3725</v>
      </c>
      <c r="V193" s="1" t="s">
        <v>3726</v>
      </c>
      <c r="W193" s="1" t="s">
        <v>3727</v>
      </c>
      <c r="X193" s="1" t="s">
        <v>86</v>
      </c>
      <c r="Y193" s="1" t="s">
        <v>1848</v>
      </c>
      <c r="Z193" s="1" t="s">
        <v>2437</v>
      </c>
      <c r="AA193" s="1"/>
      <c r="AB193" s="1"/>
      <c r="AC193" s="1"/>
      <c r="AD193" s="1"/>
      <c r="AE193" s="1"/>
      <c r="AF193" s="1"/>
      <c r="AG193" s="1" t="n">
        <v>70</v>
      </c>
      <c r="AH193" s="1" t="n">
        <v>2</v>
      </c>
      <c r="AI193" s="1" t="n">
        <v>2</v>
      </c>
      <c r="AJ193" s="1" t="n">
        <v>0</v>
      </c>
      <c r="AK193" s="1" t="n">
        <v>14</v>
      </c>
      <c r="AL193" s="1" t="s">
        <v>600</v>
      </c>
      <c r="AM193" s="1" t="s">
        <v>601</v>
      </c>
      <c r="AN193" s="1" t="s">
        <v>602</v>
      </c>
      <c r="AO193" s="1" t="s">
        <v>3728</v>
      </c>
      <c r="AP193" s="1" t="s">
        <v>3729</v>
      </c>
      <c r="AQ193" s="1"/>
      <c r="AR193" s="1" t="s">
        <v>3730</v>
      </c>
      <c r="AS193" s="1" t="s">
        <v>3731</v>
      </c>
      <c r="AT193" s="1" t="s">
        <v>711</v>
      </c>
      <c r="AU193" s="1" t="n">
        <v>2020</v>
      </c>
      <c r="AV193" s="1" t="n">
        <v>14</v>
      </c>
      <c r="AW193" s="1" t="n">
        <v>4</v>
      </c>
      <c r="AX193" s="1"/>
      <c r="AY193" s="1"/>
      <c r="AZ193" s="1"/>
      <c r="BA193" s="1"/>
      <c r="BB193" s="1" t="n">
        <v>345</v>
      </c>
      <c r="BC193" s="1" t="n">
        <v>357</v>
      </c>
      <c r="BD193" s="1"/>
      <c r="BE193" s="1" t="s">
        <v>3732</v>
      </c>
      <c r="BF193" s="1" t="str">
        <f aca="false">HYPERLINK("http://dx.doi.org/10.1049/iet-sen.2018.5338","http://dx.doi.org/10.1049/iet-sen.2018.5338")</f>
        <v>http://dx.doi.org/10.1049/iet-sen.2018.5338</v>
      </c>
      <c r="BG193" s="1"/>
      <c r="BH193" s="1"/>
      <c r="BI193" s="1" t="n">
        <v>13</v>
      </c>
      <c r="BJ193" s="1" t="s">
        <v>252</v>
      </c>
      <c r="BK193" s="1" t="s">
        <v>204</v>
      </c>
      <c r="BL193" s="1" t="s">
        <v>101</v>
      </c>
      <c r="BM193" s="1" t="s">
        <v>3733</v>
      </c>
      <c r="BN193" s="1"/>
      <c r="BO193" s="1" t="s">
        <v>227</v>
      </c>
      <c r="BP193" s="1"/>
      <c r="BQ193" s="1"/>
      <c r="BR193" s="1" t="s">
        <v>103</v>
      </c>
      <c r="BS193" s="1" t="s">
        <v>3734</v>
      </c>
      <c r="BT193" s="1" t="str">
        <f aca="false">HYPERLINK("https%3A%2F%2Fwww.webofscience.com%2Fwos%2Fwoscc%2Ffull-record%2FWOS:000588424400003","View Full Record in Web of Science")</f>
        <v>View Full Record in Web of Science</v>
      </c>
    </row>
    <row r="194" customFormat="false" ht="12.75" hidden="false" customHeight="false" outlineLevel="0" collapsed="false">
      <c r="A194" s="1" t="s">
        <v>72</v>
      </c>
      <c r="B194" s="1" t="s">
        <v>3735</v>
      </c>
      <c r="C194" s="1"/>
      <c r="D194" s="1" t="s">
        <v>3736</v>
      </c>
      <c r="E194" s="1"/>
      <c r="F194" s="1" t="s">
        <v>3737</v>
      </c>
      <c r="G194" s="1"/>
      <c r="H194" s="1"/>
      <c r="I194" s="1" t="s">
        <v>3738</v>
      </c>
      <c r="J194" s="1" t="s">
        <v>3739</v>
      </c>
      <c r="K194" s="1" t="s">
        <v>2842</v>
      </c>
      <c r="L194" s="1"/>
      <c r="M194" s="1" t="s">
        <v>78</v>
      </c>
      <c r="N194" s="1" t="s">
        <v>79</v>
      </c>
      <c r="O194" s="1" t="s">
        <v>3740</v>
      </c>
      <c r="P194" s="1" t="s">
        <v>3741</v>
      </c>
      <c r="Q194" s="1" t="s">
        <v>3742</v>
      </c>
      <c r="R194" s="1" t="s">
        <v>3743</v>
      </c>
      <c r="S194" s="1"/>
      <c r="T194" s="1" t="s">
        <v>3744</v>
      </c>
      <c r="U194" s="1" t="s">
        <v>3745</v>
      </c>
      <c r="V194" s="1" t="s">
        <v>3746</v>
      </c>
      <c r="W194" s="1" t="s">
        <v>3747</v>
      </c>
      <c r="X194" s="1" t="s">
        <v>86</v>
      </c>
      <c r="Y194" s="1" t="s">
        <v>3748</v>
      </c>
      <c r="Z194" s="1" t="s">
        <v>3749</v>
      </c>
      <c r="AA194" s="1" t="s">
        <v>3750</v>
      </c>
      <c r="AB194" s="1"/>
      <c r="AC194" s="1" t="s">
        <v>1617</v>
      </c>
      <c r="AD194" s="1" t="s">
        <v>677</v>
      </c>
      <c r="AE194" s="1" t="s">
        <v>3751</v>
      </c>
      <c r="AF194" s="1"/>
      <c r="AG194" s="1" t="n">
        <v>17</v>
      </c>
      <c r="AH194" s="1" t="n">
        <v>1</v>
      </c>
      <c r="AI194" s="1" t="n">
        <v>1</v>
      </c>
      <c r="AJ194" s="1" t="n">
        <v>0</v>
      </c>
      <c r="AK194" s="1" t="n">
        <v>2</v>
      </c>
      <c r="AL194" s="1" t="s">
        <v>302</v>
      </c>
      <c r="AM194" s="1" t="s">
        <v>303</v>
      </c>
      <c r="AN194" s="1" t="s">
        <v>304</v>
      </c>
      <c r="AO194" s="1" t="s">
        <v>2854</v>
      </c>
      <c r="AP194" s="1" t="s">
        <v>2855</v>
      </c>
      <c r="AQ194" s="1" t="s">
        <v>3752</v>
      </c>
      <c r="AR194" s="1" t="s">
        <v>2857</v>
      </c>
      <c r="AS194" s="1"/>
      <c r="AT194" s="1"/>
      <c r="AU194" s="1" t="n">
        <v>2020</v>
      </c>
      <c r="AV194" s="1" t="n">
        <v>1168</v>
      </c>
      <c r="AW194" s="1"/>
      <c r="AX194" s="1"/>
      <c r="AY194" s="1"/>
      <c r="AZ194" s="1"/>
      <c r="BA194" s="1"/>
      <c r="BB194" s="1" t="n">
        <v>12</v>
      </c>
      <c r="BC194" s="1" t="n">
        <v>20</v>
      </c>
      <c r="BD194" s="1"/>
      <c r="BE194" s="1" t="s">
        <v>3753</v>
      </c>
      <c r="BF194" s="1" t="str">
        <f aca="false">HYPERLINK("http://dx.doi.org/10.1007/978-3-030-43887-6_2","http://dx.doi.org/10.1007/978-3-030-43887-6_2")</f>
        <v>http://dx.doi.org/10.1007/978-3-030-43887-6_2</v>
      </c>
      <c r="BG194" s="1"/>
      <c r="BH194" s="1"/>
      <c r="BI194" s="1" t="n">
        <v>9</v>
      </c>
      <c r="BJ194" s="1" t="s">
        <v>3754</v>
      </c>
      <c r="BK194" s="1" t="s">
        <v>100</v>
      </c>
      <c r="BL194" s="1" t="s">
        <v>101</v>
      </c>
      <c r="BM194" s="1" t="s">
        <v>3755</v>
      </c>
      <c r="BN194" s="1"/>
      <c r="BO194" s="1"/>
      <c r="BP194" s="1"/>
      <c r="BQ194" s="1"/>
      <c r="BR194" s="1" t="s">
        <v>103</v>
      </c>
      <c r="BS194" s="1" t="s">
        <v>3756</v>
      </c>
      <c r="BT194" s="1" t="str">
        <f aca="false">HYPERLINK("https%3A%2F%2Fwww.webofscience.com%2Fwos%2Fwoscc%2Ffull-record%2FWOS:000718590300002","View Full Record in Web of Science")</f>
        <v>View Full Record in Web of Science</v>
      </c>
    </row>
    <row r="195" customFormat="false" ht="12.75" hidden="false" customHeight="false" outlineLevel="0" collapsed="false">
      <c r="A195" s="1" t="s">
        <v>181</v>
      </c>
      <c r="B195" s="1" t="s">
        <v>3757</v>
      </c>
      <c r="C195" s="1"/>
      <c r="D195" s="1"/>
      <c r="E195" s="1"/>
      <c r="F195" s="1" t="s">
        <v>3758</v>
      </c>
      <c r="G195" s="1"/>
      <c r="H195" s="1"/>
      <c r="I195" s="1" t="s">
        <v>3759</v>
      </c>
      <c r="J195" s="1" t="s">
        <v>3760</v>
      </c>
      <c r="K195" s="1"/>
      <c r="L195" s="1"/>
      <c r="M195" s="1" t="s">
        <v>78</v>
      </c>
      <c r="N195" s="1" t="s">
        <v>186</v>
      </c>
      <c r="O195" s="1"/>
      <c r="P195" s="1"/>
      <c r="Q195" s="1"/>
      <c r="R195" s="1"/>
      <c r="S195" s="1"/>
      <c r="T195" s="1" t="s">
        <v>3761</v>
      </c>
      <c r="U195" s="1" t="s">
        <v>3762</v>
      </c>
      <c r="V195" s="1" t="s">
        <v>3763</v>
      </c>
      <c r="W195" s="1" t="s">
        <v>3764</v>
      </c>
      <c r="X195" s="1" t="s">
        <v>86</v>
      </c>
      <c r="Y195" s="1" t="s">
        <v>2164</v>
      </c>
      <c r="Z195" s="1" t="s">
        <v>3765</v>
      </c>
      <c r="AA195" s="1" t="s">
        <v>3766</v>
      </c>
      <c r="AB195" s="1" t="s">
        <v>3767</v>
      </c>
      <c r="AC195" s="1" t="s">
        <v>3768</v>
      </c>
      <c r="AD195" s="1" t="s">
        <v>3768</v>
      </c>
      <c r="AE195" s="1" t="s">
        <v>916</v>
      </c>
      <c r="AF195" s="1"/>
      <c r="AG195" s="1" t="n">
        <v>64</v>
      </c>
      <c r="AH195" s="1" t="n">
        <v>2</v>
      </c>
      <c r="AI195" s="1" t="n">
        <v>2</v>
      </c>
      <c r="AJ195" s="1" t="n">
        <v>4</v>
      </c>
      <c r="AK195" s="1" t="n">
        <v>9</v>
      </c>
      <c r="AL195" s="1" t="s">
        <v>367</v>
      </c>
      <c r="AM195" s="1" t="s">
        <v>368</v>
      </c>
      <c r="AN195" s="1" t="s">
        <v>369</v>
      </c>
      <c r="AO195" s="1"/>
      <c r="AP195" s="1" t="s">
        <v>3769</v>
      </c>
      <c r="AQ195" s="1"/>
      <c r="AR195" s="1" t="s">
        <v>3770</v>
      </c>
      <c r="AS195" s="1" t="s">
        <v>3760</v>
      </c>
      <c r="AT195" s="1" t="s">
        <v>277</v>
      </c>
      <c r="AU195" s="1" t="n">
        <v>2024</v>
      </c>
      <c r="AV195" s="1" t="n">
        <v>5</v>
      </c>
      <c r="AW195" s="1" t="n">
        <v>1</v>
      </c>
      <c r="AX195" s="1"/>
      <c r="AY195" s="1"/>
      <c r="AZ195" s="1"/>
      <c r="BA195" s="1"/>
      <c r="BB195" s="1" t="n">
        <v>208</v>
      </c>
      <c r="BC195" s="1" t="n">
        <v>236</v>
      </c>
      <c r="BD195" s="1"/>
      <c r="BE195" s="1" t="s">
        <v>3771</v>
      </c>
      <c r="BF195" s="1" t="str">
        <f aca="false">HYPERLINK("http://dx.doi.org/10.3390/ai5010012","http://dx.doi.org/10.3390/ai5010012")</f>
        <v>http://dx.doi.org/10.3390/ai5010012</v>
      </c>
      <c r="BG195" s="1"/>
      <c r="BH195" s="1"/>
      <c r="BI195" s="1" t="n">
        <v>29</v>
      </c>
      <c r="BJ195" s="1" t="s">
        <v>3772</v>
      </c>
      <c r="BK195" s="1" t="s">
        <v>253</v>
      </c>
      <c r="BL195" s="1" t="s">
        <v>101</v>
      </c>
      <c r="BM195" s="1" t="s">
        <v>3773</v>
      </c>
      <c r="BN195" s="1"/>
      <c r="BO195" s="1" t="s">
        <v>642</v>
      </c>
      <c r="BP195" s="1"/>
      <c r="BQ195" s="1"/>
      <c r="BR195" s="1" t="s">
        <v>103</v>
      </c>
      <c r="BS195" s="1" t="s">
        <v>3774</v>
      </c>
      <c r="BT195" s="1" t="str">
        <f aca="false">HYPERLINK("https%3A%2F%2Fwww.webofscience.com%2Fwos%2Fwoscc%2Ffull-record%2FWOS:001191509100001","View Full Record in Web of Science")</f>
        <v>View Full Record in Web of Science</v>
      </c>
    </row>
    <row r="196" customFormat="false" ht="12.75" hidden="false" customHeight="false" outlineLevel="0" collapsed="false">
      <c r="A196" s="1" t="s">
        <v>72</v>
      </c>
      <c r="B196" s="1" t="s">
        <v>2119</v>
      </c>
      <c r="C196" s="1"/>
      <c r="D196" s="1"/>
      <c r="E196" s="1" t="s">
        <v>172</v>
      </c>
      <c r="F196" s="1" t="s">
        <v>2120</v>
      </c>
      <c r="G196" s="1"/>
      <c r="H196" s="1"/>
      <c r="I196" s="1" t="s">
        <v>3775</v>
      </c>
      <c r="J196" s="1" t="s">
        <v>3776</v>
      </c>
      <c r="K196" s="1" t="s">
        <v>3777</v>
      </c>
      <c r="L196" s="1"/>
      <c r="M196" s="1" t="s">
        <v>78</v>
      </c>
      <c r="N196" s="1" t="s">
        <v>79</v>
      </c>
      <c r="O196" s="1" t="s">
        <v>3778</v>
      </c>
      <c r="P196" s="1" t="s">
        <v>3779</v>
      </c>
      <c r="Q196" s="1" t="s">
        <v>3780</v>
      </c>
      <c r="R196" s="1" t="s">
        <v>106</v>
      </c>
      <c r="S196" s="1"/>
      <c r="T196" s="1" t="s">
        <v>3781</v>
      </c>
      <c r="U196" s="1"/>
      <c r="V196" s="1" t="s">
        <v>3782</v>
      </c>
      <c r="W196" s="1" t="s">
        <v>3783</v>
      </c>
      <c r="X196" s="1" t="s">
        <v>86</v>
      </c>
      <c r="Y196" s="1" t="s">
        <v>2164</v>
      </c>
      <c r="Z196" s="1" t="s">
        <v>2128</v>
      </c>
      <c r="AA196" s="1"/>
      <c r="AB196" s="1"/>
      <c r="AC196" s="1"/>
      <c r="AD196" s="1"/>
      <c r="AE196" s="1"/>
      <c r="AF196" s="1"/>
      <c r="AG196" s="1" t="n">
        <v>32</v>
      </c>
      <c r="AH196" s="1" t="n">
        <v>0</v>
      </c>
      <c r="AI196" s="1" t="n">
        <v>0</v>
      </c>
      <c r="AJ196" s="1" t="n">
        <v>3</v>
      </c>
      <c r="AK196" s="1" t="n">
        <v>3</v>
      </c>
      <c r="AL196" s="1" t="s">
        <v>172</v>
      </c>
      <c r="AM196" s="1" t="s">
        <v>173</v>
      </c>
      <c r="AN196" s="1" t="s">
        <v>174</v>
      </c>
      <c r="AO196" s="1" t="s">
        <v>3784</v>
      </c>
      <c r="AP196" s="1"/>
      <c r="AQ196" s="1" t="s">
        <v>3785</v>
      </c>
      <c r="AR196" s="1" t="s">
        <v>3786</v>
      </c>
      <c r="AS196" s="1"/>
      <c r="AT196" s="1"/>
      <c r="AU196" s="1" t="n">
        <v>2024</v>
      </c>
      <c r="AV196" s="1"/>
      <c r="AW196" s="1"/>
      <c r="AX196" s="1"/>
      <c r="AY196" s="1"/>
      <c r="AZ196" s="1"/>
      <c r="BA196" s="1"/>
      <c r="BB196" s="1" t="n">
        <v>278</v>
      </c>
      <c r="BC196" s="1" t="n">
        <v>283</v>
      </c>
      <c r="BD196" s="1"/>
      <c r="BE196" s="1" t="s">
        <v>3787</v>
      </c>
      <c r="BF196" s="1" t="str">
        <f aca="false">HYPERLINK("http://dx.doi.org/10.1109/SMARTCOMP61445.2024.00068","http://dx.doi.org/10.1109/SMARTCOMP61445.2024.00068")</f>
        <v>http://dx.doi.org/10.1109/SMARTCOMP61445.2024.00068</v>
      </c>
      <c r="BG196" s="1"/>
      <c r="BH196" s="1"/>
      <c r="BI196" s="1" t="n">
        <v>6</v>
      </c>
      <c r="BJ196" s="1" t="s">
        <v>2972</v>
      </c>
      <c r="BK196" s="1" t="s">
        <v>100</v>
      </c>
      <c r="BL196" s="1" t="s">
        <v>101</v>
      </c>
      <c r="BM196" s="1" t="s">
        <v>3788</v>
      </c>
      <c r="BN196" s="1"/>
      <c r="BO196" s="1"/>
      <c r="BP196" s="1"/>
      <c r="BQ196" s="1"/>
      <c r="BR196" s="1" t="s">
        <v>103</v>
      </c>
      <c r="BS196" s="1" t="s">
        <v>3789</v>
      </c>
      <c r="BT196" s="1" t="str">
        <f aca="false">HYPERLINK("https%3A%2F%2Fwww.webofscience.com%2Fwos%2Fwoscc%2Ffull-record%2FWOS:001284744200060","View Full Record in Web of Science")</f>
        <v>View Full Record in Web of Science</v>
      </c>
    </row>
    <row r="197" customFormat="false" ht="12.75" hidden="false" customHeight="false" outlineLevel="0" collapsed="false">
      <c r="A197" s="1" t="s">
        <v>72</v>
      </c>
      <c r="B197" s="1" t="s">
        <v>3790</v>
      </c>
      <c r="C197" s="1"/>
      <c r="D197" s="1" t="s">
        <v>2140</v>
      </c>
      <c r="E197" s="1"/>
      <c r="F197" s="1" t="s">
        <v>3791</v>
      </c>
      <c r="G197" s="1"/>
      <c r="H197" s="1"/>
      <c r="I197" s="1" t="s">
        <v>3792</v>
      </c>
      <c r="J197" s="1" t="s">
        <v>2142</v>
      </c>
      <c r="K197" s="1" t="s">
        <v>289</v>
      </c>
      <c r="L197" s="1"/>
      <c r="M197" s="1" t="s">
        <v>78</v>
      </c>
      <c r="N197" s="1" t="s">
        <v>79</v>
      </c>
      <c r="O197" s="1" t="s">
        <v>2143</v>
      </c>
      <c r="P197" s="1" t="s">
        <v>2144</v>
      </c>
      <c r="Q197" s="1" t="s">
        <v>2145</v>
      </c>
      <c r="R197" s="1" t="s">
        <v>2146</v>
      </c>
      <c r="S197" s="1"/>
      <c r="T197" s="1" t="s">
        <v>3793</v>
      </c>
      <c r="U197" s="1"/>
      <c r="V197" s="1" t="s">
        <v>3794</v>
      </c>
      <c r="W197" s="1" t="s">
        <v>3795</v>
      </c>
      <c r="X197" s="1" t="s">
        <v>86</v>
      </c>
      <c r="Y197" s="1" t="s">
        <v>3796</v>
      </c>
      <c r="Z197" s="1" t="s">
        <v>3797</v>
      </c>
      <c r="AA197" s="1" t="s">
        <v>1021</v>
      </c>
      <c r="AB197" s="1" t="s">
        <v>3798</v>
      </c>
      <c r="AC197" s="1" t="s">
        <v>3799</v>
      </c>
      <c r="AD197" s="1" t="s">
        <v>3799</v>
      </c>
      <c r="AE197" s="1" t="s">
        <v>3800</v>
      </c>
      <c r="AF197" s="1"/>
      <c r="AG197" s="1" t="n">
        <v>28</v>
      </c>
      <c r="AH197" s="1" t="n">
        <v>0</v>
      </c>
      <c r="AI197" s="1" t="n">
        <v>0</v>
      </c>
      <c r="AJ197" s="1" t="n">
        <v>0</v>
      </c>
      <c r="AK197" s="1" t="n">
        <v>0</v>
      </c>
      <c r="AL197" s="1" t="s">
        <v>302</v>
      </c>
      <c r="AM197" s="1" t="s">
        <v>303</v>
      </c>
      <c r="AN197" s="1" t="s">
        <v>304</v>
      </c>
      <c r="AO197" s="1" t="s">
        <v>305</v>
      </c>
      <c r="AP197" s="1" t="s">
        <v>306</v>
      </c>
      <c r="AQ197" s="1" t="s">
        <v>2153</v>
      </c>
      <c r="AR197" s="1" t="s">
        <v>308</v>
      </c>
      <c r="AS197" s="1"/>
      <c r="AT197" s="1"/>
      <c r="AU197" s="1" t="n">
        <v>2023</v>
      </c>
      <c r="AV197" s="1" t="n">
        <v>688</v>
      </c>
      <c r="AW197" s="1"/>
      <c r="AX197" s="1"/>
      <c r="AY197" s="1"/>
      <c r="AZ197" s="1"/>
      <c r="BA197" s="1"/>
      <c r="BB197" s="1" t="n">
        <v>240</v>
      </c>
      <c r="BC197" s="1" t="n">
        <v>252</v>
      </c>
      <c r="BD197" s="1"/>
      <c r="BE197" s="1" t="s">
        <v>3801</v>
      </c>
      <c r="BF197" s="1" t="str">
        <f aca="false">HYPERLINK("http://dx.doi.org/10.1007/978-3-031-42622-3_17","http://dx.doi.org/10.1007/978-3-031-42622-3_17")</f>
        <v>http://dx.doi.org/10.1007/978-3-031-42622-3_17</v>
      </c>
      <c r="BG197" s="1"/>
      <c r="BH197" s="1"/>
      <c r="BI197" s="1" t="n">
        <v>13</v>
      </c>
      <c r="BJ197" s="1" t="s">
        <v>310</v>
      </c>
      <c r="BK197" s="1" t="s">
        <v>100</v>
      </c>
      <c r="BL197" s="1" t="s">
        <v>311</v>
      </c>
      <c r="BM197" s="1" t="s">
        <v>2155</v>
      </c>
      <c r="BN197" s="1"/>
      <c r="BO197" s="1"/>
      <c r="BP197" s="1"/>
      <c r="BQ197" s="1"/>
      <c r="BR197" s="1" t="s">
        <v>103</v>
      </c>
      <c r="BS197" s="1" t="s">
        <v>3802</v>
      </c>
      <c r="BT197" s="1" t="str">
        <f aca="false">HYPERLINK("https%3A%2F%2Fwww.webofscience.com%2Fwos%2Fwoscc%2Ffull-record%2FWOS:001359444600017","View Full Record in Web of Science")</f>
        <v>View Full Record in Web of Science</v>
      </c>
    </row>
    <row r="198" customFormat="false" ht="12.75" hidden="false" customHeight="false" outlineLevel="0" collapsed="false">
      <c r="A198" s="1" t="s">
        <v>181</v>
      </c>
      <c r="B198" s="1" t="s">
        <v>3803</v>
      </c>
      <c r="C198" s="1"/>
      <c r="D198" s="1"/>
      <c r="E198" s="1"/>
      <c r="F198" s="1" t="s">
        <v>3804</v>
      </c>
      <c r="G198" s="1"/>
      <c r="H198" s="1"/>
      <c r="I198" s="1" t="s">
        <v>3805</v>
      </c>
      <c r="J198" s="1" t="s">
        <v>3806</v>
      </c>
      <c r="K198" s="1"/>
      <c r="L198" s="1"/>
      <c r="M198" s="1" t="s">
        <v>78</v>
      </c>
      <c r="N198" s="1" t="s">
        <v>186</v>
      </c>
      <c r="O198" s="1"/>
      <c r="P198" s="1"/>
      <c r="Q198" s="1"/>
      <c r="R198" s="1"/>
      <c r="S198" s="1"/>
      <c r="T198" s="1" t="s">
        <v>3807</v>
      </c>
      <c r="U198" s="1" t="s">
        <v>3808</v>
      </c>
      <c r="V198" s="1" t="s">
        <v>3809</v>
      </c>
      <c r="W198" s="1" t="s">
        <v>3810</v>
      </c>
      <c r="X198" s="1" t="s">
        <v>86</v>
      </c>
      <c r="Y198" s="1" t="s">
        <v>3811</v>
      </c>
      <c r="Z198" s="1" t="s">
        <v>3812</v>
      </c>
      <c r="AA198" s="1" t="s">
        <v>3813</v>
      </c>
      <c r="AB198" s="1" t="s">
        <v>3814</v>
      </c>
      <c r="AC198" s="1"/>
      <c r="AD198" s="1"/>
      <c r="AE198" s="1"/>
      <c r="AF198" s="1"/>
      <c r="AG198" s="1" t="n">
        <v>65</v>
      </c>
      <c r="AH198" s="1" t="n">
        <v>7</v>
      </c>
      <c r="AI198" s="1" t="n">
        <v>7</v>
      </c>
      <c r="AJ198" s="1" t="n">
        <v>2</v>
      </c>
      <c r="AK198" s="1" t="n">
        <v>16</v>
      </c>
      <c r="AL198" s="1" t="s">
        <v>367</v>
      </c>
      <c r="AM198" s="1" t="s">
        <v>368</v>
      </c>
      <c r="AN198" s="1" t="s">
        <v>369</v>
      </c>
      <c r="AO198" s="1" t="s">
        <v>3815</v>
      </c>
      <c r="AP198" s="1" t="s">
        <v>3816</v>
      </c>
      <c r="AQ198" s="1"/>
      <c r="AR198" s="1" t="s">
        <v>3817</v>
      </c>
      <c r="AS198" s="1" t="s">
        <v>3818</v>
      </c>
      <c r="AT198" s="1" t="s">
        <v>1391</v>
      </c>
      <c r="AU198" s="1" t="n">
        <v>2021</v>
      </c>
      <c r="AV198" s="1" t="n">
        <v>14</v>
      </c>
      <c r="AW198" s="1" t="n">
        <v>11</v>
      </c>
      <c r="AX198" s="1"/>
      <c r="AY198" s="1"/>
      <c r="AZ198" s="1"/>
      <c r="BA198" s="1"/>
      <c r="BB198" s="1"/>
      <c r="BC198" s="1"/>
      <c r="BD198" s="1" t="n">
        <v>552</v>
      </c>
      <c r="BE198" s="1" t="s">
        <v>3819</v>
      </c>
      <c r="BF198" s="1" t="str">
        <f aca="false">HYPERLINK("http://dx.doi.org/10.3390/jrfm14110552","http://dx.doi.org/10.3390/jrfm14110552")</f>
        <v>http://dx.doi.org/10.3390/jrfm14110552</v>
      </c>
      <c r="BG198" s="1"/>
      <c r="BH198" s="1"/>
      <c r="BI198" s="1" t="n">
        <v>32</v>
      </c>
      <c r="BJ198" s="1" t="s">
        <v>3820</v>
      </c>
      <c r="BK198" s="1" t="s">
        <v>253</v>
      </c>
      <c r="BL198" s="1" t="s">
        <v>715</v>
      </c>
      <c r="BM198" s="1" t="s">
        <v>3821</v>
      </c>
      <c r="BN198" s="1"/>
      <c r="BO198" s="1" t="s">
        <v>401</v>
      </c>
      <c r="BP198" s="1"/>
      <c r="BQ198" s="1"/>
      <c r="BR198" s="1" t="s">
        <v>103</v>
      </c>
      <c r="BS198" s="1" t="s">
        <v>3822</v>
      </c>
      <c r="BT198" s="1" t="str">
        <f aca="false">HYPERLINK("https%3A%2F%2Fwww.webofscience.com%2Fwos%2Fwoscc%2Ffull-record%2FWOS:000727069900001","View Full Record in Web of Science")</f>
        <v>View Full Record in Web of Science</v>
      </c>
    </row>
    <row r="199" customFormat="false" ht="12.75" hidden="false" customHeight="false" outlineLevel="0" collapsed="false">
      <c r="A199" s="1" t="s">
        <v>72</v>
      </c>
      <c r="B199" s="1" t="s">
        <v>3823</v>
      </c>
      <c r="C199" s="1"/>
      <c r="D199" s="1"/>
      <c r="E199" s="1" t="s">
        <v>106</v>
      </c>
      <c r="F199" s="1" t="s">
        <v>3824</v>
      </c>
      <c r="G199" s="1"/>
      <c r="H199" s="1"/>
      <c r="I199" s="1" t="s">
        <v>3825</v>
      </c>
      <c r="J199" s="1" t="s">
        <v>3290</v>
      </c>
      <c r="K199" s="1"/>
      <c r="L199" s="1"/>
      <c r="M199" s="1" t="s">
        <v>78</v>
      </c>
      <c r="N199" s="1" t="s">
        <v>79</v>
      </c>
      <c r="O199" s="1" t="s">
        <v>3291</v>
      </c>
      <c r="P199" s="1" t="s">
        <v>3292</v>
      </c>
      <c r="Q199" s="1" t="s">
        <v>320</v>
      </c>
      <c r="R199" s="1" t="s">
        <v>3293</v>
      </c>
      <c r="S199" s="1"/>
      <c r="T199" s="1"/>
      <c r="U199" s="1"/>
      <c r="V199" s="1" t="s">
        <v>3826</v>
      </c>
      <c r="W199" s="1" t="s">
        <v>3827</v>
      </c>
      <c r="X199" s="1" t="s">
        <v>86</v>
      </c>
      <c r="Y199" s="1" t="s">
        <v>3828</v>
      </c>
      <c r="Z199" s="1" t="s">
        <v>3829</v>
      </c>
      <c r="AA199" s="1" t="s">
        <v>3830</v>
      </c>
      <c r="AB199" s="1"/>
      <c r="AC199" s="1"/>
      <c r="AD199" s="1"/>
      <c r="AE199" s="1"/>
      <c r="AF199" s="1"/>
      <c r="AG199" s="1" t="n">
        <v>27</v>
      </c>
      <c r="AH199" s="1" t="n">
        <v>0</v>
      </c>
      <c r="AI199" s="1" t="n">
        <v>0</v>
      </c>
      <c r="AJ199" s="1" t="n">
        <v>2</v>
      </c>
      <c r="AK199" s="1" t="n">
        <v>18</v>
      </c>
      <c r="AL199" s="1" t="s">
        <v>106</v>
      </c>
      <c r="AM199" s="1" t="s">
        <v>95</v>
      </c>
      <c r="AN199" s="1" t="s">
        <v>122</v>
      </c>
      <c r="AO199" s="1"/>
      <c r="AP199" s="1"/>
      <c r="AQ199" s="1" t="s">
        <v>3299</v>
      </c>
      <c r="AR199" s="1"/>
      <c r="AS199" s="1"/>
      <c r="AT199" s="1"/>
      <c r="AU199" s="1" t="n">
        <v>2020</v>
      </c>
      <c r="AV199" s="1"/>
      <c r="AW199" s="1"/>
      <c r="AX199" s="1"/>
      <c r="AY199" s="1"/>
      <c r="AZ199" s="1"/>
      <c r="BA199" s="1"/>
      <c r="BB199" s="1" t="n">
        <v>119</v>
      </c>
      <c r="BC199" s="1" t="n">
        <v>124</v>
      </c>
      <c r="BD199" s="1"/>
      <c r="BE199" s="1" t="s">
        <v>3831</v>
      </c>
      <c r="BF199" s="1" t="str">
        <f aca="false">HYPERLINK("http://dx.doi.org/10.1109/comm48946.2020.9142035","http://dx.doi.org/10.1109/comm48946.2020.9142035")</f>
        <v>http://dx.doi.org/10.1109/comm48946.2020.9142035</v>
      </c>
      <c r="BG199" s="1"/>
      <c r="BH199" s="1"/>
      <c r="BI199" s="1" t="n">
        <v>6</v>
      </c>
      <c r="BJ199" s="1" t="s">
        <v>1117</v>
      </c>
      <c r="BK199" s="1" t="s">
        <v>100</v>
      </c>
      <c r="BL199" s="1" t="s">
        <v>1118</v>
      </c>
      <c r="BM199" s="1" t="s">
        <v>3301</v>
      </c>
      <c r="BN199" s="1"/>
      <c r="BO199" s="1" t="s">
        <v>227</v>
      </c>
      <c r="BP199" s="1"/>
      <c r="BQ199" s="1"/>
      <c r="BR199" s="1" t="s">
        <v>103</v>
      </c>
      <c r="BS199" s="1" t="s">
        <v>3832</v>
      </c>
      <c r="BT199" s="1" t="str">
        <f aca="false">HYPERLINK("https%3A%2F%2Fwww.webofscience.com%2Fwos%2Fwoscc%2Ffull-record%2FWOS:000612723900021","View Full Record in Web of Science")</f>
        <v>View Full Record in Web of Science</v>
      </c>
    </row>
    <row r="200" customFormat="false" ht="12.75" hidden="false" customHeight="false" outlineLevel="0" collapsed="false">
      <c r="A200" s="1" t="s">
        <v>181</v>
      </c>
      <c r="B200" s="1" t="s">
        <v>1952</v>
      </c>
      <c r="C200" s="1"/>
      <c r="D200" s="1"/>
      <c r="E200" s="1"/>
      <c r="F200" s="1" t="s">
        <v>1953</v>
      </c>
      <c r="G200" s="1"/>
      <c r="H200" s="1"/>
      <c r="I200" s="1" t="s">
        <v>3833</v>
      </c>
      <c r="J200" s="1" t="s">
        <v>2023</v>
      </c>
      <c r="K200" s="1"/>
      <c r="L200" s="1"/>
      <c r="M200" s="1" t="s">
        <v>78</v>
      </c>
      <c r="N200" s="1" t="s">
        <v>186</v>
      </c>
      <c r="O200" s="1"/>
      <c r="P200" s="1"/>
      <c r="Q200" s="1"/>
      <c r="R200" s="1"/>
      <c r="S200" s="1"/>
      <c r="T200" s="1" t="s">
        <v>3834</v>
      </c>
      <c r="U200" s="1" t="s">
        <v>3835</v>
      </c>
      <c r="V200" s="1" t="s">
        <v>3836</v>
      </c>
      <c r="W200" s="1" t="s">
        <v>3837</v>
      </c>
      <c r="X200" s="1" t="s">
        <v>912</v>
      </c>
      <c r="Y200" s="1" t="s">
        <v>3838</v>
      </c>
      <c r="Z200" s="1" t="s">
        <v>1961</v>
      </c>
      <c r="AA200" s="1"/>
      <c r="AB200" s="1"/>
      <c r="AC200" s="1" t="s">
        <v>3839</v>
      </c>
      <c r="AD200" s="1" t="s">
        <v>3840</v>
      </c>
      <c r="AE200" s="1" t="s">
        <v>3841</v>
      </c>
      <c r="AF200" s="1"/>
      <c r="AG200" s="1" t="n">
        <v>32</v>
      </c>
      <c r="AH200" s="1" t="n">
        <v>0</v>
      </c>
      <c r="AI200" s="1" t="n">
        <v>0</v>
      </c>
      <c r="AJ200" s="1" t="n">
        <v>0</v>
      </c>
      <c r="AK200" s="1" t="n">
        <v>0</v>
      </c>
      <c r="AL200" s="1" t="s">
        <v>1220</v>
      </c>
      <c r="AM200" s="1" t="s">
        <v>1221</v>
      </c>
      <c r="AN200" s="1" t="s">
        <v>1222</v>
      </c>
      <c r="AO200" s="1" t="s">
        <v>2031</v>
      </c>
      <c r="AP200" s="1" t="s">
        <v>2032</v>
      </c>
      <c r="AQ200" s="1"/>
      <c r="AR200" s="1" t="s">
        <v>2033</v>
      </c>
      <c r="AS200" s="1" t="s">
        <v>2034</v>
      </c>
      <c r="AT200" s="1" t="s">
        <v>3842</v>
      </c>
      <c r="AU200" s="1" t="n">
        <v>2022</v>
      </c>
      <c r="AV200" s="1" t="n">
        <v>36</v>
      </c>
      <c r="AW200" s="1" t="n">
        <v>4</v>
      </c>
      <c r="AX200" s="1"/>
      <c r="AY200" s="1"/>
      <c r="AZ200" s="1"/>
      <c r="BA200" s="1"/>
      <c r="BB200" s="1" t="n">
        <v>433</v>
      </c>
      <c r="BC200" s="1" t="n">
        <v>449</v>
      </c>
      <c r="BD200" s="1"/>
      <c r="BE200" s="1" t="s">
        <v>3843</v>
      </c>
      <c r="BF200" s="1" t="str">
        <f aca="false">HYPERLINK("http://dx.doi.org/10.1080/26892618.2021.1987372","http://dx.doi.org/10.1080/26892618.2021.1987372")</f>
        <v>http://dx.doi.org/10.1080/26892618.2021.1987372</v>
      </c>
      <c r="BG200" s="1"/>
      <c r="BH200" s="1"/>
      <c r="BI200" s="1" t="n">
        <v>17</v>
      </c>
      <c r="BJ200" s="1" t="s">
        <v>2037</v>
      </c>
      <c r="BK200" s="1" t="s">
        <v>253</v>
      </c>
      <c r="BL200" s="1" t="s">
        <v>2038</v>
      </c>
      <c r="BM200" s="1" t="s">
        <v>3844</v>
      </c>
      <c r="BN200" s="1"/>
      <c r="BO200" s="1" t="s">
        <v>612</v>
      </c>
      <c r="BP200" s="1"/>
      <c r="BQ200" s="1"/>
      <c r="BR200" s="1" t="s">
        <v>103</v>
      </c>
      <c r="BS200" s="1" t="s">
        <v>3845</v>
      </c>
      <c r="BT200" s="1" t="str">
        <f aca="false">HYPERLINK("https%3A%2F%2Fwww.webofscience.com%2Fwos%2Fwoscc%2Ffull-record%2FWOS:000889497000005","View Full Record in Web of Science")</f>
        <v>View Full Record in Web of Science</v>
      </c>
    </row>
    <row r="201" customFormat="false" ht="12.75" hidden="false" customHeight="false" outlineLevel="0" collapsed="false">
      <c r="A201" s="1" t="s">
        <v>181</v>
      </c>
      <c r="B201" s="1" t="s">
        <v>3846</v>
      </c>
      <c r="C201" s="1"/>
      <c r="D201" s="1"/>
      <c r="E201" s="1"/>
      <c r="F201" s="1" t="s">
        <v>3847</v>
      </c>
      <c r="G201" s="1"/>
      <c r="H201" s="1"/>
      <c r="I201" s="1" t="s">
        <v>3848</v>
      </c>
      <c r="J201" s="1" t="s">
        <v>381</v>
      </c>
      <c r="K201" s="1"/>
      <c r="L201" s="1"/>
      <c r="M201" s="1" t="s">
        <v>78</v>
      </c>
      <c r="N201" s="1" t="s">
        <v>186</v>
      </c>
      <c r="O201" s="1"/>
      <c r="P201" s="1"/>
      <c r="Q201" s="1"/>
      <c r="R201" s="1"/>
      <c r="S201" s="1"/>
      <c r="T201" s="1" t="s">
        <v>3849</v>
      </c>
      <c r="U201" s="1" t="s">
        <v>3850</v>
      </c>
      <c r="V201" s="1" t="s">
        <v>3851</v>
      </c>
      <c r="W201" s="1" t="s">
        <v>3852</v>
      </c>
      <c r="X201" s="1" t="s">
        <v>86</v>
      </c>
      <c r="Y201" s="1" t="s">
        <v>3853</v>
      </c>
      <c r="Z201" s="1" t="s">
        <v>3854</v>
      </c>
      <c r="AA201" s="1"/>
      <c r="AB201" s="1" t="s">
        <v>3855</v>
      </c>
      <c r="AC201" s="1"/>
      <c r="AD201" s="1"/>
      <c r="AE201" s="1"/>
      <c r="AF201" s="1"/>
      <c r="AG201" s="1" t="n">
        <v>44</v>
      </c>
      <c r="AH201" s="1" t="n">
        <v>0</v>
      </c>
      <c r="AI201" s="1" t="n">
        <v>0</v>
      </c>
      <c r="AJ201" s="1" t="n">
        <v>0</v>
      </c>
      <c r="AK201" s="1" t="n">
        <v>5</v>
      </c>
      <c r="AL201" s="1" t="s">
        <v>367</v>
      </c>
      <c r="AM201" s="1" t="s">
        <v>368</v>
      </c>
      <c r="AN201" s="1" t="s">
        <v>369</v>
      </c>
      <c r="AO201" s="1"/>
      <c r="AP201" s="1" t="s">
        <v>393</v>
      </c>
      <c r="AQ201" s="1"/>
      <c r="AR201" s="1" t="s">
        <v>394</v>
      </c>
      <c r="AS201" s="1" t="s">
        <v>395</v>
      </c>
      <c r="AT201" s="1" t="s">
        <v>277</v>
      </c>
      <c r="AU201" s="1" t="n">
        <v>2022</v>
      </c>
      <c r="AV201" s="1" t="n">
        <v>14</v>
      </c>
      <c r="AW201" s="1" t="n">
        <v>5</v>
      </c>
      <c r="AX201" s="1"/>
      <c r="AY201" s="1"/>
      <c r="AZ201" s="1"/>
      <c r="BA201" s="1"/>
      <c r="BB201" s="1"/>
      <c r="BC201" s="1"/>
      <c r="BD201" s="1" t="n">
        <v>2770</v>
      </c>
      <c r="BE201" s="1" t="s">
        <v>3856</v>
      </c>
      <c r="BF201" s="1" t="str">
        <f aca="false">HYPERLINK("http://dx.doi.org/10.3390/su14052770","http://dx.doi.org/10.3390/su14052770")</f>
        <v>http://dx.doi.org/10.3390/su14052770</v>
      </c>
      <c r="BG201" s="1"/>
      <c r="BH201" s="1"/>
      <c r="BI201" s="1" t="n">
        <v>24</v>
      </c>
      <c r="BJ201" s="1" t="s">
        <v>397</v>
      </c>
      <c r="BK201" s="1" t="s">
        <v>398</v>
      </c>
      <c r="BL201" s="1" t="s">
        <v>399</v>
      </c>
      <c r="BM201" s="1" t="s">
        <v>3857</v>
      </c>
      <c r="BN201" s="1"/>
      <c r="BO201" s="1" t="s">
        <v>542</v>
      </c>
      <c r="BP201" s="1"/>
      <c r="BQ201" s="1"/>
      <c r="BR201" s="1" t="s">
        <v>103</v>
      </c>
      <c r="BS201" s="1" t="s">
        <v>3858</v>
      </c>
      <c r="BT201" s="1" t="str">
        <f aca="false">HYPERLINK("https%3A%2F%2Fwww.webofscience.com%2Fwos%2Fwoscc%2Ffull-record%2FWOS:000768967100001","View Full Record in Web of Science")</f>
        <v>View Full Record in Web of Science</v>
      </c>
    </row>
    <row r="202" customFormat="false" ht="12.75" hidden="false" customHeight="false" outlineLevel="0" collapsed="false">
      <c r="A202" s="1" t="s">
        <v>181</v>
      </c>
      <c r="B202" s="1" t="s">
        <v>778</v>
      </c>
      <c r="C202" s="1"/>
      <c r="D202" s="1"/>
      <c r="E202" s="1"/>
      <c r="F202" s="1" t="s">
        <v>3859</v>
      </c>
      <c r="G202" s="1"/>
      <c r="H202" s="1"/>
      <c r="I202" s="1" t="s">
        <v>3860</v>
      </c>
      <c r="J202" s="1" t="s">
        <v>743</v>
      </c>
      <c r="K202" s="1"/>
      <c r="L202" s="1"/>
      <c r="M202" s="1" t="s">
        <v>78</v>
      </c>
      <c r="N202" s="1" t="s">
        <v>186</v>
      </c>
      <c r="O202" s="1"/>
      <c r="P202" s="1"/>
      <c r="Q202" s="1"/>
      <c r="R202" s="1"/>
      <c r="S202" s="1"/>
      <c r="T202" s="1" t="s">
        <v>3861</v>
      </c>
      <c r="U202" s="1" t="s">
        <v>3862</v>
      </c>
      <c r="V202" s="1" t="s">
        <v>3863</v>
      </c>
      <c r="W202" s="1" t="s">
        <v>3864</v>
      </c>
      <c r="X202" s="1" t="s">
        <v>86</v>
      </c>
      <c r="Y202" s="1" t="s">
        <v>527</v>
      </c>
      <c r="Z202" s="1" t="s">
        <v>3865</v>
      </c>
      <c r="AA202" s="1" t="s">
        <v>145</v>
      </c>
      <c r="AB202" s="1" t="s">
        <v>3866</v>
      </c>
      <c r="AC202" s="1" t="s">
        <v>3867</v>
      </c>
      <c r="AD202" s="1" t="s">
        <v>3868</v>
      </c>
      <c r="AE202" s="1" t="s">
        <v>3869</v>
      </c>
      <c r="AF202" s="1"/>
      <c r="AG202" s="1" t="n">
        <v>25</v>
      </c>
      <c r="AH202" s="1" t="n">
        <v>0</v>
      </c>
      <c r="AI202" s="1" t="n">
        <v>0</v>
      </c>
      <c r="AJ202" s="1" t="n">
        <v>0</v>
      </c>
      <c r="AK202" s="1" t="n">
        <v>6</v>
      </c>
      <c r="AL202" s="1" t="s">
        <v>367</v>
      </c>
      <c r="AM202" s="1" t="s">
        <v>368</v>
      </c>
      <c r="AN202" s="1" t="s">
        <v>369</v>
      </c>
      <c r="AO202" s="1"/>
      <c r="AP202" s="1" t="s">
        <v>751</v>
      </c>
      <c r="AQ202" s="1"/>
      <c r="AR202" s="1" t="s">
        <v>752</v>
      </c>
      <c r="AS202" s="1" t="s">
        <v>753</v>
      </c>
      <c r="AT202" s="1" t="s">
        <v>808</v>
      </c>
      <c r="AU202" s="1" t="n">
        <v>2021</v>
      </c>
      <c r="AV202" s="1" t="n">
        <v>10</v>
      </c>
      <c r="AW202" s="1" t="n">
        <v>13</v>
      </c>
      <c r="AX202" s="1"/>
      <c r="AY202" s="1"/>
      <c r="AZ202" s="1"/>
      <c r="BA202" s="1"/>
      <c r="BB202" s="1"/>
      <c r="BC202" s="1"/>
      <c r="BD202" s="1" t="n">
        <v>1527</v>
      </c>
      <c r="BE202" s="1" t="s">
        <v>3870</v>
      </c>
      <c r="BF202" s="1" t="str">
        <f aca="false">HYPERLINK("http://dx.doi.org/10.3390/electronics10131527","http://dx.doi.org/10.3390/electronics10131527")</f>
        <v>http://dx.doi.org/10.3390/electronics10131527</v>
      </c>
      <c r="BG202" s="1"/>
      <c r="BH202" s="1"/>
      <c r="BI202" s="1" t="n">
        <v>32</v>
      </c>
      <c r="BJ202" s="1" t="s">
        <v>756</v>
      </c>
      <c r="BK202" s="1" t="s">
        <v>204</v>
      </c>
      <c r="BL202" s="1" t="s">
        <v>757</v>
      </c>
      <c r="BM202" s="1" t="s">
        <v>3871</v>
      </c>
      <c r="BN202" s="1"/>
      <c r="BO202" s="1" t="s">
        <v>542</v>
      </c>
      <c r="BP202" s="1"/>
      <c r="BQ202" s="1"/>
      <c r="BR202" s="1" t="s">
        <v>103</v>
      </c>
      <c r="BS202" s="1" t="s">
        <v>3872</v>
      </c>
      <c r="BT202" s="1" t="str">
        <f aca="false">HYPERLINK("https%3A%2F%2Fwww.webofscience.com%2Fwos%2Fwoscc%2Ffull-record%2FWOS:000671188200001","View Full Record in Web of Science")</f>
        <v>View Full Record in Web of Science</v>
      </c>
    </row>
    <row r="203" customFormat="false" ht="12.75" hidden="false" customHeight="false" outlineLevel="0" collapsed="false">
      <c r="A203" s="1" t="s">
        <v>181</v>
      </c>
      <c r="B203" s="1" t="s">
        <v>3873</v>
      </c>
      <c r="C203" s="1"/>
      <c r="D203" s="1"/>
      <c r="E203" s="1"/>
      <c r="F203" s="1" t="s">
        <v>3874</v>
      </c>
      <c r="G203" s="1"/>
      <c r="H203" s="1"/>
      <c r="I203" s="1" t="s">
        <v>3875</v>
      </c>
      <c r="J203" s="1" t="s">
        <v>381</v>
      </c>
      <c r="K203" s="1"/>
      <c r="L203" s="1"/>
      <c r="M203" s="1" t="s">
        <v>78</v>
      </c>
      <c r="N203" s="1" t="s">
        <v>186</v>
      </c>
      <c r="O203" s="1"/>
      <c r="P203" s="1"/>
      <c r="Q203" s="1"/>
      <c r="R203" s="1"/>
      <c r="S203" s="1"/>
      <c r="T203" s="1" t="s">
        <v>3876</v>
      </c>
      <c r="U203" s="1" t="s">
        <v>1241</v>
      </c>
      <c r="V203" s="1" t="s">
        <v>3877</v>
      </c>
      <c r="W203" s="1" t="s">
        <v>3878</v>
      </c>
      <c r="X203" s="1" t="s">
        <v>86</v>
      </c>
      <c r="Y203" s="1" t="s">
        <v>3879</v>
      </c>
      <c r="Z203" s="1" t="s">
        <v>3880</v>
      </c>
      <c r="AA203" s="1"/>
      <c r="AB203" s="1" t="s">
        <v>3881</v>
      </c>
      <c r="AC203" s="1"/>
      <c r="AD203" s="1"/>
      <c r="AE203" s="1"/>
      <c r="AF203" s="1"/>
      <c r="AG203" s="1" t="n">
        <v>32</v>
      </c>
      <c r="AH203" s="1" t="n">
        <v>9</v>
      </c>
      <c r="AI203" s="1" t="n">
        <v>9</v>
      </c>
      <c r="AJ203" s="1" t="n">
        <v>1</v>
      </c>
      <c r="AK203" s="1" t="n">
        <v>8</v>
      </c>
      <c r="AL203" s="1" t="s">
        <v>367</v>
      </c>
      <c r="AM203" s="1" t="s">
        <v>368</v>
      </c>
      <c r="AN203" s="1" t="s">
        <v>369</v>
      </c>
      <c r="AO203" s="1"/>
      <c r="AP203" s="1" t="s">
        <v>393</v>
      </c>
      <c r="AQ203" s="1"/>
      <c r="AR203" s="1" t="s">
        <v>394</v>
      </c>
      <c r="AS203" s="1" t="s">
        <v>395</v>
      </c>
      <c r="AT203" s="1" t="s">
        <v>808</v>
      </c>
      <c r="AU203" s="1" t="n">
        <v>2020</v>
      </c>
      <c r="AV203" s="1" t="n">
        <v>12</v>
      </c>
      <c r="AW203" s="1" t="n">
        <v>13</v>
      </c>
      <c r="AX203" s="1"/>
      <c r="AY203" s="1"/>
      <c r="AZ203" s="1"/>
      <c r="BA203" s="1"/>
      <c r="BB203" s="1"/>
      <c r="BC203" s="1"/>
      <c r="BD203" s="1" t="n">
        <v>5389</v>
      </c>
      <c r="BE203" s="1" t="s">
        <v>3882</v>
      </c>
      <c r="BF203" s="1" t="str">
        <f aca="false">HYPERLINK("http://dx.doi.org/10.3390/su12135389","http://dx.doi.org/10.3390/su12135389")</f>
        <v>http://dx.doi.org/10.3390/su12135389</v>
      </c>
      <c r="BG203" s="1"/>
      <c r="BH203" s="1"/>
      <c r="BI203" s="1" t="n">
        <v>18</v>
      </c>
      <c r="BJ203" s="1" t="s">
        <v>397</v>
      </c>
      <c r="BK203" s="1" t="s">
        <v>398</v>
      </c>
      <c r="BL203" s="1" t="s">
        <v>399</v>
      </c>
      <c r="BM203" s="1" t="s">
        <v>3883</v>
      </c>
      <c r="BN203" s="1"/>
      <c r="BO203" s="1" t="s">
        <v>401</v>
      </c>
      <c r="BP203" s="1"/>
      <c r="BQ203" s="1"/>
      <c r="BR203" s="1" t="s">
        <v>103</v>
      </c>
      <c r="BS203" s="1" t="s">
        <v>3884</v>
      </c>
      <c r="BT203" s="1" t="str">
        <f aca="false">HYPERLINK("https%3A%2F%2Fwww.webofscience.com%2Fwos%2Fwoscc%2Ffull-record%2FWOS:000555035500001","View Full Record in Web of Science")</f>
        <v>View Full Record in Web of Science</v>
      </c>
    </row>
    <row r="204" customFormat="false" ht="12.75" hidden="false" customHeight="false" outlineLevel="0" collapsed="false">
      <c r="A204" s="1" t="s">
        <v>181</v>
      </c>
      <c r="B204" s="1" t="s">
        <v>3885</v>
      </c>
      <c r="C204" s="1"/>
      <c r="D204" s="1"/>
      <c r="E204" s="1"/>
      <c r="F204" s="1" t="s">
        <v>3886</v>
      </c>
      <c r="G204" s="1"/>
      <c r="H204" s="1"/>
      <c r="I204" s="1" t="s">
        <v>3887</v>
      </c>
      <c r="J204" s="1" t="s">
        <v>1014</v>
      </c>
      <c r="K204" s="1"/>
      <c r="L204" s="1"/>
      <c r="M204" s="1" t="s">
        <v>78</v>
      </c>
      <c r="N204" s="1" t="s">
        <v>186</v>
      </c>
      <c r="O204" s="1"/>
      <c r="P204" s="1"/>
      <c r="Q204" s="1"/>
      <c r="R204" s="1"/>
      <c r="S204" s="1"/>
      <c r="T204" s="1" t="s">
        <v>3888</v>
      </c>
      <c r="U204" s="1" t="s">
        <v>3889</v>
      </c>
      <c r="V204" s="1" t="s">
        <v>3890</v>
      </c>
      <c r="W204" s="1" t="s">
        <v>3891</v>
      </c>
      <c r="X204" s="1" t="s">
        <v>86</v>
      </c>
      <c r="Y204" s="1" t="s">
        <v>3892</v>
      </c>
      <c r="Z204" s="1" t="s">
        <v>3893</v>
      </c>
      <c r="AA204" s="1" t="s">
        <v>3894</v>
      </c>
      <c r="AB204" s="1" t="s">
        <v>3895</v>
      </c>
      <c r="AC204" s="1"/>
      <c r="AD204" s="1"/>
      <c r="AE204" s="1"/>
      <c r="AF204" s="1"/>
      <c r="AG204" s="1" t="n">
        <v>97</v>
      </c>
      <c r="AH204" s="1" t="n">
        <v>10</v>
      </c>
      <c r="AI204" s="1" t="n">
        <v>11</v>
      </c>
      <c r="AJ204" s="1" t="n">
        <v>11</v>
      </c>
      <c r="AK204" s="1" t="n">
        <v>28</v>
      </c>
      <c r="AL204" s="1" t="s">
        <v>1025</v>
      </c>
      <c r="AM204" s="1" t="s">
        <v>3615</v>
      </c>
      <c r="AN204" s="1" t="s">
        <v>3616</v>
      </c>
      <c r="AO204" s="1" t="s">
        <v>1028</v>
      </c>
      <c r="AP204" s="1" t="s">
        <v>1029</v>
      </c>
      <c r="AQ204" s="1"/>
      <c r="AR204" s="1" t="s">
        <v>1030</v>
      </c>
      <c r="AS204" s="1" t="s">
        <v>1031</v>
      </c>
      <c r="AT204" s="1" t="s">
        <v>3896</v>
      </c>
      <c r="AU204" s="1" t="n">
        <v>2023</v>
      </c>
      <c r="AV204" s="1" t="n">
        <v>422</v>
      </c>
      <c r="AW204" s="1"/>
      <c r="AX204" s="1"/>
      <c r="AY204" s="1"/>
      <c r="AZ204" s="1"/>
      <c r="BA204" s="1"/>
      <c r="BB204" s="1"/>
      <c r="BC204" s="1"/>
      <c r="BD204" s="1" t="n">
        <v>138356</v>
      </c>
      <c r="BE204" s="1" t="s">
        <v>3897</v>
      </c>
      <c r="BF204" s="1" t="str">
        <f aca="false">HYPERLINK("http://dx.doi.org/10.1016/j.jclepro.2023.138356","http://dx.doi.org/10.1016/j.jclepro.2023.138356")</f>
        <v>http://dx.doi.org/10.1016/j.jclepro.2023.138356</v>
      </c>
      <c r="BG204" s="1"/>
      <c r="BH204" s="1" t="s">
        <v>3898</v>
      </c>
      <c r="BI204" s="1" t="n">
        <v>23</v>
      </c>
      <c r="BJ204" s="1" t="s">
        <v>1034</v>
      </c>
      <c r="BK204" s="1" t="s">
        <v>204</v>
      </c>
      <c r="BL204" s="1" t="s">
        <v>1035</v>
      </c>
      <c r="BM204" s="1" t="s">
        <v>3899</v>
      </c>
      <c r="BN204" s="1"/>
      <c r="BO204" s="1" t="s">
        <v>207</v>
      </c>
      <c r="BP204" s="1"/>
      <c r="BQ204" s="1"/>
      <c r="BR204" s="1" t="s">
        <v>103</v>
      </c>
      <c r="BS204" s="1" t="s">
        <v>3900</v>
      </c>
      <c r="BT204" s="1" t="str">
        <f aca="false">HYPERLINK("https%3A%2F%2Fwww.webofscience.com%2Fwos%2Fwoscc%2Ffull-record%2FWOS:001075946800001","View Full Record in Web of Science")</f>
        <v>View Full Record in Web of Science</v>
      </c>
    </row>
    <row r="205" customFormat="false" ht="12.75" hidden="false" customHeight="false" outlineLevel="0" collapsed="false">
      <c r="A205" s="1" t="s">
        <v>181</v>
      </c>
      <c r="B205" s="1" t="s">
        <v>3901</v>
      </c>
      <c r="C205" s="1"/>
      <c r="D205" s="1"/>
      <c r="E205" s="1"/>
      <c r="F205" s="1" t="s">
        <v>3902</v>
      </c>
      <c r="G205" s="1"/>
      <c r="H205" s="1"/>
      <c r="I205" s="1" t="s">
        <v>3903</v>
      </c>
      <c r="J205" s="1" t="s">
        <v>3700</v>
      </c>
      <c r="K205" s="1"/>
      <c r="L205" s="1"/>
      <c r="M205" s="1" t="s">
        <v>78</v>
      </c>
      <c r="N205" s="1" t="s">
        <v>186</v>
      </c>
      <c r="O205" s="1"/>
      <c r="P205" s="1"/>
      <c r="Q205" s="1"/>
      <c r="R205" s="1"/>
      <c r="S205" s="1"/>
      <c r="T205" s="1" t="s">
        <v>3904</v>
      </c>
      <c r="U205" s="1"/>
      <c r="V205" s="1" t="s">
        <v>3905</v>
      </c>
      <c r="W205" s="1" t="s">
        <v>3906</v>
      </c>
      <c r="X205" s="1" t="s">
        <v>86</v>
      </c>
      <c r="Y205" s="1" t="s">
        <v>1863</v>
      </c>
      <c r="Z205" s="1" t="s">
        <v>3907</v>
      </c>
      <c r="AA205" s="1" t="s">
        <v>3908</v>
      </c>
      <c r="AB205" s="1" t="s">
        <v>3187</v>
      </c>
      <c r="AC205" s="1"/>
      <c r="AD205" s="1"/>
      <c r="AE205" s="1"/>
      <c r="AF205" s="1"/>
      <c r="AG205" s="1" t="n">
        <v>41</v>
      </c>
      <c r="AH205" s="1" t="n">
        <v>0</v>
      </c>
      <c r="AI205" s="1" t="n">
        <v>0</v>
      </c>
      <c r="AJ205" s="1" t="n">
        <v>2</v>
      </c>
      <c r="AK205" s="1" t="n">
        <v>2</v>
      </c>
      <c r="AL205" s="1" t="s">
        <v>3711</v>
      </c>
      <c r="AM205" s="1" t="s">
        <v>95</v>
      </c>
      <c r="AN205" s="1" t="s">
        <v>3712</v>
      </c>
      <c r="AO205" s="1" t="s">
        <v>3713</v>
      </c>
      <c r="AP205" s="1" t="s">
        <v>3714</v>
      </c>
      <c r="AQ205" s="1"/>
      <c r="AR205" s="1" t="s">
        <v>3715</v>
      </c>
      <c r="AS205" s="1" t="s">
        <v>3716</v>
      </c>
      <c r="AT205" s="1" t="s">
        <v>711</v>
      </c>
      <c r="AU205" s="1" t="n">
        <v>2023</v>
      </c>
      <c r="AV205" s="1" t="n">
        <v>202</v>
      </c>
      <c r="AW205" s="1"/>
      <c r="AX205" s="1"/>
      <c r="AY205" s="1"/>
      <c r="AZ205" s="1"/>
      <c r="BA205" s="1"/>
      <c r="BB205" s="1"/>
      <c r="BC205" s="1"/>
      <c r="BD205" s="1" t="n">
        <v>111697</v>
      </c>
      <c r="BE205" s="1" t="s">
        <v>3909</v>
      </c>
      <c r="BF205" s="1" t="str">
        <f aca="false">HYPERLINK("http://dx.doi.org/10.1016/j.jss.2023.111697","http://dx.doi.org/10.1016/j.jss.2023.111697")</f>
        <v>http://dx.doi.org/10.1016/j.jss.2023.111697</v>
      </c>
      <c r="BG205" s="1"/>
      <c r="BH205" s="1" t="s">
        <v>713</v>
      </c>
      <c r="BI205" s="1" t="n">
        <v>15</v>
      </c>
      <c r="BJ205" s="1" t="s">
        <v>994</v>
      </c>
      <c r="BK205" s="1" t="s">
        <v>204</v>
      </c>
      <c r="BL205" s="1" t="s">
        <v>101</v>
      </c>
      <c r="BM205" s="1" t="s">
        <v>3910</v>
      </c>
      <c r="BN205" s="1"/>
      <c r="BO205" s="1" t="s">
        <v>207</v>
      </c>
      <c r="BP205" s="1"/>
      <c r="BQ205" s="1"/>
      <c r="BR205" s="1" t="s">
        <v>103</v>
      </c>
      <c r="BS205" s="1" t="s">
        <v>3911</v>
      </c>
      <c r="BT205" s="1" t="str">
        <f aca="false">HYPERLINK("https%3A%2F%2Fwww.webofscience.com%2Fwos%2Fwoscc%2Ffull-record%2FWOS:000989289800001","View Full Record in Web of Science")</f>
        <v>View Full Record in Web of Science</v>
      </c>
    </row>
    <row r="206" customFormat="false" ht="12.75" hidden="false" customHeight="false" outlineLevel="0" collapsed="false">
      <c r="A206" s="1" t="s">
        <v>181</v>
      </c>
      <c r="B206" s="1" t="s">
        <v>3912</v>
      </c>
      <c r="C206" s="1"/>
      <c r="D206" s="1"/>
      <c r="E206" s="1"/>
      <c r="F206" s="1" t="s">
        <v>3913</v>
      </c>
      <c r="G206" s="1"/>
      <c r="H206" s="1"/>
      <c r="I206" s="1" t="s">
        <v>3914</v>
      </c>
      <c r="J206" s="1" t="s">
        <v>3915</v>
      </c>
      <c r="K206" s="1"/>
      <c r="L206" s="1"/>
      <c r="M206" s="1" t="s">
        <v>78</v>
      </c>
      <c r="N206" s="1" t="s">
        <v>186</v>
      </c>
      <c r="O206" s="1"/>
      <c r="P206" s="1"/>
      <c r="Q206" s="1"/>
      <c r="R206" s="1"/>
      <c r="S206" s="1"/>
      <c r="T206" s="1"/>
      <c r="U206" s="1" t="s">
        <v>3916</v>
      </c>
      <c r="V206" s="1" t="s">
        <v>3917</v>
      </c>
      <c r="W206" s="1" t="s">
        <v>3918</v>
      </c>
      <c r="X206" s="1" t="s">
        <v>86</v>
      </c>
      <c r="Y206" s="1" t="s">
        <v>3919</v>
      </c>
      <c r="Z206" s="1" t="s">
        <v>3920</v>
      </c>
      <c r="AA206" s="1" t="s">
        <v>3921</v>
      </c>
      <c r="AB206" s="1" t="s">
        <v>3922</v>
      </c>
      <c r="AC206" s="1"/>
      <c r="AD206" s="1"/>
      <c r="AE206" s="1"/>
      <c r="AF206" s="1"/>
      <c r="AG206" s="1" t="n">
        <v>45</v>
      </c>
      <c r="AH206" s="1" t="n">
        <v>3</v>
      </c>
      <c r="AI206" s="1" t="n">
        <v>3</v>
      </c>
      <c r="AJ206" s="1" t="n">
        <v>0</v>
      </c>
      <c r="AK206" s="1" t="n">
        <v>8</v>
      </c>
      <c r="AL206" s="1" t="s">
        <v>3923</v>
      </c>
      <c r="AM206" s="1" t="s">
        <v>3924</v>
      </c>
      <c r="AN206" s="1" t="s">
        <v>3925</v>
      </c>
      <c r="AO206" s="1" t="s">
        <v>3926</v>
      </c>
      <c r="AP206" s="1" t="s">
        <v>3927</v>
      </c>
      <c r="AQ206" s="1"/>
      <c r="AR206" s="1" t="s">
        <v>3928</v>
      </c>
      <c r="AS206" s="1" t="s">
        <v>3929</v>
      </c>
      <c r="AT206" s="1" t="s">
        <v>3930</v>
      </c>
      <c r="AU206" s="1" t="n">
        <v>2023</v>
      </c>
      <c r="AV206" s="1" t="n">
        <v>16</v>
      </c>
      <c r="AW206" s="1" t="n">
        <v>7</v>
      </c>
      <c r="AX206" s="1"/>
      <c r="AY206" s="1"/>
      <c r="AZ206" s="1"/>
      <c r="BA206" s="1"/>
      <c r="BB206" s="1" t="n">
        <v>1849</v>
      </c>
      <c r="BC206" s="1" t="n">
        <v>1864</v>
      </c>
      <c r="BD206" s="1"/>
      <c r="BE206" s="1" t="s">
        <v>3931</v>
      </c>
      <c r="BF206" s="1" t="str">
        <f aca="false">HYPERLINK("http://dx.doi.org/10.5194/amt-16-1849-2023","http://dx.doi.org/10.5194/amt-16-1849-2023")</f>
        <v>http://dx.doi.org/10.5194/amt-16-1849-2023</v>
      </c>
      <c r="BG206" s="1"/>
      <c r="BH206" s="1"/>
      <c r="BI206" s="1" t="n">
        <v>16</v>
      </c>
      <c r="BJ206" s="1" t="s">
        <v>3932</v>
      </c>
      <c r="BK206" s="1" t="s">
        <v>204</v>
      </c>
      <c r="BL206" s="1" t="s">
        <v>3932</v>
      </c>
      <c r="BM206" s="1" t="s">
        <v>3933</v>
      </c>
      <c r="BN206" s="1"/>
      <c r="BO206" s="1" t="s">
        <v>642</v>
      </c>
      <c r="BP206" s="1"/>
      <c r="BQ206" s="1"/>
      <c r="BR206" s="1" t="s">
        <v>103</v>
      </c>
      <c r="BS206" s="1" t="s">
        <v>3934</v>
      </c>
      <c r="BT206" s="1" t="str">
        <f aca="false">HYPERLINK("https%3A%2F%2Fwww.webofscience.com%2Fwos%2Fwoscc%2Ffull-record%2FWOS:000962705900001","View Full Record in Web of Science")</f>
        <v>View Full Record in Web of Science</v>
      </c>
    </row>
    <row r="207" customFormat="false" ht="12.75" hidden="false" customHeight="false" outlineLevel="0" collapsed="false">
      <c r="A207" s="1" t="s">
        <v>181</v>
      </c>
      <c r="B207" s="1" t="s">
        <v>3935</v>
      </c>
      <c r="C207" s="1"/>
      <c r="D207" s="1"/>
      <c r="E207" s="1"/>
      <c r="F207" s="1" t="s">
        <v>3936</v>
      </c>
      <c r="G207" s="1"/>
      <c r="H207" s="1"/>
      <c r="I207" s="1" t="s">
        <v>3937</v>
      </c>
      <c r="J207" s="1" t="s">
        <v>3700</v>
      </c>
      <c r="K207" s="1"/>
      <c r="L207" s="1"/>
      <c r="M207" s="1" t="s">
        <v>78</v>
      </c>
      <c r="N207" s="1" t="s">
        <v>186</v>
      </c>
      <c r="O207" s="1"/>
      <c r="P207" s="1"/>
      <c r="Q207" s="1"/>
      <c r="R207" s="1"/>
      <c r="S207" s="1"/>
      <c r="T207" s="1" t="s">
        <v>3938</v>
      </c>
      <c r="U207" s="1" t="s">
        <v>3939</v>
      </c>
      <c r="V207" s="1" t="s">
        <v>3940</v>
      </c>
      <c r="W207" s="1" t="s">
        <v>3941</v>
      </c>
      <c r="X207" s="1" t="s">
        <v>912</v>
      </c>
      <c r="Y207" s="1" t="s">
        <v>3942</v>
      </c>
      <c r="Z207" s="1" t="s">
        <v>3943</v>
      </c>
      <c r="AA207" s="1" t="s">
        <v>3944</v>
      </c>
      <c r="AB207" s="1" t="s">
        <v>1386</v>
      </c>
      <c r="AC207" s="1"/>
      <c r="AD207" s="1"/>
      <c r="AE207" s="1"/>
      <c r="AF207" s="1"/>
      <c r="AG207" s="1" t="n">
        <v>145</v>
      </c>
      <c r="AH207" s="1" t="n">
        <v>7</v>
      </c>
      <c r="AI207" s="1" t="n">
        <v>8</v>
      </c>
      <c r="AJ207" s="1" t="n">
        <v>4</v>
      </c>
      <c r="AK207" s="1" t="n">
        <v>9</v>
      </c>
      <c r="AL207" s="1" t="s">
        <v>3711</v>
      </c>
      <c r="AM207" s="1" t="s">
        <v>95</v>
      </c>
      <c r="AN207" s="1" t="s">
        <v>3712</v>
      </c>
      <c r="AO207" s="1" t="s">
        <v>3713</v>
      </c>
      <c r="AP207" s="1" t="s">
        <v>3714</v>
      </c>
      <c r="AQ207" s="1"/>
      <c r="AR207" s="1" t="s">
        <v>3715</v>
      </c>
      <c r="AS207" s="1" t="s">
        <v>3716</v>
      </c>
      <c r="AT207" s="1" t="s">
        <v>421</v>
      </c>
      <c r="AU207" s="1" t="n">
        <v>2023</v>
      </c>
      <c r="AV207" s="1" t="n">
        <v>198</v>
      </c>
      <c r="AW207" s="1"/>
      <c r="AX207" s="1"/>
      <c r="AY207" s="1"/>
      <c r="AZ207" s="1"/>
      <c r="BA207" s="1"/>
      <c r="BB207" s="1"/>
      <c r="BC207" s="1"/>
      <c r="BD207" s="1" t="n">
        <v>111592</v>
      </c>
      <c r="BE207" s="1" t="s">
        <v>3945</v>
      </c>
      <c r="BF207" s="1" t="str">
        <f aca="false">HYPERLINK("http://dx.doi.org/10.1016/j.jss.2022.111592","http://dx.doi.org/10.1016/j.jss.2022.111592")</f>
        <v>http://dx.doi.org/10.1016/j.jss.2022.111592</v>
      </c>
      <c r="BG207" s="1"/>
      <c r="BH207" s="1" t="s">
        <v>3946</v>
      </c>
      <c r="BI207" s="1" t="n">
        <v>16</v>
      </c>
      <c r="BJ207" s="1" t="s">
        <v>994</v>
      </c>
      <c r="BK207" s="1" t="s">
        <v>204</v>
      </c>
      <c r="BL207" s="1" t="s">
        <v>101</v>
      </c>
      <c r="BM207" s="1" t="s">
        <v>3947</v>
      </c>
      <c r="BN207" s="1"/>
      <c r="BO207" s="1" t="s">
        <v>1373</v>
      </c>
      <c r="BP207" s="1"/>
      <c r="BQ207" s="1"/>
      <c r="BR207" s="1" t="s">
        <v>103</v>
      </c>
      <c r="BS207" s="1" t="s">
        <v>3948</v>
      </c>
      <c r="BT207" s="1" t="str">
        <f aca="false">HYPERLINK("https%3A%2F%2Fwww.webofscience.com%2Fwos%2Fwoscc%2Ffull-record%2FWOS:000915632900001","View Full Record in Web of Science")</f>
        <v>View Full Record in Web of Science</v>
      </c>
    </row>
    <row r="208" customFormat="false" ht="12.75" hidden="false" customHeight="false" outlineLevel="0" collapsed="false">
      <c r="A208" s="1" t="s">
        <v>181</v>
      </c>
      <c r="B208" s="1" t="s">
        <v>3949</v>
      </c>
      <c r="C208" s="1"/>
      <c r="D208" s="1"/>
      <c r="E208" s="1"/>
      <c r="F208" s="1" t="s">
        <v>3950</v>
      </c>
      <c r="G208" s="1"/>
      <c r="H208" s="1"/>
      <c r="I208" s="1" t="s">
        <v>3951</v>
      </c>
      <c r="J208" s="1" t="s">
        <v>1378</v>
      </c>
      <c r="K208" s="1"/>
      <c r="L208" s="1"/>
      <c r="M208" s="1" t="s">
        <v>78</v>
      </c>
      <c r="N208" s="1" t="s">
        <v>186</v>
      </c>
      <c r="O208" s="1"/>
      <c r="P208" s="1"/>
      <c r="Q208" s="1"/>
      <c r="R208" s="1"/>
      <c r="S208" s="1"/>
      <c r="T208" s="1" t="s">
        <v>3952</v>
      </c>
      <c r="U208" s="1"/>
      <c r="V208" s="1" t="s">
        <v>3953</v>
      </c>
      <c r="W208" s="1" t="s">
        <v>3954</v>
      </c>
      <c r="X208" s="1" t="s">
        <v>86</v>
      </c>
      <c r="Y208" s="1" t="s">
        <v>3955</v>
      </c>
      <c r="Z208" s="1" t="s">
        <v>3956</v>
      </c>
      <c r="AA208" s="1"/>
      <c r="AB208" s="1"/>
      <c r="AC208" s="1"/>
      <c r="AD208" s="1"/>
      <c r="AE208" s="1"/>
      <c r="AF208" s="1"/>
      <c r="AG208" s="1" t="n">
        <v>5</v>
      </c>
      <c r="AH208" s="1" t="n">
        <v>1</v>
      </c>
      <c r="AI208" s="1" t="n">
        <v>1</v>
      </c>
      <c r="AJ208" s="1" t="n">
        <v>2</v>
      </c>
      <c r="AK208" s="1" t="n">
        <v>8</v>
      </c>
      <c r="AL208" s="1" t="s">
        <v>893</v>
      </c>
      <c r="AM208" s="1" t="s">
        <v>894</v>
      </c>
      <c r="AN208" s="1" t="s">
        <v>895</v>
      </c>
      <c r="AO208" s="1" t="s">
        <v>1387</v>
      </c>
      <c r="AP208" s="1" t="s">
        <v>1388</v>
      </c>
      <c r="AQ208" s="1"/>
      <c r="AR208" s="1" t="s">
        <v>1389</v>
      </c>
      <c r="AS208" s="1" t="s">
        <v>1390</v>
      </c>
      <c r="AT208" s="1" t="s">
        <v>808</v>
      </c>
      <c r="AU208" s="1" t="n">
        <v>2024</v>
      </c>
      <c r="AV208" s="1" t="n">
        <v>171</v>
      </c>
      <c r="AW208" s="1"/>
      <c r="AX208" s="1"/>
      <c r="AY208" s="1"/>
      <c r="AZ208" s="1"/>
      <c r="BA208" s="1"/>
      <c r="BB208" s="1"/>
      <c r="BC208" s="1"/>
      <c r="BD208" s="1" t="n">
        <v>107452</v>
      </c>
      <c r="BE208" s="1" t="s">
        <v>3957</v>
      </c>
      <c r="BF208" s="1" t="str">
        <f aca="false">HYPERLINK("http://dx.doi.org/10.1016/j.infsof.2024.107452","http://dx.doi.org/10.1016/j.infsof.2024.107452")</f>
        <v>http://dx.doi.org/10.1016/j.infsof.2024.107452</v>
      </c>
      <c r="BG208" s="1"/>
      <c r="BH208" s="1" t="s">
        <v>2019</v>
      </c>
      <c r="BI208" s="1" t="n">
        <v>3</v>
      </c>
      <c r="BJ208" s="1" t="s">
        <v>1394</v>
      </c>
      <c r="BK208" s="1" t="s">
        <v>204</v>
      </c>
      <c r="BL208" s="1" t="s">
        <v>101</v>
      </c>
      <c r="BM208" s="1" t="s">
        <v>3958</v>
      </c>
      <c r="BN208" s="1"/>
      <c r="BO208" s="1" t="s">
        <v>282</v>
      </c>
      <c r="BP208" s="1"/>
      <c r="BQ208" s="1"/>
      <c r="BR208" s="1" t="s">
        <v>103</v>
      </c>
      <c r="BS208" s="1" t="s">
        <v>3959</v>
      </c>
      <c r="BT208" s="1" t="str">
        <f aca="false">HYPERLINK("https%3A%2F%2Fwww.webofscience.com%2Fwos%2Fwoscc%2Ffull-record%2FWOS:001205391500001","View Full Record in Web of Science")</f>
        <v>View Full Record in Web of Science</v>
      </c>
    </row>
    <row r="209" customFormat="false" ht="12.75" hidden="false" customHeight="false" outlineLevel="0" collapsed="false">
      <c r="A209" s="1" t="s">
        <v>72</v>
      </c>
      <c r="B209" s="1" t="s">
        <v>3960</v>
      </c>
      <c r="C209" s="1"/>
      <c r="D209" s="1" t="s">
        <v>3961</v>
      </c>
      <c r="E209" s="1"/>
      <c r="F209" s="1" t="s">
        <v>3962</v>
      </c>
      <c r="G209" s="1"/>
      <c r="H209" s="1"/>
      <c r="I209" s="1" t="s">
        <v>3963</v>
      </c>
      <c r="J209" s="1" t="s">
        <v>3964</v>
      </c>
      <c r="K209" s="1"/>
      <c r="L209" s="1"/>
      <c r="M209" s="1" t="s">
        <v>78</v>
      </c>
      <c r="N209" s="1" t="s">
        <v>79</v>
      </c>
      <c r="O209" s="1" t="s">
        <v>3965</v>
      </c>
      <c r="P209" s="1" t="s">
        <v>3966</v>
      </c>
      <c r="Q209" s="1" t="s">
        <v>3967</v>
      </c>
      <c r="R209" s="1" t="s">
        <v>3968</v>
      </c>
      <c r="S209" s="1"/>
      <c r="T209" s="1" t="s">
        <v>3969</v>
      </c>
      <c r="U209" s="1"/>
      <c r="V209" s="1" t="s">
        <v>3970</v>
      </c>
      <c r="W209" s="1" t="s">
        <v>3971</v>
      </c>
      <c r="X209" s="1" t="s">
        <v>86</v>
      </c>
      <c r="Y209" s="1" t="s">
        <v>3972</v>
      </c>
      <c r="Z209" s="1"/>
      <c r="AA209" s="1" t="s">
        <v>3973</v>
      </c>
      <c r="AB209" s="1"/>
      <c r="AC209" s="1"/>
      <c r="AD209" s="1"/>
      <c r="AE209" s="1"/>
      <c r="AF209" s="1"/>
      <c r="AG209" s="1" t="n">
        <v>25</v>
      </c>
      <c r="AH209" s="1" t="n">
        <v>0</v>
      </c>
      <c r="AI209" s="1" t="n">
        <v>0</v>
      </c>
      <c r="AJ209" s="1" t="n">
        <v>0</v>
      </c>
      <c r="AK209" s="1" t="n">
        <v>0</v>
      </c>
      <c r="AL209" s="1" t="s">
        <v>106</v>
      </c>
      <c r="AM209" s="1" t="s">
        <v>95</v>
      </c>
      <c r="AN209" s="1" t="s">
        <v>122</v>
      </c>
      <c r="AO209" s="1"/>
      <c r="AP209" s="1"/>
      <c r="AQ209" s="1" t="s">
        <v>3974</v>
      </c>
      <c r="AR209" s="1"/>
      <c r="AS209" s="1"/>
      <c r="AT209" s="1"/>
      <c r="AU209" s="1" t="n">
        <v>2024</v>
      </c>
      <c r="AV209" s="1"/>
      <c r="AW209" s="1"/>
      <c r="AX209" s="1"/>
      <c r="AY209" s="1"/>
      <c r="AZ209" s="1"/>
      <c r="BA209" s="1"/>
      <c r="BB209" s="1" t="n">
        <v>114</v>
      </c>
      <c r="BC209" s="1" t="n">
        <v>121</v>
      </c>
      <c r="BD209" s="1"/>
      <c r="BE209" s="1" t="s">
        <v>3975</v>
      </c>
      <c r="BF209" s="1" t="str">
        <f aca="false">HYPERLINK("http://dx.doi.org/10.1109/FMEC62297.2024.10710218","http://dx.doi.org/10.1109/FMEC62297.2024.10710218")</f>
        <v>http://dx.doi.org/10.1109/FMEC62297.2024.10710218</v>
      </c>
      <c r="BG209" s="1"/>
      <c r="BH209" s="1"/>
      <c r="BI209" s="1" t="n">
        <v>8</v>
      </c>
      <c r="BJ209" s="1" t="s">
        <v>2136</v>
      </c>
      <c r="BK209" s="1" t="s">
        <v>100</v>
      </c>
      <c r="BL209" s="1" t="s">
        <v>101</v>
      </c>
      <c r="BM209" s="1" t="s">
        <v>3976</v>
      </c>
      <c r="BN209" s="1"/>
      <c r="BO209" s="1"/>
      <c r="BP209" s="1"/>
      <c r="BQ209" s="1"/>
      <c r="BR209" s="1" t="s">
        <v>103</v>
      </c>
      <c r="BS209" s="1" t="s">
        <v>3977</v>
      </c>
      <c r="BT209" s="1" t="str">
        <f aca="false">HYPERLINK("https%3A%2F%2Fwww.webofscience.com%2Fwos%2Fwoscc%2Ffull-record%2FWOS:001343069600015","View Full Record in Web of Science")</f>
        <v>View Full Record in Web of Science</v>
      </c>
    </row>
    <row r="210" customFormat="false" ht="12.75" hidden="false" customHeight="false" outlineLevel="0" collapsed="false">
      <c r="A210" s="1" t="s">
        <v>72</v>
      </c>
      <c r="B210" s="1" t="s">
        <v>3978</v>
      </c>
      <c r="C210" s="1"/>
      <c r="D210" s="1" t="s">
        <v>3979</v>
      </c>
      <c r="E210" s="1"/>
      <c r="F210" s="1" t="s">
        <v>3980</v>
      </c>
      <c r="G210" s="1"/>
      <c r="H210" s="1"/>
      <c r="I210" s="1" t="s">
        <v>3981</v>
      </c>
      <c r="J210" s="1" t="s">
        <v>3982</v>
      </c>
      <c r="K210" s="1"/>
      <c r="L210" s="1"/>
      <c r="M210" s="1" t="s">
        <v>78</v>
      </c>
      <c r="N210" s="1" t="s">
        <v>79</v>
      </c>
      <c r="O210" s="1" t="s">
        <v>3983</v>
      </c>
      <c r="P210" s="1" t="s">
        <v>3984</v>
      </c>
      <c r="Q210" s="1" t="s">
        <v>320</v>
      </c>
      <c r="R210" s="1" t="s">
        <v>106</v>
      </c>
      <c r="S210" s="1"/>
      <c r="T210" s="1" t="s">
        <v>3985</v>
      </c>
      <c r="U210" s="1"/>
      <c r="V210" s="1" t="s">
        <v>3986</v>
      </c>
      <c r="W210" s="1" t="s">
        <v>3987</v>
      </c>
      <c r="X210" s="1" t="s">
        <v>86</v>
      </c>
      <c r="Y210" s="1" t="s">
        <v>3988</v>
      </c>
      <c r="Z210" s="1" t="s">
        <v>3989</v>
      </c>
      <c r="AA210" s="1" t="s">
        <v>3990</v>
      </c>
      <c r="AB210" s="1"/>
      <c r="AC210" s="1"/>
      <c r="AD210" s="1"/>
      <c r="AE210" s="1"/>
      <c r="AF210" s="1"/>
      <c r="AG210" s="1" t="n">
        <v>28</v>
      </c>
      <c r="AH210" s="1" t="n">
        <v>0</v>
      </c>
      <c r="AI210" s="1" t="n">
        <v>0</v>
      </c>
      <c r="AJ210" s="1" t="n">
        <v>0</v>
      </c>
      <c r="AK210" s="1" t="n">
        <v>4</v>
      </c>
      <c r="AL210" s="1" t="s">
        <v>106</v>
      </c>
      <c r="AM210" s="1" t="s">
        <v>95</v>
      </c>
      <c r="AN210" s="1" t="s">
        <v>122</v>
      </c>
      <c r="AO210" s="1"/>
      <c r="AP210" s="1"/>
      <c r="AQ210" s="1" t="s">
        <v>3991</v>
      </c>
      <c r="AR210" s="1"/>
      <c r="AS210" s="1"/>
      <c r="AT210" s="1"/>
      <c r="AU210" s="1" t="n">
        <v>2021</v>
      </c>
      <c r="AV210" s="1"/>
      <c r="AW210" s="1"/>
      <c r="AX210" s="1"/>
      <c r="AY210" s="1"/>
      <c r="AZ210" s="1"/>
      <c r="BA210" s="1"/>
      <c r="BB210" s="1" t="n">
        <v>1521</v>
      </c>
      <c r="BC210" s="1" t="n">
        <v>1528</v>
      </c>
      <c r="BD210" s="1"/>
      <c r="BE210" s="1" t="s">
        <v>3992</v>
      </c>
      <c r="BF210" s="1" t="str">
        <f aca="false">HYPERLINK("http://dx.doi.org/10.1109/ICMLA52953.2021.00245","http://dx.doi.org/10.1109/ICMLA52953.2021.00245")</f>
        <v>http://dx.doi.org/10.1109/ICMLA52953.2021.00245</v>
      </c>
      <c r="BG210" s="1"/>
      <c r="BH210" s="1"/>
      <c r="BI210" s="1" t="n">
        <v>8</v>
      </c>
      <c r="BJ210" s="1" t="s">
        <v>374</v>
      </c>
      <c r="BK210" s="1" t="s">
        <v>100</v>
      </c>
      <c r="BL210" s="1" t="s">
        <v>101</v>
      </c>
      <c r="BM210" s="1" t="s">
        <v>3993</v>
      </c>
      <c r="BN210" s="1"/>
      <c r="BO210" s="1" t="s">
        <v>833</v>
      </c>
      <c r="BP210" s="1"/>
      <c r="BQ210" s="1"/>
      <c r="BR210" s="1" t="s">
        <v>103</v>
      </c>
      <c r="BS210" s="1" t="s">
        <v>3994</v>
      </c>
      <c r="BT210" s="1" t="str">
        <f aca="false">HYPERLINK("https%3A%2F%2Fwww.webofscience.com%2Fwos%2Fwoscc%2Ffull-record%2FWOS:000779208200237","View Full Record in Web of Science")</f>
        <v>View Full Record in Web of Science</v>
      </c>
    </row>
    <row r="211" customFormat="false" ht="12.75" hidden="false" customHeight="false" outlineLevel="0" collapsed="false">
      <c r="A211" s="1" t="s">
        <v>72</v>
      </c>
      <c r="B211" s="1" t="s">
        <v>3995</v>
      </c>
      <c r="C211" s="1"/>
      <c r="D211" s="1" t="s">
        <v>3996</v>
      </c>
      <c r="E211" s="1"/>
      <c r="F211" s="1" t="s">
        <v>3997</v>
      </c>
      <c r="G211" s="1"/>
      <c r="H211" s="1"/>
      <c r="I211" s="1" t="s">
        <v>3998</v>
      </c>
      <c r="J211" s="1" t="s">
        <v>3999</v>
      </c>
      <c r="K211" s="1" t="s">
        <v>976</v>
      </c>
      <c r="L211" s="1"/>
      <c r="M211" s="1" t="s">
        <v>78</v>
      </c>
      <c r="N211" s="1" t="s">
        <v>79</v>
      </c>
      <c r="O211" s="1" t="s">
        <v>4000</v>
      </c>
      <c r="P211" s="1" t="s">
        <v>4001</v>
      </c>
      <c r="Q211" s="1" t="s">
        <v>4002</v>
      </c>
      <c r="R211" s="1" t="s">
        <v>4003</v>
      </c>
      <c r="S211" s="1"/>
      <c r="T211" s="1" t="s">
        <v>4004</v>
      </c>
      <c r="U211" s="1" t="s">
        <v>4005</v>
      </c>
      <c r="V211" s="1" t="s">
        <v>4006</v>
      </c>
      <c r="W211" s="1" t="s">
        <v>4007</v>
      </c>
      <c r="X211" s="1" t="s">
        <v>86</v>
      </c>
      <c r="Y211" s="1" t="s">
        <v>4008</v>
      </c>
      <c r="Z211" s="1" t="s">
        <v>4009</v>
      </c>
      <c r="AA211" s="1" t="s">
        <v>4010</v>
      </c>
      <c r="AB211" s="1" t="s">
        <v>4011</v>
      </c>
      <c r="AC211" s="1" t="s">
        <v>4012</v>
      </c>
      <c r="AD211" s="1" t="s">
        <v>4013</v>
      </c>
      <c r="AE211" s="1" t="s">
        <v>4014</v>
      </c>
      <c r="AF211" s="1"/>
      <c r="AG211" s="1" t="n">
        <v>34</v>
      </c>
      <c r="AH211" s="1" t="n">
        <v>2</v>
      </c>
      <c r="AI211" s="1" t="n">
        <v>2</v>
      </c>
      <c r="AJ211" s="1" t="n">
        <v>0</v>
      </c>
      <c r="AK211" s="1" t="n">
        <v>3</v>
      </c>
      <c r="AL211" s="1" t="s">
        <v>302</v>
      </c>
      <c r="AM211" s="1" t="s">
        <v>303</v>
      </c>
      <c r="AN211" s="1" t="s">
        <v>304</v>
      </c>
      <c r="AO211" s="1" t="s">
        <v>989</v>
      </c>
      <c r="AP211" s="1" t="s">
        <v>990</v>
      </c>
      <c r="AQ211" s="1" t="s">
        <v>4015</v>
      </c>
      <c r="AR211" s="1" t="s">
        <v>992</v>
      </c>
      <c r="AS211" s="1"/>
      <c r="AT211" s="1"/>
      <c r="AU211" s="1" t="n">
        <v>2021</v>
      </c>
      <c r="AV211" s="1" t="n">
        <v>12823</v>
      </c>
      <c r="AW211" s="1"/>
      <c r="AX211" s="1"/>
      <c r="AY211" s="1"/>
      <c r="AZ211" s="1"/>
      <c r="BA211" s="1"/>
      <c r="BB211" s="1" t="n">
        <v>595</v>
      </c>
      <c r="BC211" s="1" t="n">
        <v>609</v>
      </c>
      <c r="BD211" s="1"/>
      <c r="BE211" s="1" t="s">
        <v>4016</v>
      </c>
      <c r="BF211" s="1" t="str">
        <f aca="false">HYPERLINK("http://dx.doi.org/10.1007/978-3-030-86334-0_39","http://dx.doi.org/10.1007/978-3-030-86334-0_39")</f>
        <v>http://dx.doi.org/10.1007/978-3-030-86334-0_39</v>
      </c>
      <c r="BG211" s="1"/>
      <c r="BH211" s="1"/>
      <c r="BI211" s="1" t="n">
        <v>15</v>
      </c>
      <c r="BJ211" s="1" t="s">
        <v>2597</v>
      </c>
      <c r="BK211" s="1" t="s">
        <v>100</v>
      </c>
      <c r="BL211" s="1" t="s">
        <v>1341</v>
      </c>
      <c r="BM211" s="1" t="s">
        <v>4017</v>
      </c>
      <c r="BN211" s="1"/>
      <c r="BO211" s="1"/>
      <c r="BP211" s="1"/>
      <c r="BQ211" s="1"/>
      <c r="BR211" s="1" t="s">
        <v>103</v>
      </c>
      <c r="BS211" s="1" t="s">
        <v>4018</v>
      </c>
      <c r="BT211" s="1" t="str">
        <f aca="false">HYPERLINK("https%3A%2F%2Fwww.webofscience.com%2Fwos%2Fwoscc%2Ffull-record%2FWOS:000711646700039","View Full Record in Web of Science")</f>
        <v>View Full Record in Web of Science</v>
      </c>
    </row>
    <row r="212" customFormat="false" ht="12.75" hidden="false" customHeight="false" outlineLevel="0" collapsed="false">
      <c r="A212" s="1" t="s">
        <v>181</v>
      </c>
      <c r="B212" s="1" t="s">
        <v>4019</v>
      </c>
      <c r="C212" s="1"/>
      <c r="D212" s="1"/>
      <c r="E212" s="1"/>
      <c r="F212" s="1" t="s">
        <v>4020</v>
      </c>
      <c r="G212" s="1"/>
      <c r="H212" s="1"/>
      <c r="I212" s="1" t="s">
        <v>4021</v>
      </c>
      <c r="J212" s="1" t="s">
        <v>4022</v>
      </c>
      <c r="K212" s="1"/>
      <c r="L212" s="1"/>
      <c r="M212" s="1" t="s">
        <v>78</v>
      </c>
      <c r="N212" s="1" t="s">
        <v>186</v>
      </c>
      <c r="O212" s="1"/>
      <c r="P212" s="1"/>
      <c r="Q212" s="1"/>
      <c r="R212" s="1"/>
      <c r="S212" s="1"/>
      <c r="T212" s="1" t="s">
        <v>4023</v>
      </c>
      <c r="U212" s="1" t="s">
        <v>4024</v>
      </c>
      <c r="V212" s="1" t="s">
        <v>4025</v>
      </c>
      <c r="W212" s="1" t="s">
        <v>4026</v>
      </c>
      <c r="X212" s="1" t="s">
        <v>86</v>
      </c>
      <c r="Y212" s="1" t="s">
        <v>4027</v>
      </c>
      <c r="Z212" s="1" t="s">
        <v>4028</v>
      </c>
      <c r="AA212" s="1" t="s">
        <v>4029</v>
      </c>
      <c r="AB212" s="1" t="s">
        <v>4030</v>
      </c>
      <c r="AC212" s="1" t="s">
        <v>1617</v>
      </c>
      <c r="AD212" s="1" t="s">
        <v>677</v>
      </c>
      <c r="AE212" s="1" t="s">
        <v>4031</v>
      </c>
      <c r="AF212" s="1"/>
      <c r="AG212" s="1" t="n">
        <v>45</v>
      </c>
      <c r="AH212" s="1" t="n">
        <v>2</v>
      </c>
      <c r="AI212" s="1" t="n">
        <v>2</v>
      </c>
      <c r="AJ212" s="1" t="n">
        <v>0</v>
      </c>
      <c r="AK212" s="1" t="n">
        <v>6</v>
      </c>
      <c r="AL212" s="1" t="s">
        <v>367</v>
      </c>
      <c r="AM212" s="1" t="s">
        <v>368</v>
      </c>
      <c r="AN212" s="1" t="s">
        <v>369</v>
      </c>
      <c r="AO212" s="1"/>
      <c r="AP212" s="1" t="s">
        <v>4032</v>
      </c>
      <c r="AQ212" s="1"/>
      <c r="AR212" s="1" t="s">
        <v>4022</v>
      </c>
      <c r="AS212" s="1" t="s">
        <v>4033</v>
      </c>
      <c r="AT212" s="1" t="s">
        <v>1391</v>
      </c>
      <c r="AU212" s="1" t="n">
        <v>2020</v>
      </c>
      <c r="AV212" s="1" t="n">
        <v>13</v>
      </c>
      <c r="AW212" s="1" t="n">
        <v>21</v>
      </c>
      <c r="AX212" s="1"/>
      <c r="AY212" s="1"/>
      <c r="AZ212" s="1"/>
      <c r="BA212" s="1"/>
      <c r="BB212" s="1"/>
      <c r="BC212" s="1"/>
      <c r="BD212" s="1" t="n">
        <v>5781</v>
      </c>
      <c r="BE212" s="1" t="s">
        <v>4034</v>
      </c>
      <c r="BF212" s="1" t="str">
        <f aca="false">HYPERLINK("http://dx.doi.org/10.3390/en13215781","http://dx.doi.org/10.3390/en13215781")</f>
        <v>http://dx.doi.org/10.3390/en13215781</v>
      </c>
      <c r="BG212" s="1"/>
      <c r="BH212" s="1"/>
      <c r="BI212" s="1" t="n">
        <v>23</v>
      </c>
      <c r="BJ212" s="1" t="s">
        <v>4035</v>
      </c>
      <c r="BK212" s="1" t="s">
        <v>204</v>
      </c>
      <c r="BL212" s="1" t="s">
        <v>4035</v>
      </c>
      <c r="BM212" s="1" t="s">
        <v>4036</v>
      </c>
      <c r="BN212" s="1"/>
      <c r="BO212" s="1" t="s">
        <v>401</v>
      </c>
      <c r="BP212" s="1"/>
      <c r="BQ212" s="1"/>
      <c r="BR212" s="1" t="s">
        <v>103</v>
      </c>
      <c r="BS212" s="1" t="s">
        <v>4037</v>
      </c>
      <c r="BT212" s="1" t="str">
        <f aca="false">HYPERLINK("https%3A%2F%2Fwww.webofscience.com%2Fwos%2Fwoscc%2Ffull-record%2FWOS:000588863900001","View Full Record in Web of Science")</f>
        <v>View Full Record in Web of Science</v>
      </c>
    </row>
    <row r="213" customFormat="false" ht="12.75" hidden="false" customHeight="false" outlineLevel="0" collapsed="false">
      <c r="A213" s="1" t="s">
        <v>181</v>
      </c>
      <c r="B213" s="1" t="s">
        <v>4038</v>
      </c>
      <c r="C213" s="1"/>
      <c r="D213" s="1"/>
      <c r="E213" s="1"/>
      <c r="F213" s="1" t="s">
        <v>4039</v>
      </c>
      <c r="G213" s="1"/>
      <c r="H213" s="1"/>
      <c r="I213" s="1" t="s">
        <v>4040</v>
      </c>
      <c r="J213" s="1" t="s">
        <v>1378</v>
      </c>
      <c r="K213" s="1"/>
      <c r="L213" s="1"/>
      <c r="M213" s="1" t="s">
        <v>78</v>
      </c>
      <c r="N213" s="1" t="s">
        <v>186</v>
      </c>
      <c r="O213" s="1"/>
      <c r="P213" s="1"/>
      <c r="Q213" s="1"/>
      <c r="R213" s="1"/>
      <c r="S213" s="1"/>
      <c r="T213" s="1" t="s">
        <v>4041</v>
      </c>
      <c r="U213" s="1"/>
      <c r="V213" s="1" t="s">
        <v>4042</v>
      </c>
      <c r="W213" s="1" t="s">
        <v>4043</v>
      </c>
      <c r="X213" s="1" t="s">
        <v>86</v>
      </c>
      <c r="Y213" s="1" t="s">
        <v>4044</v>
      </c>
      <c r="Z213" s="1" t="s">
        <v>4045</v>
      </c>
      <c r="AA213" s="1"/>
      <c r="AB213" s="1"/>
      <c r="AC213" s="1"/>
      <c r="AD213" s="1"/>
      <c r="AE213" s="1"/>
      <c r="AF213" s="1"/>
      <c r="AG213" s="1" t="n">
        <v>10</v>
      </c>
      <c r="AH213" s="1" t="n">
        <v>0</v>
      </c>
      <c r="AI213" s="1" t="n">
        <v>0</v>
      </c>
      <c r="AJ213" s="1" t="n">
        <v>9</v>
      </c>
      <c r="AK213" s="1" t="n">
        <v>9</v>
      </c>
      <c r="AL213" s="1" t="s">
        <v>893</v>
      </c>
      <c r="AM213" s="1" t="s">
        <v>894</v>
      </c>
      <c r="AN213" s="1" t="s">
        <v>895</v>
      </c>
      <c r="AO213" s="1" t="s">
        <v>1387</v>
      </c>
      <c r="AP213" s="1" t="s">
        <v>1388</v>
      </c>
      <c r="AQ213" s="1"/>
      <c r="AR213" s="1" t="s">
        <v>1389</v>
      </c>
      <c r="AS213" s="1" t="s">
        <v>1390</v>
      </c>
      <c r="AT213" s="1" t="s">
        <v>537</v>
      </c>
      <c r="AU213" s="1" t="n">
        <v>2025</v>
      </c>
      <c r="AV213" s="1" t="n">
        <v>178</v>
      </c>
      <c r="AW213" s="1"/>
      <c r="AX213" s="1"/>
      <c r="AY213" s="1"/>
      <c r="AZ213" s="1"/>
      <c r="BA213" s="1"/>
      <c r="BB213" s="1"/>
      <c r="BC213" s="1"/>
      <c r="BD213" s="1" t="n">
        <v>107611</v>
      </c>
      <c r="BE213" s="1" t="s">
        <v>4046</v>
      </c>
      <c r="BF213" s="1" t="str">
        <f aca="false">HYPERLINK("http://dx.doi.org/10.1016/j.infsof.2024.107611","http://dx.doi.org/10.1016/j.infsof.2024.107611")</f>
        <v>http://dx.doi.org/10.1016/j.infsof.2024.107611</v>
      </c>
      <c r="BG213" s="1"/>
      <c r="BH213" s="1" t="s">
        <v>4047</v>
      </c>
      <c r="BI213" s="1" t="n">
        <v>4</v>
      </c>
      <c r="BJ213" s="1" t="s">
        <v>1394</v>
      </c>
      <c r="BK213" s="1" t="s">
        <v>204</v>
      </c>
      <c r="BL213" s="1" t="s">
        <v>101</v>
      </c>
      <c r="BM213" s="1" t="s">
        <v>4048</v>
      </c>
      <c r="BN213" s="1"/>
      <c r="BO213" s="1" t="s">
        <v>282</v>
      </c>
      <c r="BP213" s="1"/>
      <c r="BQ213" s="1"/>
      <c r="BR213" s="1" t="s">
        <v>103</v>
      </c>
      <c r="BS213" s="1" t="s">
        <v>4049</v>
      </c>
      <c r="BT213" s="1" t="str">
        <f aca="false">HYPERLINK("https%3A%2F%2Fwww.webofscience.com%2Fwos%2Fwoscc%2Ffull-record%2FWOS:001351330500001","View Full Record in Web of Science")</f>
        <v>View Full Record in Web of Science</v>
      </c>
    </row>
    <row r="214" customFormat="false" ht="12.75" hidden="false" customHeight="false" outlineLevel="0" collapsed="false">
      <c r="A214" s="1" t="s">
        <v>181</v>
      </c>
      <c r="B214" s="1" t="s">
        <v>4050</v>
      </c>
      <c r="C214" s="1"/>
      <c r="D214" s="1"/>
      <c r="E214" s="1"/>
      <c r="F214" s="1" t="s">
        <v>4051</v>
      </c>
      <c r="G214" s="1"/>
      <c r="H214" s="1"/>
      <c r="I214" s="1" t="s">
        <v>4052</v>
      </c>
      <c r="J214" s="1" t="s">
        <v>1104</v>
      </c>
      <c r="K214" s="1"/>
      <c r="L214" s="1"/>
      <c r="M214" s="1" t="s">
        <v>78</v>
      </c>
      <c r="N214" s="1" t="s">
        <v>186</v>
      </c>
      <c r="O214" s="1"/>
      <c r="P214" s="1"/>
      <c r="Q214" s="1"/>
      <c r="R214" s="1"/>
      <c r="S214" s="1"/>
      <c r="T214" s="1" t="s">
        <v>4053</v>
      </c>
      <c r="U214" s="1" t="s">
        <v>4054</v>
      </c>
      <c r="V214" s="1" t="s">
        <v>4055</v>
      </c>
      <c r="W214" s="1" t="s">
        <v>4056</v>
      </c>
      <c r="X214" s="1" t="s">
        <v>86</v>
      </c>
      <c r="Y214" s="1" t="s">
        <v>4057</v>
      </c>
      <c r="Z214" s="1" t="s">
        <v>4058</v>
      </c>
      <c r="AA214" s="1" t="s">
        <v>3568</v>
      </c>
      <c r="AB214" s="1" t="s">
        <v>4059</v>
      </c>
      <c r="AC214" s="1" t="s">
        <v>4060</v>
      </c>
      <c r="AD214" s="1" t="s">
        <v>4060</v>
      </c>
      <c r="AE214" s="1" t="s">
        <v>916</v>
      </c>
      <c r="AF214" s="1"/>
      <c r="AG214" s="1" t="n">
        <v>50</v>
      </c>
      <c r="AH214" s="1" t="n">
        <v>3</v>
      </c>
      <c r="AI214" s="1" t="n">
        <v>3</v>
      </c>
      <c r="AJ214" s="1" t="n">
        <v>2</v>
      </c>
      <c r="AK214" s="1" t="n">
        <v>9</v>
      </c>
      <c r="AL214" s="1" t="s">
        <v>195</v>
      </c>
      <c r="AM214" s="1" t="s">
        <v>196</v>
      </c>
      <c r="AN214" s="1" t="s">
        <v>197</v>
      </c>
      <c r="AO214" s="1" t="s">
        <v>1114</v>
      </c>
      <c r="AP214" s="1"/>
      <c r="AQ214" s="1"/>
      <c r="AR214" s="1" t="s">
        <v>1104</v>
      </c>
      <c r="AS214" s="1" t="s">
        <v>1115</v>
      </c>
      <c r="AT214" s="1"/>
      <c r="AU214" s="1" t="n">
        <v>2023</v>
      </c>
      <c r="AV214" s="1" t="n">
        <v>11</v>
      </c>
      <c r="AW214" s="1"/>
      <c r="AX214" s="1"/>
      <c r="AY214" s="1"/>
      <c r="AZ214" s="1"/>
      <c r="BA214" s="1"/>
      <c r="BB214" s="1" t="n">
        <v>143369</v>
      </c>
      <c r="BC214" s="1" t="n">
        <v>143386</v>
      </c>
      <c r="BD214" s="1"/>
      <c r="BE214" s="1" t="s">
        <v>4061</v>
      </c>
      <c r="BF214" s="1" t="str">
        <f aca="false">HYPERLINK("http://dx.doi.org/10.1109/ACCESS.2023.3343910","http://dx.doi.org/10.1109/ACCESS.2023.3343910")</f>
        <v>http://dx.doi.org/10.1109/ACCESS.2023.3343910</v>
      </c>
      <c r="BG214" s="1"/>
      <c r="BH214" s="1"/>
      <c r="BI214" s="1" t="n">
        <v>18</v>
      </c>
      <c r="BJ214" s="1" t="s">
        <v>1117</v>
      </c>
      <c r="BK214" s="1" t="s">
        <v>204</v>
      </c>
      <c r="BL214" s="1" t="s">
        <v>1118</v>
      </c>
      <c r="BM214" s="1" t="s">
        <v>4062</v>
      </c>
      <c r="BN214" s="1"/>
      <c r="BO214" s="1" t="s">
        <v>376</v>
      </c>
      <c r="BP214" s="1"/>
      <c r="BQ214" s="1"/>
      <c r="BR214" s="1" t="s">
        <v>103</v>
      </c>
      <c r="BS214" s="1" t="s">
        <v>4063</v>
      </c>
      <c r="BT214" s="1" t="str">
        <f aca="false">HYPERLINK("https%3A%2F%2Fwww.webofscience.com%2Fwos%2Fwoscc%2Ffull-record%2FWOS:001127093100001","View Full Record in Web of Science")</f>
        <v>View Full Record in Web of Science</v>
      </c>
    </row>
    <row r="215" customFormat="false" ht="12.75" hidden="false" customHeight="false" outlineLevel="0" collapsed="false">
      <c r="A215" s="1" t="s">
        <v>181</v>
      </c>
      <c r="B215" s="1" t="s">
        <v>4064</v>
      </c>
      <c r="C215" s="1"/>
      <c r="D215" s="1"/>
      <c r="E215" s="1"/>
      <c r="F215" s="1" t="s">
        <v>4065</v>
      </c>
      <c r="G215" s="1"/>
      <c r="H215" s="1"/>
      <c r="I215" s="1" t="s">
        <v>4066</v>
      </c>
      <c r="J215" s="1" t="s">
        <v>4067</v>
      </c>
      <c r="K215" s="1"/>
      <c r="L215" s="1"/>
      <c r="M215" s="1" t="s">
        <v>78</v>
      </c>
      <c r="N215" s="1" t="s">
        <v>186</v>
      </c>
      <c r="O215" s="1"/>
      <c r="P215" s="1"/>
      <c r="Q215" s="1"/>
      <c r="R215" s="1"/>
      <c r="S215" s="1"/>
      <c r="T215" s="1" t="s">
        <v>4068</v>
      </c>
      <c r="U215" s="1"/>
      <c r="V215" s="1" t="s">
        <v>4069</v>
      </c>
      <c r="W215" s="1" t="s">
        <v>4070</v>
      </c>
      <c r="X215" s="1" t="s">
        <v>86</v>
      </c>
      <c r="Y215" s="1" t="s">
        <v>4071</v>
      </c>
      <c r="Z215" s="1" t="s">
        <v>4072</v>
      </c>
      <c r="AA215" s="1"/>
      <c r="AB215" s="1" t="s">
        <v>4073</v>
      </c>
      <c r="AC215" s="1" t="s">
        <v>4074</v>
      </c>
      <c r="AD215" s="1" t="s">
        <v>4075</v>
      </c>
      <c r="AE215" s="1" t="s">
        <v>4076</v>
      </c>
      <c r="AF215" s="1"/>
      <c r="AG215" s="1" t="n">
        <v>41</v>
      </c>
      <c r="AH215" s="1" t="n">
        <v>1</v>
      </c>
      <c r="AI215" s="1" t="n">
        <v>1</v>
      </c>
      <c r="AJ215" s="1" t="n">
        <v>0</v>
      </c>
      <c r="AK215" s="1" t="n">
        <v>0</v>
      </c>
      <c r="AL215" s="1" t="s">
        <v>4077</v>
      </c>
      <c r="AM215" s="1" t="s">
        <v>4078</v>
      </c>
      <c r="AN215" s="1" t="s">
        <v>4079</v>
      </c>
      <c r="AO215" s="1" t="s">
        <v>4080</v>
      </c>
      <c r="AP215" s="1"/>
      <c r="AQ215" s="1"/>
      <c r="AR215" s="1" t="s">
        <v>4081</v>
      </c>
      <c r="AS215" s="1" t="s">
        <v>4082</v>
      </c>
      <c r="AT215" s="1"/>
      <c r="AU215" s="1" t="n">
        <v>2022</v>
      </c>
      <c r="AV215" s="1" t="n">
        <v>18</v>
      </c>
      <c r="AW215" s="1"/>
      <c r="AX215" s="1"/>
      <c r="AY215" s="1"/>
      <c r="AZ215" s="1"/>
      <c r="BA215" s="1"/>
      <c r="BB215" s="1"/>
      <c r="BC215" s="1"/>
      <c r="BD215" s="1" t="n">
        <v>15</v>
      </c>
      <c r="BE215" s="1" t="s">
        <v>4083</v>
      </c>
      <c r="BF215" s="1" t="str">
        <f aca="false">HYPERLINK("http://dx.doi.org/10.3842/SIGMA.2022.015","http://dx.doi.org/10.3842/SIGMA.2022.015")</f>
        <v>http://dx.doi.org/10.3842/SIGMA.2022.015</v>
      </c>
      <c r="BG215" s="1"/>
      <c r="BH215" s="1"/>
      <c r="BI215" s="1" t="n">
        <v>22</v>
      </c>
      <c r="BJ215" s="1" t="s">
        <v>4084</v>
      </c>
      <c r="BK215" s="1" t="s">
        <v>204</v>
      </c>
      <c r="BL215" s="1" t="s">
        <v>4085</v>
      </c>
      <c r="BM215" s="1" t="s">
        <v>4086</v>
      </c>
      <c r="BN215" s="1"/>
      <c r="BO215" s="1" t="s">
        <v>376</v>
      </c>
      <c r="BP215" s="1"/>
      <c r="BQ215" s="1"/>
      <c r="BR215" s="1" t="s">
        <v>103</v>
      </c>
      <c r="BS215" s="1" t="s">
        <v>4087</v>
      </c>
      <c r="BT215" s="1" t="str">
        <f aca="false">HYPERLINK("https%3A%2F%2Fwww.webofscience.com%2Fwos%2Fwoscc%2Ffull-record%2FWOS:000766629200001","View Full Record in Web of Science")</f>
        <v>View Full Record in Web of Science</v>
      </c>
    </row>
    <row r="216" customFormat="false" ht="12.75" hidden="false" customHeight="false" outlineLevel="0" collapsed="false">
      <c r="A216" s="1" t="s">
        <v>181</v>
      </c>
      <c r="B216" s="1" t="s">
        <v>4088</v>
      </c>
      <c r="C216" s="1"/>
      <c r="D216" s="1"/>
      <c r="E216" s="1"/>
      <c r="F216" s="1" t="s">
        <v>4089</v>
      </c>
      <c r="G216" s="1"/>
      <c r="H216" s="1"/>
      <c r="I216" s="1" t="s">
        <v>4090</v>
      </c>
      <c r="J216" s="1" t="s">
        <v>3700</v>
      </c>
      <c r="K216" s="1"/>
      <c r="L216" s="1"/>
      <c r="M216" s="1" t="s">
        <v>78</v>
      </c>
      <c r="N216" s="1" t="s">
        <v>186</v>
      </c>
      <c r="O216" s="1"/>
      <c r="P216" s="1"/>
      <c r="Q216" s="1"/>
      <c r="R216" s="1"/>
      <c r="S216" s="1"/>
      <c r="T216" s="1" t="s">
        <v>4091</v>
      </c>
      <c r="U216" s="1" t="s">
        <v>4092</v>
      </c>
      <c r="V216" s="1" t="s">
        <v>4093</v>
      </c>
      <c r="W216" s="1" t="s">
        <v>4094</v>
      </c>
      <c r="X216" s="1" t="s">
        <v>4095</v>
      </c>
      <c r="Y216" s="1" t="s">
        <v>4096</v>
      </c>
      <c r="Z216" s="1" t="s">
        <v>4097</v>
      </c>
      <c r="AA216" s="1" t="s">
        <v>4098</v>
      </c>
      <c r="AB216" s="1" t="s">
        <v>4099</v>
      </c>
      <c r="AC216" s="1" t="s">
        <v>4100</v>
      </c>
      <c r="AD216" s="1" t="s">
        <v>4101</v>
      </c>
      <c r="AE216" s="1" t="s">
        <v>4102</v>
      </c>
      <c r="AF216" s="1"/>
      <c r="AG216" s="1" t="n">
        <v>39</v>
      </c>
      <c r="AH216" s="1" t="n">
        <v>31</v>
      </c>
      <c r="AI216" s="1" t="n">
        <v>32</v>
      </c>
      <c r="AJ216" s="1" t="n">
        <v>4</v>
      </c>
      <c r="AK216" s="1" t="n">
        <v>69</v>
      </c>
      <c r="AL216" s="1" t="s">
        <v>3711</v>
      </c>
      <c r="AM216" s="1" t="s">
        <v>95</v>
      </c>
      <c r="AN216" s="1" t="s">
        <v>3712</v>
      </c>
      <c r="AO216" s="1" t="s">
        <v>3713</v>
      </c>
      <c r="AP216" s="1" t="s">
        <v>3714</v>
      </c>
      <c r="AQ216" s="1"/>
      <c r="AR216" s="1" t="s">
        <v>3715</v>
      </c>
      <c r="AS216" s="1" t="s">
        <v>3716</v>
      </c>
      <c r="AT216" s="1" t="s">
        <v>1453</v>
      </c>
      <c r="AU216" s="1" t="n">
        <v>2023</v>
      </c>
      <c r="AV216" s="1" t="n">
        <v>195</v>
      </c>
      <c r="AW216" s="1"/>
      <c r="AX216" s="1"/>
      <c r="AY216" s="1"/>
      <c r="AZ216" s="1"/>
      <c r="BA216" s="1"/>
      <c r="BB216" s="1"/>
      <c r="BC216" s="1"/>
      <c r="BD216" s="1" t="n">
        <v>111509</v>
      </c>
      <c r="BE216" s="1" t="s">
        <v>4103</v>
      </c>
      <c r="BF216" s="1" t="str">
        <f aca="false">HYPERLINK("http://dx.doi.org/10.1016/j.jss.2022.111509","http://dx.doi.org/10.1016/j.jss.2022.111509")</f>
        <v>http://dx.doi.org/10.1016/j.jss.2022.111509</v>
      </c>
      <c r="BG216" s="1"/>
      <c r="BH216" s="1" t="s">
        <v>2461</v>
      </c>
      <c r="BI216" s="1" t="n">
        <v>10</v>
      </c>
      <c r="BJ216" s="1" t="s">
        <v>994</v>
      </c>
      <c r="BK216" s="1" t="s">
        <v>204</v>
      </c>
      <c r="BL216" s="1" t="s">
        <v>101</v>
      </c>
      <c r="BM216" s="1" t="s">
        <v>4104</v>
      </c>
      <c r="BN216" s="1" t="n">
        <v>36105918</v>
      </c>
      <c r="BO216" s="1" t="s">
        <v>207</v>
      </c>
      <c r="BP216" s="1"/>
      <c r="BQ216" s="1"/>
      <c r="BR216" s="1" t="s">
        <v>103</v>
      </c>
      <c r="BS216" s="1" t="s">
        <v>4105</v>
      </c>
      <c r="BT216" s="1" t="str">
        <f aca="false">HYPERLINK("https%3A%2F%2Fwww.webofscience.com%2Fwos%2Fwoscc%2Ffull-record%2FWOS:000875668800002","View Full Record in Web of Science")</f>
        <v>View Full Record in Web of Science</v>
      </c>
    </row>
    <row r="217" customFormat="false" ht="12.75" hidden="false" customHeight="false" outlineLevel="0" collapsed="false">
      <c r="A217" s="1" t="s">
        <v>72</v>
      </c>
      <c r="B217" s="1" t="s">
        <v>4106</v>
      </c>
      <c r="C217" s="1"/>
      <c r="D217" s="1"/>
      <c r="E217" s="1" t="s">
        <v>106</v>
      </c>
      <c r="F217" s="1" t="s">
        <v>4107</v>
      </c>
      <c r="G217" s="1"/>
      <c r="H217" s="1"/>
      <c r="I217" s="1" t="s">
        <v>4108</v>
      </c>
      <c r="J217" s="1" t="s">
        <v>4109</v>
      </c>
      <c r="K217" s="1" t="s">
        <v>4110</v>
      </c>
      <c r="L217" s="1"/>
      <c r="M217" s="1" t="s">
        <v>78</v>
      </c>
      <c r="N217" s="1" t="s">
        <v>79</v>
      </c>
      <c r="O217" s="1" t="s">
        <v>3389</v>
      </c>
      <c r="P217" s="1" t="s">
        <v>4111</v>
      </c>
      <c r="Q217" s="1" t="s">
        <v>4112</v>
      </c>
      <c r="R217" s="1" t="s">
        <v>106</v>
      </c>
      <c r="S217" s="1"/>
      <c r="T217" s="1" t="s">
        <v>4113</v>
      </c>
      <c r="U217" s="1"/>
      <c r="V217" s="1" t="s">
        <v>4114</v>
      </c>
      <c r="W217" s="1" t="s">
        <v>4115</v>
      </c>
      <c r="X217" s="1" t="s">
        <v>86</v>
      </c>
      <c r="Y217" s="1" t="s">
        <v>4116</v>
      </c>
      <c r="Z217" s="1" t="s">
        <v>4117</v>
      </c>
      <c r="AA217" s="1" t="s">
        <v>193</v>
      </c>
      <c r="AB217" s="1" t="s">
        <v>194</v>
      </c>
      <c r="AC217" s="1"/>
      <c r="AD217" s="1"/>
      <c r="AE217" s="1"/>
      <c r="AF217" s="1"/>
      <c r="AG217" s="1" t="n">
        <v>16</v>
      </c>
      <c r="AH217" s="1" t="n">
        <v>2</v>
      </c>
      <c r="AI217" s="1" t="n">
        <v>2</v>
      </c>
      <c r="AJ217" s="1" t="n">
        <v>0</v>
      </c>
      <c r="AK217" s="1" t="n">
        <v>1</v>
      </c>
      <c r="AL217" s="1" t="s">
        <v>106</v>
      </c>
      <c r="AM217" s="1" t="s">
        <v>95</v>
      </c>
      <c r="AN217" s="1" t="s">
        <v>122</v>
      </c>
      <c r="AO217" s="1" t="s">
        <v>4118</v>
      </c>
      <c r="AP217" s="1"/>
      <c r="AQ217" s="1" t="s">
        <v>4119</v>
      </c>
      <c r="AR217" s="1" t="s">
        <v>4120</v>
      </c>
      <c r="AS217" s="1"/>
      <c r="AT217" s="1"/>
      <c r="AU217" s="1" t="n">
        <v>2020</v>
      </c>
      <c r="AV217" s="1"/>
      <c r="AW217" s="1"/>
      <c r="AX217" s="1"/>
      <c r="AY217" s="1"/>
      <c r="AZ217" s="1"/>
      <c r="BA217" s="1"/>
      <c r="BB217" s="1"/>
      <c r="BC217" s="1"/>
      <c r="BD217" s="1"/>
      <c r="BE217" s="1" t="s">
        <v>4121</v>
      </c>
      <c r="BF217" s="1" t="str">
        <f aca="false">HYPERLINK("http://dx.doi.org/10.1109/radarconf2043947.2020.9266360","http://dx.doi.org/10.1109/radarconf2043947.2020.9266360")</f>
        <v>http://dx.doi.org/10.1109/radarconf2043947.2020.9266360</v>
      </c>
      <c r="BG217" s="1"/>
      <c r="BH217" s="1"/>
      <c r="BI217" s="1" t="n">
        <v>6</v>
      </c>
      <c r="BJ217" s="1" t="s">
        <v>4122</v>
      </c>
      <c r="BK217" s="1" t="s">
        <v>100</v>
      </c>
      <c r="BL217" s="1" t="s">
        <v>4123</v>
      </c>
      <c r="BM217" s="1" t="s">
        <v>4124</v>
      </c>
      <c r="BN217" s="1"/>
      <c r="BO217" s="1" t="s">
        <v>179</v>
      </c>
      <c r="BP217" s="1"/>
      <c r="BQ217" s="1"/>
      <c r="BR217" s="1" t="s">
        <v>103</v>
      </c>
      <c r="BS217" s="1" t="s">
        <v>4125</v>
      </c>
      <c r="BT217" s="1" t="str">
        <f aca="false">HYPERLINK("https%3A%2F%2Fwww.webofscience.com%2Fwos%2Fwoscc%2Ffull-record%2FWOS:000612224900053","View Full Record in Web of Science")</f>
        <v>View Full Record in Web of Science</v>
      </c>
    </row>
    <row r="218" customFormat="false" ht="12.75" hidden="false" customHeight="false" outlineLevel="0" collapsed="false">
      <c r="A218" s="1" t="s">
        <v>181</v>
      </c>
      <c r="B218" s="1" t="s">
        <v>4126</v>
      </c>
      <c r="C218" s="1"/>
      <c r="D218" s="1"/>
      <c r="E218" s="1"/>
      <c r="F218" s="1" t="s">
        <v>4127</v>
      </c>
      <c r="G218" s="1"/>
      <c r="H218" s="1"/>
      <c r="I218" s="1" t="s">
        <v>4128</v>
      </c>
      <c r="J218" s="1" t="s">
        <v>523</v>
      </c>
      <c r="K218" s="1"/>
      <c r="L218" s="1"/>
      <c r="M218" s="1" t="s">
        <v>78</v>
      </c>
      <c r="N218" s="1" t="s">
        <v>186</v>
      </c>
      <c r="O218" s="1"/>
      <c r="P218" s="1"/>
      <c r="Q218" s="1"/>
      <c r="R218" s="1"/>
      <c r="S218" s="1"/>
      <c r="T218" s="1" t="s">
        <v>4129</v>
      </c>
      <c r="U218" s="1"/>
      <c r="V218" s="1" t="s">
        <v>4130</v>
      </c>
      <c r="W218" s="1" t="s">
        <v>4131</v>
      </c>
      <c r="X218" s="1" t="s">
        <v>86</v>
      </c>
      <c r="Y218" s="1" t="s">
        <v>4132</v>
      </c>
      <c r="Z218" s="1" t="s">
        <v>4133</v>
      </c>
      <c r="AA218" s="1" t="s">
        <v>4134</v>
      </c>
      <c r="AB218" s="1" t="s">
        <v>4135</v>
      </c>
      <c r="AC218" s="1"/>
      <c r="AD218" s="1"/>
      <c r="AE218" s="1"/>
      <c r="AF218" s="1"/>
      <c r="AG218" s="1" t="n">
        <v>31</v>
      </c>
      <c r="AH218" s="1" t="n">
        <v>10</v>
      </c>
      <c r="AI218" s="1" t="n">
        <v>10</v>
      </c>
      <c r="AJ218" s="1" t="n">
        <v>2</v>
      </c>
      <c r="AK218" s="1" t="n">
        <v>18</v>
      </c>
      <c r="AL218" s="1" t="s">
        <v>367</v>
      </c>
      <c r="AM218" s="1" t="s">
        <v>368</v>
      </c>
      <c r="AN218" s="1" t="s">
        <v>369</v>
      </c>
      <c r="AO218" s="1"/>
      <c r="AP218" s="1" t="s">
        <v>534</v>
      </c>
      <c r="AQ218" s="1"/>
      <c r="AR218" s="1" t="s">
        <v>535</v>
      </c>
      <c r="AS218" s="1" t="s">
        <v>536</v>
      </c>
      <c r="AT218" s="1" t="s">
        <v>2698</v>
      </c>
      <c r="AU218" s="1" t="n">
        <v>2022</v>
      </c>
      <c r="AV218" s="1" t="n">
        <v>12</v>
      </c>
      <c r="AW218" s="1" t="n">
        <v>12</v>
      </c>
      <c r="AX218" s="1"/>
      <c r="AY218" s="1"/>
      <c r="AZ218" s="1"/>
      <c r="BA218" s="1"/>
      <c r="BB218" s="1"/>
      <c r="BC218" s="1"/>
      <c r="BD218" s="1" t="n">
        <v>5772</v>
      </c>
      <c r="BE218" s="1" t="s">
        <v>4136</v>
      </c>
      <c r="BF218" s="1" t="str">
        <f aca="false">HYPERLINK("http://dx.doi.org/10.3390/app12125772","http://dx.doi.org/10.3390/app12125772")</f>
        <v>http://dx.doi.org/10.3390/app12125772</v>
      </c>
      <c r="BG218" s="1"/>
      <c r="BH218" s="1"/>
      <c r="BI218" s="1" t="n">
        <v>21</v>
      </c>
      <c r="BJ218" s="1" t="s">
        <v>539</v>
      </c>
      <c r="BK218" s="1" t="s">
        <v>204</v>
      </c>
      <c r="BL218" s="1" t="s">
        <v>540</v>
      </c>
      <c r="BM218" s="1" t="s">
        <v>4137</v>
      </c>
      <c r="BN218" s="1"/>
      <c r="BO218" s="1" t="s">
        <v>401</v>
      </c>
      <c r="BP218" s="1"/>
      <c r="BQ218" s="1"/>
      <c r="BR218" s="1" t="s">
        <v>103</v>
      </c>
      <c r="BS218" s="1" t="s">
        <v>4138</v>
      </c>
      <c r="BT218" s="1" t="str">
        <f aca="false">HYPERLINK("https%3A%2F%2Fwww.webofscience.com%2Fwos%2Fwoscc%2Ffull-record%2FWOS:000817404000001","View Full Record in Web of Science")</f>
        <v>View Full Record in Web of Science</v>
      </c>
    </row>
    <row r="219" customFormat="false" ht="12.75" hidden="false" customHeight="false" outlineLevel="0" collapsed="false">
      <c r="A219" s="1" t="s">
        <v>181</v>
      </c>
      <c r="B219" s="1" t="s">
        <v>4139</v>
      </c>
      <c r="C219" s="1"/>
      <c r="D219" s="1"/>
      <c r="E219" s="1"/>
      <c r="F219" s="1" t="s">
        <v>4140</v>
      </c>
      <c r="G219" s="1"/>
      <c r="H219" s="1"/>
      <c r="I219" s="1" t="s">
        <v>4141</v>
      </c>
      <c r="J219" s="1" t="s">
        <v>4142</v>
      </c>
      <c r="K219" s="1"/>
      <c r="L219" s="1"/>
      <c r="M219" s="1" t="s">
        <v>78</v>
      </c>
      <c r="N219" s="1" t="s">
        <v>186</v>
      </c>
      <c r="O219" s="1"/>
      <c r="P219" s="1"/>
      <c r="Q219" s="1"/>
      <c r="R219" s="1"/>
      <c r="S219" s="1"/>
      <c r="T219" s="1" t="s">
        <v>4143</v>
      </c>
      <c r="U219" s="1" t="s">
        <v>4144</v>
      </c>
      <c r="V219" s="1" t="s">
        <v>4145</v>
      </c>
      <c r="W219" s="1" t="s">
        <v>4146</v>
      </c>
      <c r="X219" s="1" t="s">
        <v>86</v>
      </c>
      <c r="Y219" s="1" t="s">
        <v>4147</v>
      </c>
      <c r="Z219" s="1" t="s">
        <v>4148</v>
      </c>
      <c r="AA219" s="1" t="s">
        <v>239</v>
      </c>
      <c r="AB219" s="1" t="s">
        <v>240</v>
      </c>
      <c r="AC219" s="1" t="s">
        <v>268</v>
      </c>
      <c r="AD219" s="1" t="s">
        <v>268</v>
      </c>
      <c r="AE219" s="1" t="s">
        <v>269</v>
      </c>
      <c r="AF219" s="1"/>
      <c r="AG219" s="1" t="n">
        <v>33</v>
      </c>
      <c r="AH219" s="1" t="n">
        <v>5</v>
      </c>
      <c r="AI219" s="1" t="n">
        <v>5</v>
      </c>
      <c r="AJ219" s="1" t="n">
        <v>1</v>
      </c>
      <c r="AK219" s="1" t="n">
        <v>18</v>
      </c>
      <c r="AL219" s="1" t="s">
        <v>679</v>
      </c>
      <c r="AM219" s="1" t="s">
        <v>680</v>
      </c>
      <c r="AN219" s="1" t="s">
        <v>681</v>
      </c>
      <c r="AO219" s="1" t="s">
        <v>4149</v>
      </c>
      <c r="AP219" s="1" t="s">
        <v>4150</v>
      </c>
      <c r="AQ219" s="1"/>
      <c r="AR219" s="1" t="s">
        <v>4142</v>
      </c>
      <c r="AS219" s="1" t="s">
        <v>4151</v>
      </c>
      <c r="AT219" s="1" t="s">
        <v>1391</v>
      </c>
      <c r="AU219" s="1" t="n">
        <v>2021</v>
      </c>
      <c r="AV219" s="1" t="n">
        <v>126</v>
      </c>
      <c r="AW219" s="1" t="n">
        <v>11</v>
      </c>
      <c r="AX219" s="1"/>
      <c r="AY219" s="1"/>
      <c r="AZ219" s="1"/>
      <c r="BA219" s="1"/>
      <c r="BB219" s="1" t="n">
        <v>9147</v>
      </c>
      <c r="BC219" s="1" t="n">
        <v>9183</v>
      </c>
      <c r="BD219" s="1"/>
      <c r="BE219" s="1" t="s">
        <v>4152</v>
      </c>
      <c r="BF219" s="1" t="str">
        <f aca="false">HYPERLINK("http://dx.doi.org/10.1007/s11192-021-04144-1","http://dx.doi.org/10.1007/s11192-021-04144-1")</f>
        <v>http://dx.doi.org/10.1007/s11192-021-04144-1</v>
      </c>
      <c r="BG219" s="1"/>
      <c r="BH219" s="1" t="s">
        <v>4153</v>
      </c>
      <c r="BI219" s="1" t="n">
        <v>37</v>
      </c>
      <c r="BJ219" s="1" t="s">
        <v>4154</v>
      </c>
      <c r="BK219" s="1" t="s">
        <v>398</v>
      </c>
      <c r="BL219" s="1" t="s">
        <v>4155</v>
      </c>
      <c r="BM219" s="1" t="s">
        <v>4156</v>
      </c>
      <c r="BN219" s="1"/>
      <c r="BO219" s="1" t="s">
        <v>612</v>
      </c>
      <c r="BP219" s="1"/>
      <c r="BQ219" s="1"/>
      <c r="BR219" s="1" t="s">
        <v>103</v>
      </c>
      <c r="BS219" s="1" t="s">
        <v>4157</v>
      </c>
      <c r="BT219" s="1" t="str">
        <f aca="false">HYPERLINK("https%3A%2F%2Fwww.webofscience.com%2Fwos%2Fwoscc%2Ffull-record%2FWOS:000705740400005","View Full Record in Web of Science")</f>
        <v>View Full Record in Web of Science</v>
      </c>
    </row>
    <row r="220" customFormat="false" ht="12.75" hidden="false" customHeight="false" outlineLevel="0" collapsed="false">
      <c r="A220" s="1" t="s">
        <v>72</v>
      </c>
      <c r="B220" s="1" t="s">
        <v>4158</v>
      </c>
      <c r="C220" s="1"/>
      <c r="D220" s="1" t="s">
        <v>4159</v>
      </c>
      <c r="E220" s="1"/>
      <c r="F220" s="1" t="s">
        <v>4160</v>
      </c>
      <c r="G220" s="1"/>
      <c r="H220" s="1"/>
      <c r="I220" s="1" t="s">
        <v>4161</v>
      </c>
      <c r="J220" s="1" t="s">
        <v>4162</v>
      </c>
      <c r="K220" s="1"/>
      <c r="L220" s="1"/>
      <c r="M220" s="1" t="s">
        <v>78</v>
      </c>
      <c r="N220" s="1" t="s">
        <v>79</v>
      </c>
      <c r="O220" s="1" t="s">
        <v>4163</v>
      </c>
      <c r="P220" s="1" t="s">
        <v>4164</v>
      </c>
      <c r="Q220" s="1" t="s">
        <v>320</v>
      </c>
      <c r="R220" s="1" t="s">
        <v>4165</v>
      </c>
      <c r="S220" s="1"/>
      <c r="T220" s="1" t="s">
        <v>4166</v>
      </c>
      <c r="U220" s="1"/>
      <c r="V220" s="1" t="s">
        <v>4167</v>
      </c>
      <c r="W220" s="1" t="s">
        <v>4168</v>
      </c>
      <c r="X220" s="1" t="s">
        <v>86</v>
      </c>
      <c r="Y220" s="1" t="s">
        <v>2909</v>
      </c>
      <c r="Z220" s="1"/>
      <c r="AA220" s="1" t="s">
        <v>4169</v>
      </c>
      <c r="AB220" s="1" t="s">
        <v>4170</v>
      </c>
      <c r="AC220" s="1"/>
      <c r="AD220" s="1"/>
      <c r="AE220" s="1"/>
      <c r="AF220" s="1"/>
      <c r="AG220" s="1" t="n">
        <v>20</v>
      </c>
      <c r="AH220" s="1" t="n">
        <v>0</v>
      </c>
      <c r="AI220" s="1" t="n">
        <v>0</v>
      </c>
      <c r="AJ220" s="1" t="n">
        <v>0</v>
      </c>
      <c r="AK220" s="1" t="n">
        <v>2</v>
      </c>
      <c r="AL220" s="1" t="s">
        <v>1721</v>
      </c>
      <c r="AM220" s="1" t="s">
        <v>1722</v>
      </c>
      <c r="AN220" s="1" t="s">
        <v>1723</v>
      </c>
      <c r="AO220" s="1"/>
      <c r="AP220" s="1"/>
      <c r="AQ220" s="1" t="s">
        <v>4171</v>
      </c>
      <c r="AR220" s="1"/>
      <c r="AS220" s="1"/>
      <c r="AT220" s="1"/>
      <c r="AU220" s="1" t="n">
        <v>2021</v>
      </c>
      <c r="AV220" s="1"/>
      <c r="AW220" s="1"/>
      <c r="AX220" s="1"/>
      <c r="AY220" s="1"/>
      <c r="AZ220" s="1"/>
      <c r="BA220" s="1"/>
      <c r="BB220" s="1" t="n">
        <v>387</v>
      </c>
      <c r="BC220" s="1" t="n">
        <v>394</v>
      </c>
      <c r="BD220" s="1"/>
      <c r="BE220" s="1" t="s">
        <v>4172</v>
      </c>
      <c r="BF220" s="1" t="str">
        <f aca="false">HYPERLINK("http://dx.doi.org/10.5220/0010396203870394","http://dx.doi.org/10.5220/0010396203870394")</f>
        <v>http://dx.doi.org/10.5220/0010396203870394</v>
      </c>
      <c r="BG220" s="1"/>
      <c r="BH220" s="1"/>
      <c r="BI220" s="1" t="n">
        <v>8</v>
      </c>
      <c r="BJ220" s="1" t="s">
        <v>3641</v>
      </c>
      <c r="BK220" s="1" t="s">
        <v>100</v>
      </c>
      <c r="BL220" s="1" t="s">
        <v>101</v>
      </c>
      <c r="BM220" s="1" t="s">
        <v>4173</v>
      </c>
      <c r="BN220" s="1"/>
      <c r="BO220" s="1" t="s">
        <v>282</v>
      </c>
      <c r="BP220" s="1"/>
      <c r="BQ220" s="1"/>
      <c r="BR220" s="1" t="s">
        <v>103</v>
      </c>
      <c r="BS220" s="1" t="s">
        <v>4174</v>
      </c>
      <c r="BT220" s="1" t="str">
        <f aca="false">HYPERLINK("https%3A%2F%2Fwww.webofscience.com%2Fwos%2Fwoscc%2Ffull-record%2FWOS:000783390600042","View Full Record in Web of Science")</f>
        <v>View Full Record in Web of Science</v>
      </c>
    </row>
    <row r="221" customFormat="false" ht="12.75" hidden="false" customHeight="false" outlineLevel="0" collapsed="false">
      <c r="A221" s="1" t="s">
        <v>181</v>
      </c>
      <c r="B221" s="1" t="s">
        <v>4175</v>
      </c>
      <c r="C221" s="1"/>
      <c r="D221" s="1"/>
      <c r="E221" s="1"/>
      <c r="F221" s="1" t="s">
        <v>4176</v>
      </c>
      <c r="G221" s="1"/>
      <c r="H221" s="1"/>
      <c r="I221" s="1" t="s">
        <v>4177</v>
      </c>
      <c r="J221" s="1" t="s">
        <v>4178</v>
      </c>
      <c r="K221" s="1"/>
      <c r="L221" s="1"/>
      <c r="M221" s="1" t="s">
        <v>78</v>
      </c>
      <c r="N221" s="1" t="s">
        <v>186</v>
      </c>
      <c r="O221" s="1"/>
      <c r="P221" s="1"/>
      <c r="Q221" s="1"/>
      <c r="R221" s="1"/>
      <c r="S221" s="1"/>
      <c r="T221" s="1" t="s">
        <v>4179</v>
      </c>
      <c r="U221" s="1" t="s">
        <v>4180</v>
      </c>
      <c r="V221" s="1" t="s">
        <v>4181</v>
      </c>
      <c r="W221" s="1" t="s">
        <v>4182</v>
      </c>
      <c r="X221" s="1" t="s">
        <v>4095</v>
      </c>
      <c r="Y221" s="1" t="s">
        <v>4183</v>
      </c>
      <c r="Z221" s="1" t="s">
        <v>4184</v>
      </c>
      <c r="AA221" s="1" t="s">
        <v>4185</v>
      </c>
      <c r="AB221" s="1" t="s">
        <v>4186</v>
      </c>
      <c r="AC221" s="1" t="s">
        <v>4187</v>
      </c>
      <c r="AD221" s="1" t="s">
        <v>4188</v>
      </c>
      <c r="AE221" s="1" t="s">
        <v>4189</v>
      </c>
      <c r="AF221" s="1"/>
      <c r="AG221" s="1" t="n">
        <v>89</v>
      </c>
      <c r="AH221" s="1" t="n">
        <v>14</v>
      </c>
      <c r="AI221" s="1" t="n">
        <v>16</v>
      </c>
      <c r="AJ221" s="1" t="n">
        <v>0</v>
      </c>
      <c r="AK221" s="1" t="n">
        <v>9</v>
      </c>
      <c r="AL221" s="1" t="s">
        <v>600</v>
      </c>
      <c r="AM221" s="1" t="s">
        <v>601</v>
      </c>
      <c r="AN221" s="1" t="s">
        <v>602</v>
      </c>
      <c r="AO221" s="1" t="s">
        <v>4190</v>
      </c>
      <c r="AP221" s="1" t="s">
        <v>4191</v>
      </c>
      <c r="AQ221" s="1"/>
      <c r="AR221" s="1" t="s">
        <v>4192</v>
      </c>
      <c r="AS221" s="1" t="s">
        <v>4193</v>
      </c>
      <c r="AT221" s="1" t="s">
        <v>277</v>
      </c>
      <c r="AU221" s="1" t="n">
        <v>2021</v>
      </c>
      <c r="AV221" s="1" t="n">
        <v>33</v>
      </c>
      <c r="AW221" s="1" t="n">
        <v>3</v>
      </c>
      <c r="AX221" s="1"/>
      <c r="AY221" s="1"/>
      <c r="AZ221" s="1"/>
      <c r="BA221" s="1"/>
      <c r="BB221" s="1"/>
      <c r="BC221" s="1"/>
      <c r="BD221" s="1" t="s">
        <v>4194</v>
      </c>
      <c r="BE221" s="1" t="s">
        <v>4195</v>
      </c>
      <c r="BF221" s="1" t="str">
        <f aca="false">HYPERLINK("http://dx.doi.org/10.1002/smr.2297","http://dx.doi.org/10.1002/smr.2297")</f>
        <v>http://dx.doi.org/10.1002/smr.2297</v>
      </c>
      <c r="BG221" s="1"/>
      <c r="BH221" s="1" t="s">
        <v>2768</v>
      </c>
      <c r="BI221" s="1" t="n">
        <v>26</v>
      </c>
      <c r="BJ221" s="1" t="s">
        <v>252</v>
      </c>
      <c r="BK221" s="1" t="s">
        <v>398</v>
      </c>
      <c r="BL221" s="1" t="s">
        <v>101</v>
      </c>
      <c r="BM221" s="1" t="s">
        <v>4196</v>
      </c>
      <c r="BN221" s="1"/>
      <c r="BO221" s="1" t="s">
        <v>612</v>
      </c>
      <c r="BP221" s="1"/>
      <c r="BQ221" s="1"/>
      <c r="BR221" s="1" t="s">
        <v>103</v>
      </c>
      <c r="BS221" s="1" t="s">
        <v>4197</v>
      </c>
      <c r="BT221" s="1" t="str">
        <f aca="false">HYPERLINK("https%3A%2F%2Fwww.webofscience.com%2Fwos%2Fwoscc%2Ffull-record%2FWOS:000543671000001","View Full Record in Web of Science")</f>
        <v>View Full Record in Web of Science</v>
      </c>
    </row>
    <row r="222" customFormat="false" ht="12.75" hidden="false" customHeight="false" outlineLevel="0" collapsed="false">
      <c r="A222" s="1" t="s">
        <v>181</v>
      </c>
      <c r="B222" s="1" t="s">
        <v>4198</v>
      </c>
      <c r="C222" s="1"/>
      <c r="D222" s="1"/>
      <c r="E222" s="1"/>
      <c r="F222" s="1" t="s">
        <v>4199</v>
      </c>
      <c r="G222" s="1"/>
      <c r="H222" s="1"/>
      <c r="I222" s="1" t="s">
        <v>4200</v>
      </c>
      <c r="J222" s="1" t="s">
        <v>4201</v>
      </c>
      <c r="K222" s="1"/>
      <c r="L222" s="1"/>
      <c r="M222" s="1" t="s">
        <v>78</v>
      </c>
      <c r="N222" s="1" t="s">
        <v>186</v>
      </c>
      <c r="O222" s="1"/>
      <c r="P222" s="1"/>
      <c r="Q222" s="1"/>
      <c r="R222" s="1"/>
      <c r="S222" s="1"/>
      <c r="T222" s="1" t="s">
        <v>4202</v>
      </c>
      <c r="U222" s="1" t="s">
        <v>4203</v>
      </c>
      <c r="V222" s="1" t="s">
        <v>4204</v>
      </c>
      <c r="W222" s="1" t="s">
        <v>4205</v>
      </c>
      <c r="X222" s="1" t="s">
        <v>86</v>
      </c>
      <c r="Y222" s="1" t="s">
        <v>4206</v>
      </c>
      <c r="Z222" s="1" t="s">
        <v>4207</v>
      </c>
      <c r="AA222" s="1" t="s">
        <v>1985</v>
      </c>
      <c r="AB222" s="1" t="s">
        <v>4208</v>
      </c>
      <c r="AC222" s="1"/>
      <c r="AD222" s="1"/>
      <c r="AE222" s="1"/>
      <c r="AF222" s="1"/>
      <c r="AG222" s="1" t="n">
        <v>60</v>
      </c>
      <c r="AH222" s="1" t="n">
        <v>0</v>
      </c>
      <c r="AI222" s="1" t="n">
        <v>0</v>
      </c>
      <c r="AJ222" s="1" t="n">
        <v>0</v>
      </c>
      <c r="AK222" s="1" t="n">
        <v>0</v>
      </c>
      <c r="AL222" s="1" t="s">
        <v>367</v>
      </c>
      <c r="AM222" s="1" t="s">
        <v>368</v>
      </c>
      <c r="AN222" s="1" t="s">
        <v>369</v>
      </c>
      <c r="AO222" s="1" t="s">
        <v>4209</v>
      </c>
      <c r="AP222" s="1"/>
      <c r="AQ222" s="1"/>
      <c r="AR222" s="1" t="s">
        <v>4201</v>
      </c>
      <c r="AS222" s="1" t="s">
        <v>4210</v>
      </c>
      <c r="AT222" s="1" t="s">
        <v>1391</v>
      </c>
      <c r="AU222" s="1" t="n">
        <v>2024</v>
      </c>
      <c r="AV222" s="1" t="n">
        <v>16</v>
      </c>
      <c r="AW222" s="1" t="n">
        <v>11</v>
      </c>
      <c r="AX222" s="1"/>
      <c r="AY222" s="1"/>
      <c r="AZ222" s="1"/>
      <c r="BA222" s="1"/>
      <c r="BB222" s="1"/>
      <c r="BC222" s="1"/>
      <c r="BD222" s="1" t="n">
        <v>420</v>
      </c>
      <c r="BE222" s="1" t="s">
        <v>4211</v>
      </c>
      <c r="BF222" s="1" t="str">
        <f aca="false">HYPERLINK("http://dx.doi.org/10.3390/fi16110420","http://dx.doi.org/10.3390/fi16110420")</f>
        <v>http://dx.doi.org/10.3390/fi16110420</v>
      </c>
      <c r="BG222" s="1"/>
      <c r="BH222" s="1"/>
      <c r="BI222" s="1" t="n">
        <v>16</v>
      </c>
      <c r="BJ222" s="1" t="s">
        <v>4212</v>
      </c>
      <c r="BK222" s="1" t="s">
        <v>253</v>
      </c>
      <c r="BL222" s="1" t="s">
        <v>101</v>
      </c>
      <c r="BM222" s="1" t="s">
        <v>4213</v>
      </c>
      <c r="BN222" s="1"/>
      <c r="BO222" s="1" t="s">
        <v>401</v>
      </c>
      <c r="BP222" s="1"/>
      <c r="BQ222" s="1"/>
      <c r="BR222" s="1" t="s">
        <v>103</v>
      </c>
      <c r="BS222" s="1" t="s">
        <v>4214</v>
      </c>
      <c r="BT222" s="1" t="str">
        <f aca="false">HYPERLINK("https%3A%2F%2Fwww.webofscience.com%2Fwos%2Fwoscc%2Ffull-record%2FWOS:001365091400001","View Full Record in Web of Science")</f>
        <v>View Full Record in Web of Science</v>
      </c>
    </row>
    <row r="223" customFormat="false" ht="12.75" hidden="false" customHeight="false" outlineLevel="0" collapsed="false">
      <c r="A223" s="1" t="s">
        <v>181</v>
      </c>
      <c r="B223" s="1" t="s">
        <v>4215</v>
      </c>
      <c r="C223" s="1"/>
      <c r="D223" s="1"/>
      <c r="E223" s="1"/>
      <c r="F223" s="1" t="s">
        <v>4216</v>
      </c>
      <c r="G223" s="1"/>
      <c r="H223" s="1"/>
      <c r="I223" s="1" t="s">
        <v>4217</v>
      </c>
      <c r="J223" s="1" t="s">
        <v>4178</v>
      </c>
      <c r="K223" s="1"/>
      <c r="L223" s="1"/>
      <c r="M223" s="1" t="s">
        <v>78</v>
      </c>
      <c r="N223" s="1" t="s">
        <v>186</v>
      </c>
      <c r="O223" s="1"/>
      <c r="P223" s="1"/>
      <c r="Q223" s="1"/>
      <c r="R223" s="1"/>
      <c r="S223" s="1"/>
      <c r="T223" s="1" t="s">
        <v>4218</v>
      </c>
      <c r="U223" s="1" t="s">
        <v>4219</v>
      </c>
      <c r="V223" s="1" t="s">
        <v>4220</v>
      </c>
      <c r="W223" s="1" t="s">
        <v>4221</v>
      </c>
      <c r="X223" s="1" t="s">
        <v>86</v>
      </c>
      <c r="Y223" s="1" t="s">
        <v>4222</v>
      </c>
      <c r="Z223" s="1" t="s">
        <v>4223</v>
      </c>
      <c r="AA223" s="1" t="s">
        <v>1865</v>
      </c>
      <c r="AB223" s="1" t="s">
        <v>4224</v>
      </c>
      <c r="AC223" s="1" t="s">
        <v>4225</v>
      </c>
      <c r="AD223" s="1" t="s">
        <v>4225</v>
      </c>
      <c r="AE223" s="1" t="s">
        <v>4226</v>
      </c>
      <c r="AF223" s="1"/>
      <c r="AG223" s="1" t="n">
        <v>80</v>
      </c>
      <c r="AH223" s="1" t="n">
        <v>1</v>
      </c>
      <c r="AI223" s="1" t="n">
        <v>1</v>
      </c>
      <c r="AJ223" s="1" t="n">
        <v>0</v>
      </c>
      <c r="AK223" s="1" t="n">
        <v>4</v>
      </c>
      <c r="AL223" s="1" t="s">
        <v>600</v>
      </c>
      <c r="AM223" s="1" t="s">
        <v>601</v>
      </c>
      <c r="AN223" s="1" t="s">
        <v>602</v>
      </c>
      <c r="AO223" s="1" t="s">
        <v>4190</v>
      </c>
      <c r="AP223" s="1" t="s">
        <v>4191</v>
      </c>
      <c r="AQ223" s="1"/>
      <c r="AR223" s="1" t="s">
        <v>4192</v>
      </c>
      <c r="AS223" s="1" t="s">
        <v>4193</v>
      </c>
      <c r="AT223" s="1" t="s">
        <v>537</v>
      </c>
      <c r="AU223" s="1" t="n">
        <v>2023</v>
      </c>
      <c r="AV223" s="1" t="n">
        <v>35</v>
      </c>
      <c r="AW223" s="1" t="n">
        <v>2</v>
      </c>
      <c r="AX223" s="1"/>
      <c r="AY223" s="1"/>
      <c r="AZ223" s="1"/>
      <c r="BA223" s="1"/>
      <c r="BB223" s="1"/>
      <c r="BC223" s="1"/>
      <c r="BD223" s="1" t="s">
        <v>4227</v>
      </c>
      <c r="BE223" s="1" t="s">
        <v>4228</v>
      </c>
      <c r="BF223" s="1" t="str">
        <f aca="false">HYPERLINK("http://dx.doi.org/10.1002/smr.2506","http://dx.doi.org/10.1002/smr.2506")</f>
        <v>http://dx.doi.org/10.1002/smr.2506</v>
      </c>
      <c r="BG223" s="1"/>
      <c r="BH223" s="1" t="s">
        <v>3679</v>
      </c>
      <c r="BI223" s="1" t="n">
        <v>26</v>
      </c>
      <c r="BJ223" s="1" t="s">
        <v>252</v>
      </c>
      <c r="BK223" s="1" t="s">
        <v>204</v>
      </c>
      <c r="BL223" s="1" t="s">
        <v>101</v>
      </c>
      <c r="BM223" s="1" t="s">
        <v>4229</v>
      </c>
      <c r="BN223" s="1"/>
      <c r="BO223" s="1" t="s">
        <v>207</v>
      </c>
      <c r="BP223" s="1"/>
      <c r="BQ223" s="1"/>
      <c r="BR223" s="1" t="s">
        <v>103</v>
      </c>
      <c r="BS223" s="1" t="s">
        <v>4230</v>
      </c>
      <c r="BT223" s="1" t="str">
        <f aca="false">HYPERLINK("https%3A%2F%2Fwww.webofscience.com%2Fwos%2Fwoscc%2Ffull-record%2FWOS:000852963100001","View Full Record in Web of Science")</f>
        <v>View Full Record in Web of Science</v>
      </c>
    </row>
    <row r="224" customFormat="false" ht="12.75" hidden="false" customHeight="false" outlineLevel="0" collapsed="false">
      <c r="A224" s="1" t="s">
        <v>72</v>
      </c>
      <c r="B224" s="1" t="s">
        <v>4231</v>
      </c>
      <c r="C224" s="1"/>
      <c r="D224" s="1" t="s">
        <v>4232</v>
      </c>
      <c r="E224" s="1"/>
      <c r="F224" s="1" t="s">
        <v>4233</v>
      </c>
      <c r="G224" s="1"/>
      <c r="H224" s="1"/>
      <c r="I224" s="1" t="s">
        <v>4234</v>
      </c>
      <c r="J224" s="1" t="s">
        <v>4235</v>
      </c>
      <c r="K224" s="1" t="s">
        <v>4236</v>
      </c>
      <c r="L224" s="1"/>
      <c r="M224" s="1" t="s">
        <v>78</v>
      </c>
      <c r="N224" s="1" t="s">
        <v>79</v>
      </c>
      <c r="O224" s="1" t="s">
        <v>4237</v>
      </c>
      <c r="P224" s="1" t="s">
        <v>4238</v>
      </c>
      <c r="Q224" s="1" t="s">
        <v>3030</v>
      </c>
      <c r="R224" s="1" t="s">
        <v>4239</v>
      </c>
      <c r="S224" s="1"/>
      <c r="T224" s="1" t="s">
        <v>4240</v>
      </c>
      <c r="U224" s="1"/>
      <c r="V224" s="1" t="s">
        <v>4241</v>
      </c>
      <c r="W224" s="1" t="s">
        <v>4242</v>
      </c>
      <c r="X224" s="1" t="s">
        <v>86</v>
      </c>
      <c r="Y224" s="1" t="s">
        <v>4243</v>
      </c>
      <c r="Z224" s="1" t="s">
        <v>4244</v>
      </c>
      <c r="AA224" s="1" t="s">
        <v>4245</v>
      </c>
      <c r="AB224" s="1" t="s">
        <v>4246</v>
      </c>
      <c r="AC224" s="1" t="s">
        <v>4247</v>
      </c>
      <c r="AD224" s="1" t="s">
        <v>4248</v>
      </c>
      <c r="AE224" s="1" t="s">
        <v>4249</v>
      </c>
      <c r="AF224" s="1"/>
      <c r="AG224" s="1" t="n">
        <v>23</v>
      </c>
      <c r="AH224" s="1" t="n">
        <v>0</v>
      </c>
      <c r="AI224" s="1" t="n">
        <v>0</v>
      </c>
      <c r="AJ224" s="1" t="n">
        <v>0</v>
      </c>
      <c r="AK224" s="1" t="n">
        <v>4</v>
      </c>
      <c r="AL224" s="1" t="s">
        <v>4250</v>
      </c>
      <c r="AM224" s="1" t="s">
        <v>4251</v>
      </c>
      <c r="AN224" s="1" t="s">
        <v>4252</v>
      </c>
      <c r="AO224" s="1" t="s">
        <v>4253</v>
      </c>
      <c r="AP224" s="1" t="s">
        <v>4254</v>
      </c>
      <c r="AQ224" s="1" t="s">
        <v>4255</v>
      </c>
      <c r="AR224" s="1" t="s">
        <v>4256</v>
      </c>
      <c r="AS224" s="1"/>
      <c r="AT224" s="1"/>
      <c r="AU224" s="1" t="n">
        <v>2022</v>
      </c>
      <c r="AV224" s="1" t="n">
        <v>12276</v>
      </c>
      <c r="AW224" s="1"/>
      <c r="AX224" s="1"/>
      <c r="AY224" s="1"/>
      <c r="AZ224" s="1"/>
      <c r="BA224" s="1"/>
      <c r="BB224" s="1"/>
      <c r="BC224" s="1"/>
      <c r="BD224" s="1" t="s">
        <v>4257</v>
      </c>
      <c r="BE224" s="1" t="s">
        <v>4258</v>
      </c>
      <c r="BF224" s="1" t="str">
        <f aca="false">HYPERLINK("http://dx.doi.org/10.1117/12.2636274","http://dx.doi.org/10.1117/12.2636274")</f>
        <v>http://dx.doi.org/10.1117/12.2636274</v>
      </c>
      <c r="BG224" s="1"/>
      <c r="BH224" s="1"/>
      <c r="BI224" s="1" t="n">
        <v>7</v>
      </c>
      <c r="BJ224" s="1" t="s">
        <v>1625</v>
      </c>
      <c r="BK224" s="1" t="s">
        <v>100</v>
      </c>
      <c r="BL224" s="1" t="s">
        <v>101</v>
      </c>
      <c r="BM224" s="1" t="s">
        <v>4259</v>
      </c>
      <c r="BN224" s="1"/>
      <c r="BO224" s="1" t="s">
        <v>227</v>
      </c>
      <c r="BP224" s="1"/>
      <c r="BQ224" s="1"/>
      <c r="BR224" s="1" t="s">
        <v>103</v>
      </c>
      <c r="BS224" s="1" t="s">
        <v>4260</v>
      </c>
      <c r="BT224" s="1" t="str">
        <f aca="false">HYPERLINK("https%3A%2F%2Fwww.webofscience.com%2Fwos%2Fwoscc%2Ffull-record%2FWOS:000906230300013","View Full Record in Web of Science")</f>
        <v>View Full Record in Web of Science</v>
      </c>
    </row>
    <row r="225" customFormat="false" ht="12.75" hidden="false" customHeight="false" outlineLevel="0" collapsed="false">
      <c r="A225" s="1" t="s">
        <v>72</v>
      </c>
      <c r="B225" s="1" t="s">
        <v>4261</v>
      </c>
      <c r="C225" s="1"/>
      <c r="D225" s="1" t="s">
        <v>1975</v>
      </c>
      <c r="E225" s="1"/>
      <c r="F225" s="1" t="s">
        <v>4262</v>
      </c>
      <c r="G225" s="1"/>
      <c r="H225" s="1"/>
      <c r="I225" s="1" t="s">
        <v>4263</v>
      </c>
      <c r="J225" s="1" t="s">
        <v>1978</v>
      </c>
      <c r="K225" s="1"/>
      <c r="L225" s="1"/>
      <c r="M225" s="1" t="s">
        <v>78</v>
      </c>
      <c r="N225" s="1" t="s">
        <v>79</v>
      </c>
      <c r="O225" s="1" t="s">
        <v>1979</v>
      </c>
      <c r="P225" s="1" t="s">
        <v>1980</v>
      </c>
      <c r="Q225" s="1" t="s">
        <v>320</v>
      </c>
      <c r="R225" s="1"/>
      <c r="S225" s="1"/>
      <c r="T225" s="1" t="s">
        <v>4264</v>
      </c>
      <c r="U225" s="1"/>
      <c r="V225" s="1" t="s">
        <v>4265</v>
      </c>
      <c r="W225" s="1" t="s">
        <v>4266</v>
      </c>
      <c r="X225" s="1" t="s">
        <v>86</v>
      </c>
      <c r="Y225" s="1" t="s">
        <v>4267</v>
      </c>
      <c r="Z225" s="1"/>
      <c r="AA225" s="1"/>
      <c r="AB225" s="1"/>
      <c r="AC225" s="1"/>
      <c r="AD225" s="1"/>
      <c r="AE225" s="1"/>
      <c r="AF225" s="1"/>
      <c r="AG225" s="1" t="n">
        <v>18</v>
      </c>
      <c r="AH225" s="1" t="n">
        <v>0</v>
      </c>
      <c r="AI225" s="1" t="n">
        <v>0</v>
      </c>
      <c r="AJ225" s="1" t="n">
        <v>0</v>
      </c>
      <c r="AK225" s="1" t="n">
        <v>10</v>
      </c>
      <c r="AL225" s="1" t="s">
        <v>1721</v>
      </c>
      <c r="AM225" s="1" t="s">
        <v>1722</v>
      </c>
      <c r="AN225" s="1" t="s">
        <v>1723</v>
      </c>
      <c r="AO225" s="1"/>
      <c r="AP225" s="1"/>
      <c r="AQ225" s="1" t="s">
        <v>1987</v>
      </c>
      <c r="AR225" s="1"/>
      <c r="AS225" s="1"/>
      <c r="AT225" s="1"/>
      <c r="AU225" s="1" t="n">
        <v>2020</v>
      </c>
      <c r="AV225" s="1"/>
      <c r="AW225" s="1"/>
      <c r="AX225" s="1"/>
      <c r="AY225" s="1"/>
      <c r="AZ225" s="1"/>
      <c r="BA225" s="1"/>
      <c r="BB225" s="1" t="n">
        <v>115</v>
      </c>
      <c r="BC225" s="1" t="n">
        <v>122</v>
      </c>
      <c r="BD225" s="1"/>
      <c r="BE225" s="1" t="s">
        <v>4268</v>
      </c>
      <c r="BF225" s="1" t="str">
        <f aca="false">HYPERLINK("http://dx.doi.org/10.5220/0009886901150122","http://dx.doi.org/10.5220/0009886901150122")</f>
        <v>http://dx.doi.org/10.5220/0009886901150122</v>
      </c>
      <c r="BG225" s="1"/>
      <c r="BH225" s="1"/>
      <c r="BI225" s="1" t="n">
        <v>8</v>
      </c>
      <c r="BJ225" s="1" t="s">
        <v>1989</v>
      </c>
      <c r="BK225" s="1" t="s">
        <v>100</v>
      </c>
      <c r="BL225" s="1" t="s">
        <v>1990</v>
      </c>
      <c r="BM225" s="1" t="s">
        <v>1991</v>
      </c>
      <c r="BN225" s="1"/>
      <c r="BO225" s="1" t="s">
        <v>612</v>
      </c>
      <c r="BP225" s="1"/>
      <c r="BQ225" s="1"/>
      <c r="BR225" s="1" t="s">
        <v>103</v>
      </c>
      <c r="BS225" s="1" t="s">
        <v>4269</v>
      </c>
      <c r="BT225" s="1" t="str">
        <f aca="false">HYPERLINK("https%3A%2F%2Fwww.webofscience.com%2Fwos%2Fwoscc%2Ffull-record%2FWOS:000615962300011","View Full Record in Web of Science")</f>
        <v>View Full Record in Web of Science</v>
      </c>
    </row>
    <row r="226" customFormat="false" ht="12.75" hidden="false" customHeight="false" outlineLevel="0" collapsed="false">
      <c r="A226" s="1" t="s">
        <v>181</v>
      </c>
      <c r="B226" s="1" t="s">
        <v>4270</v>
      </c>
      <c r="C226" s="1"/>
      <c r="D226" s="1"/>
      <c r="E226" s="1"/>
      <c r="F226" s="1" t="s">
        <v>4271</v>
      </c>
      <c r="G226" s="1"/>
      <c r="H226" s="1"/>
      <c r="I226" s="1" t="s">
        <v>4272</v>
      </c>
      <c r="J226" s="1" t="s">
        <v>671</v>
      </c>
      <c r="K226" s="1"/>
      <c r="L226" s="1"/>
      <c r="M226" s="1" t="s">
        <v>78</v>
      </c>
      <c r="N226" s="1" t="s">
        <v>186</v>
      </c>
      <c r="O226" s="1"/>
      <c r="P226" s="1"/>
      <c r="Q226" s="1"/>
      <c r="R226" s="1"/>
      <c r="S226" s="1"/>
      <c r="T226" s="1" t="s">
        <v>4273</v>
      </c>
      <c r="U226" s="1" t="s">
        <v>4274</v>
      </c>
      <c r="V226" s="1" t="s">
        <v>4275</v>
      </c>
      <c r="W226" s="1" t="s">
        <v>4276</v>
      </c>
      <c r="X226" s="1" t="s">
        <v>4095</v>
      </c>
      <c r="Y226" s="1" t="s">
        <v>4277</v>
      </c>
      <c r="Z226" s="1" t="s">
        <v>4278</v>
      </c>
      <c r="AA226" s="1"/>
      <c r="AB226" s="1"/>
      <c r="AC226" s="1" t="s">
        <v>4279</v>
      </c>
      <c r="AD226" s="1" t="s">
        <v>4279</v>
      </c>
      <c r="AE226" s="1" t="s">
        <v>4280</v>
      </c>
      <c r="AF226" s="1"/>
      <c r="AG226" s="1" t="n">
        <v>143</v>
      </c>
      <c r="AH226" s="1" t="n">
        <v>0</v>
      </c>
      <c r="AI226" s="1" t="n">
        <v>0</v>
      </c>
      <c r="AJ226" s="1" t="n">
        <v>5</v>
      </c>
      <c r="AK226" s="1" t="n">
        <v>5</v>
      </c>
      <c r="AL226" s="1" t="s">
        <v>679</v>
      </c>
      <c r="AM226" s="1" t="s">
        <v>680</v>
      </c>
      <c r="AN226" s="1" t="s">
        <v>681</v>
      </c>
      <c r="AO226" s="1" t="s">
        <v>682</v>
      </c>
      <c r="AP226" s="1" t="s">
        <v>683</v>
      </c>
      <c r="AQ226" s="1"/>
      <c r="AR226" s="1" t="s">
        <v>684</v>
      </c>
      <c r="AS226" s="1" t="s">
        <v>685</v>
      </c>
      <c r="AT226" s="1" t="s">
        <v>537</v>
      </c>
      <c r="AU226" s="1" t="n">
        <v>2025</v>
      </c>
      <c r="AV226" s="1" t="n">
        <v>30</v>
      </c>
      <c r="AW226" s="1" t="n">
        <v>1</v>
      </c>
      <c r="AX226" s="1"/>
      <c r="AY226" s="1"/>
      <c r="AZ226" s="1"/>
      <c r="BA226" s="1"/>
      <c r="BB226" s="1"/>
      <c r="BC226" s="1"/>
      <c r="BD226" s="1" t="n">
        <v>35</v>
      </c>
      <c r="BE226" s="1" t="s">
        <v>4281</v>
      </c>
      <c r="BF226" s="1" t="str">
        <f aca="false">HYPERLINK("http://dx.doi.org/10.1007/s10664-024-10543-8","http://dx.doi.org/10.1007/s10664-024-10543-8")</f>
        <v>http://dx.doi.org/10.1007/s10664-024-10543-8</v>
      </c>
      <c r="BG226" s="1"/>
      <c r="BH226" s="1"/>
      <c r="BI226" s="1" t="n">
        <v>42</v>
      </c>
      <c r="BJ226" s="1" t="s">
        <v>252</v>
      </c>
      <c r="BK226" s="1" t="s">
        <v>204</v>
      </c>
      <c r="BL226" s="1" t="s">
        <v>101</v>
      </c>
      <c r="BM226" s="1" t="s">
        <v>4282</v>
      </c>
      <c r="BN226" s="1"/>
      <c r="BO226" s="1" t="s">
        <v>282</v>
      </c>
      <c r="BP226" s="1"/>
      <c r="BQ226" s="1"/>
      <c r="BR226" s="1" t="s">
        <v>103</v>
      </c>
      <c r="BS226" s="1" t="s">
        <v>4283</v>
      </c>
      <c r="BT226" s="1" t="str">
        <f aca="false">HYPERLINK("https%3A%2F%2Fwww.webofscience.com%2Fwos%2Fwoscc%2Ffull-record%2FWOS:001369365400001","View Full Record in Web of Science")</f>
        <v>View Full Record in Web of Science</v>
      </c>
    </row>
    <row r="227" customFormat="false" ht="12.75" hidden="false" customHeight="false" outlineLevel="0" collapsed="false">
      <c r="A227" s="1" t="s">
        <v>72</v>
      </c>
      <c r="B227" s="1" t="s">
        <v>4284</v>
      </c>
      <c r="C227" s="1"/>
      <c r="D227" s="1" t="s">
        <v>4285</v>
      </c>
      <c r="E227" s="1"/>
      <c r="F227" s="1" t="s">
        <v>4286</v>
      </c>
      <c r="G227" s="1"/>
      <c r="H227" s="1"/>
      <c r="I227" s="1" t="s">
        <v>4287</v>
      </c>
      <c r="J227" s="1" t="s">
        <v>4288</v>
      </c>
      <c r="K227" s="1" t="s">
        <v>289</v>
      </c>
      <c r="L227" s="1"/>
      <c r="M227" s="1" t="s">
        <v>78</v>
      </c>
      <c r="N227" s="1" t="s">
        <v>79</v>
      </c>
      <c r="O227" s="1" t="s">
        <v>4289</v>
      </c>
      <c r="P227" s="1" t="s">
        <v>4290</v>
      </c>
      <c r="Q227" s="1" t="s">
        <v>1757</v>
      </c>
      <c r="R227" s="1"/>
      <c r="S227" s="1"/>
      <c r="T227" s="1" t="s">
        <v>4291</v>
      </c>
      <c r="U227" s="1"/>
      <c r="V227" s="1" t="s">
        <v>4292</v>
      </c>
      <c r="W227" s="1" t="s">
        <v>4293</v>
      </c>
      <c r="X227" s="1" t="s">
        <v>86</v>
      </c>
      <c r="Y227" s="1" t="s">
        <v>4294</v>
      </c>
      <c r="Z227" s="1" t="s">
        <v>4295</v>
      </c>
      <c r="AA227" s="1" t="s">
        <v>4296</v>
      </c>
      <c r="AB227" s="1" t="s">
        <v>4297</v>
      </c>
      <c r="AC227" s="1"/>
      <c r="AD227" s="1"/>
      <c r="AE227" s="1"/>
      <c r="AF227" s="1"/>
      <c r="AG227" s="1" t="n">
        <v>17</v>
      </c>
      <c r="AH227" s="1" t="n">
        <v>4</v>
      </c>
      <c r="AI227" s="1" t="n">
        <v>4</v>
      </c>
      <c r="AJ227" s="1" t="n">
        <v>0</v>
      </c>
      <c r="AK227" s="1" t="n">
        <v>5</v>
      </c>
      <c r="AL227" s="1" t="s">
        <v>302</v>
      </c>
      <c r="AM227" s="1" t="s">
        <v>303</v>
      </c>
      <c r="AN227" s="1" t="s">
        <v>304</v>
      </c>
      <c r="AO227" s="1" t="s">
        <v>305</v>
      </c>
      <c r="AP227" s="1" t="s">
        <v>306</v>
      </c>
      <c r="AQ227" s="1" t="s">
        <v>4298</v>
      </c>
      <c r="AR227" s="1" t="s">
        <v>308</v>
      </c>
      <c r="AS227" s="1"/>
      <c r="AT227" s="1"/>
      <c r="AU227" s="1" t="n">
        <v>2022</v>
      </c>
      <c r="AV227" s="1" t="n">
        <v>647</v>
      </c>
      <c r="AW227" s="1"/>
      <c r="AX227" s="1"/>
      <c r="AY227" s="1"/>
      <c r="AZ227" s="1"/>
      <c r="BA227" s="1"/>
      <c r="BB227" s="1" t="n">
        <v>437</v>
      </c>
      <c r="BC227" s="1" t="n">
        <v>449</v>
      </c>
      <c r="BD227" s="1"/>
      <c r="BE227" s="1" t="s">
        <v>4299</v>
      </c>
      <c r="BF227" s="1" t="str">
        <f aca="false">HYPERLINK("http://dx.doi.org/10.1007/978-3-031-08337-2_36","http://dx.doi.org/10.1007/978-3-031-08337-2_36")</f>
        <v>http://dx.doi.org/10.1007/978-3-031-08337-2_36</v>
      </c>
      <c r="BG227" s="1"/>
      <c r="BH227" s="1"/>
      <c r="BI227" s="1" t="n">
        <v>13</v>
      </c>
      <c r="BJ227" s="1" t="s">
        <v>2972</v>
      </c>
      <c r="BK227" s="1" t="s">
        <v>100</v>
      </c>
      <c r="BL227" s="1" t="s">
        <v>101</v>
      </c>
      <c r="BM227" s="1" t="s">
        <v>4300</v>
      </c>
      <c r="BN227" s="1"/>
      <c r="BO227" s="1"/>
      <c r="BP227" s="1"/>
      <c r="BQ227" s="1"/>
      <c r="BR227" s="1" t="s">
        <v>103</v>
      </c>
      <c r="BS227" s="1" t="s">
        <v>4301</v>
      </c>
      <c r="BT227" s="1" t="str">
        <f aca="false">HYPERLINK("https%3A%2F%2Fwww.webofscience.com%2Fwos%2Fwoscc%2Ffull-record%2FWOS:000927893200036","View Full Record in Web of Science")</f>
        <v>View Full Record in Web of Science</v>
      </c>
    </row>
    <row r="228" customFormat="false" ht="12.75" hidden="false" customHeight="false" outlineLevel="0" collapsed="false">
      <c r="A228" s="1" t="s">
        <v>72</v>
      </c>
      <c r="B228" s="1" t="s">
        <v>4302</v>
      </c>
      <c r="C228" s="1"/>
      <c r="D228" s="1" t="s">
        <v>4303</v>
      </c>
      <c r="E228" s="1"/>
      <c r="F228" s="1" t="s">
        <v>4304</v>
      </c>
      <c r="G228" s="1"/>
      <c r="H228" s="1"/>
      <c r="I228" s="1" t="s">
        <v>4305</v>
      </c>
      <c r="J228" s="1" t="s">
        <v>4306</v>
      </c>
      <c r="K228" s="1" t="s">
        <v>4307</v>
      </c>
      <c r="L228" s="1"/>
      <c r="M228" s="1" t="s">
        <v>78</v>
      </c>
      <c r="N228" s="1" t="s">
        <v>79</v>
      </c>
      <c r="O228" s="1" t="s">
        <v>4308</v>
      </c>
      <c r="P228" s="1" t="s">
        <v>4309</v>
      </c>
      <c r="Q228" s="1" t="s">
        <v>4310</v>
      </c>
      <c r="R228" s="1"/>
      <c r="S228" s="1"/>
      <c r="T228" s="1" t="s">
        <v>4311</v>
      </c>
      <c r="U228" s="1" t="s">
        <v>981</v>
      </c>
      <c r="V228" s="1" t="s">
        <v>4312</v>
      </c>
      <c r="W228" s="1" t="s">
        <v>4313</v>
      </c>
      <c r="X228" s="1" t="s">
        <v>86</v>
      </c>
      <c r="Y228" s="1" t="s">
        <v>4314</v>
      </c>
      <c r="Z228" s="1" t="s">
        <v>4315</v>
      </c>
      <c r="AA228" s="1" t="s">
        <v>936</v>
      </c>
      <c r="AB228" s="1" t="s">
        <v>937</v>
      </c>
      <c r="AC228" s="1"/>
      <c r="AD228" s="1"/>
      <c r="AE228" s="1"/>
      <c r="AF228" s="1"/>
      <c r="AG228" s="1" t="n">
        <v>32</v>
      </c>
      <c r="AH228" s="1" t="n">
        <v>0</v>
      </c>
      <c r="AI228" s="1" t="n">
        <v>0</v>
      </c>
      <c r="AJ228" s="1" t="n">
        <v>1</v>
      </c>
      <c r="AK228" s="1" t="n">
        <v>1</v>
      </c>
      <c r="AL228" s="1" t="s">
        <v>302</v>
      </c>
      <c r="AM228" s="1" t="s">
        <v>303</v>
      </c>
      <c r="AN228" s="1" t="s">
        <v>304</v>
      </c>
      <c r="AO228" s="1" t="s">
        <v>4316</v>
      </c>
      <c r="AP228" s="1" t="s">
        <v>4317</v>
      </c>
      <c r="AQ228" s="1" t="s">
        <v>4318</v>
      </c>
      <c r="AR228" s="1" t="s">
        <v>4319</v>
      </c>
      <c r="AS228" s="1"/>
      <c r="AT228" s="1"/>
      <c r="AU228" s="1" t="n">
        <v>2024</v>
      </c>
      <c r="AV228" s="1" t="n">
        <v>822</v>
      </c>
      <c r="AW228" s="1"/>
      <c r="AX228" s="1"/>
      <c r="AY228" s="1"/>
      <c r="AZ228" s="1"/>
      <c r="BA228" s="1"/>
      <c r="BB228" s="1" t="n">
        <v>1</v>
      </c>
      <c r="BC228" s="1" t="n">
        <v>16</v>
      </c>
      <c r="BD228" s="1"/>
      <c r="BE228" s="1" t="s">
        <v>4320</v>
      </c>
      <c r="BF228" s="1" t="str">
        <f aca="false">HYPERLINK("http://dx.doi.org/10.1007/978-3-031-47721-8_1","http://dx.doi.org/10.1007/978-3-031-47721-8_1")</f>
        <v>http://dx.doi.org/10.1007/978-3-031-47721-8_1</v>
      </c>
      <c r="BG228" s="1"/>
      <c r="BH228" s="1"/>
      <c r="BI228" s="1" t="n">
        <v>16</v>
      </c>
      <c r="BJ228" s="1" t="s">
        <v>3772</v>
      </c>
      <c r="BK228" s="1" t="s">
        <v>100</v>
      </c>
      <c r="BL228" s="1" t="s">
        <v>101</v>
      </c>
      <c r="BM228" s="1" t="s">
        <v>4321</v>
      </c>
      <c r="BN228" s="1"/>
      <c r="BO228" s="1"/>
      <c r="BP228" s="1"/>
      <c r="BQ228" s="1"/>
      <c r="BR228" s="1" t="s">
        <v>103</v>
      </c>
      <c r="BS228" s="1" t="s">
        <v>4322</v>
      </c>
      <c r="BT228" s="1" t="str">
        <f aca="false">HYPERLINK("https%3A%2F%2Fwww.webofscience.com%2Fwos%2Fwoscc%2Ffull-record%2FWOS:001261691200001","View Full Record in Web of Science")</f>
        <v>View Full Record in Web of Science</v>
      </c>
    </row>
    <row r="229" customFormat="false" ht="12.75" hidden="false" customHeight="false" outlineLevel="0" collapsed="false">
      <c r="A229" s="1" t="s">
        <v>72</v>
      </c>
      <c r="B229" s="1" t="s">
        <v>4323</v>
      </c>
      <c r="C229" s="1"/>
      <c r="D229" s="1" t="s">
        <v>4324</v>
      </c>
      <c r="E229" s="1"/>
      <c r="F229" s="1" t="s">
        <v>4325</v>
      </c>
      <c r="G229" s="1"/>
      <c r="H229" s="1"/>
      <c r="I229" s="1" t="s">
        <v>4326</v>
      </c>
      <c r="J229" s="1" t="s">
        <v>4327</v>
      </c>
      <c r="K229" s="1" t="s">
        <v>976</v>
      </c>
      <c r="L229" s="1"/>
      <c r="M229" s="1" t="s">
        <v>78</v>
      </c>
      <c r="N229" s="1" t="s">
        <v>79</v>
      </c>
      <c r="O229" s="1" t="s">
        <v>4328</v>
      </c>
      <c r="P229" s="1" t="s">
        <v>4329</v>
      </c>
      <c r="Q229" s="1" t="s">
        <v>4330</v>
      </c>
      <c r="R229" s="1"/>
      <c r="S229" s="1"/>
      <c r="T229" s="1" t="s">
        <v>4331</v>
      </c>
      <c r="U229" s="1"/>
      <c r="V229" s="1" t="s">
        <v>4332</v>
      </c>
      <c r="W229" s="1" t="s">
        <v>4333</v>
      </c>
      <c r="X229" s="1" t="s">
        <v>86</v>
      </c>
      <c r="Y229" s="1" t="s">
        <v>4334</v>
      </c>
      <c r="Z229" s="1" t="s">
        <v>4335</v>
      </c>
      <c r="AA229" s="1" t="s">
        <v>4336</v>
      </c>
      <c r="AB229" s="1" t="s">
        <v>1762</v>
      </c>
      <c r="AC229" s="1" t="s">
        <v>4337</v>
      </c>
      <c r="AD229" s="1" t="s">
        <v>4338</v>
      </c>
      <c r="AE229" s="1" t="s">
        <v>4339</v>
      </c>
      <c r="AF229" s="1"/>
      <c r="AG229" s="1" t="n">
        <v>15</v>
      </c>
      <c r="AH229" s="1" t="n">
        <v>0</v>
      </c>
      <c r="AI229" s="1" t="n">
        <v>0</v>
      </c>
      <c r="AJ229" s="1" t="n">
        <v>0</v>
      </c>
      <c r="AK229" s="1" t="n">
        <v>0</v>
      </c>
      <c r="AL229" s="1" t="s">
        <v>302</v>
      </c>
      <c r="AM229" s="1" t="s">
        <v>303</v>
      </c>
      <c r="AN229" s="1" t="s">
        <v>304</v>
      </c>
      <c r="AO229" s="1" t="s">
        <v>989</v>
      </c>
      <c r="AP229" s="1" t="s">
        <v>990</v>
      </c>
      <c r="AQ229" s="1" t="s">
        <v>4340</v>
      </c>
      <c r="AR229" s="1" t="s">
        <v>992</v>
      </c>
      <c r="AS229" s="1"/>
      <c r="AT229" s="1"/>
      <c r="AU229" s="1" t="n">
        <v>2024</v>
      </c>
      <c r="AV229" s="1" t="n">
        <v>14642</v>
      </c>
      <c r="AW229" s="1"/>
      <c r="AX229" s="1"/>
      <c r="AY229" s="1"/>
      <c r="AZ229" s="1"/>
      <c r="BA229" s="1"/>
      <c r="BB229" s="1" t="n">
        <v>119</v>
      </c>
      <c r="BC229" s="1" t="n">
        <v>130</v>
      </c>
      <c r="BD229" s="1"/>
      <c r="BE229" s="1" t="s">
        <v>4341</v>
      </c>
      <c r="BF229" s="1" t="str">
        <f aca="false">HYPERLINK("http://dx.doi.org/10.1007/978-3-031-58553-1_10","http://dx.doi.org/10.1007/978-3-031-58553-1_10")</f>
        <v>http://dx.doi.org/10.1007/978-3-031-58553-1_10</v>
      </c>
      <c r="BG229" s="1"/>
      <c r="BH229" s="1"/>
      <c r="BI229" s="1" t="n">
        <v>12</v>
      </c>
      <c r="BJ229" s="1" t="s">
        <v>2972</v>
      </c>
      <c r="BK229" s="1" t="s">
        <v>100</v>
      </c>
      <c r="BL229" s="1" t="s">
        <v>101</v>
      </c>
      <c r="BM229" s="1" t="s">
        <v>4342</v>
      </c>
      <c r="BN229" s="1"/>
      <c r="BO229" s="1"/>
      <c r="BP229" s="1"/>
      <c r="BQ229" s="1"/>
      <c r="BR229" s="1" t="s">
        <v>103</v>
      </c>
      <c r="BS229" s="1" t="s">
        <v>4343</v>
      </c>
      <c r="BT229" s="1" t="str">
        <f aca="false">HYPERLINK("https%3A%2F%2Fwww.webofscience.com%2Fwos%2Fwoscc%2Ffull-record%2FWOS:001295920900010","View Full Record in Web of Science")</f>
        <v>View Full Record in Web of Science</v>
      </c>
    </row>
    <row r="230" customFormat="false" ht="12.75" hidden="false" customHeight="false" outlineLevel="0" collapsed="false">
      <c r="A230" s="1" t="s">
        <v>181</v>
      </c>
      <c r="B230" s="1" t="s">
        <v>4344</v>
      </c>
      <c r="C230" s="1"/>
      <c r="D230" s="1"/>
      <c r="E230" s="1"/>
      <c r="F230" s="1" t="s">
        <v>4345</v>
      </c>
      <c r="G230" s="1"/>
      <c r="H230" s="1"/>
      <c r="I230" s="1" t="s">
        <v>4346</v>
      </c>
      <c r="J230" s="1" t="s">
        <v>4347</v>
      </c>
      <c r="K230" s="1"/>
      <c r="L230" s="1"/>
      <c r="M230" s="1" t="s">
        <v>78</v>
      </c>
      <c r="N230" s="1" t="s">
        <v>186</v>
      </c>
      <c r="O230" s="1"/>
      <c r="P230" s="1"/>
      <c r="Q230" s="1"/>
      <c r="R230" s="1"/>
      <c r="S230" s="1"/>
      <c r="T230" s="1" t="s">
        <v>4348</v>
      </c>
      <c r="U230" s="1"/>
      <c r="V230" s="1" t="s">
        <v>4349</v>
      </c>
      <c r="W230" s="1" t="s">
        <v>4350</v>
      </c>
      <c r="X230" s="1" t="s">
        <v>86</v>
      </c>
      <c r="Y230" s="1" t="s">
        <v>4351</v>
      </c>
      <c r="Z230" s="1" t="s">
        <v>4352</v>
      </c>
      <c r="AA230" s="1" t="s">
        <v>1293</v>
      </c>
      <c r="AB230" s="1" t="s">
        <v>2091</v>
      </c>
      <c r="AC230" s="1" t="s">
        <v>4353</v>
      </c>
      <c r="AD230" s="1" t="s">
        <v>4354</v>
      </c>
      <c r="AE230" s="1" t="s">
        <v>4355</v>
      </c>
      <c r="AF230" s="1"/>
      <c r="AG230" s="1" t="n">
        <v>39</v>
      </c>
      <c r="AH230" s="1" t="n">
        <v>2</v>
      </c>
      <c r="AI230" s="1" t="n">
        <v>2</v>
      </c>
      <c r="AJ230" s="1" t="n">
        <v>5</v>
      </c>
      <c r="AK230" s="1" t="n">
        <v>34</v>
      </c>
      <c r="AL230" s="1" t="s">
        <v>367</v>
      </c>
      <c r="AM230" s="1" t="s">
        <v>368</v>
      </c>
      <c r="AN230" s="1" t="s">
        <v>369</v>
      </c>
      <c r="AO230" s="1" t="s">
        <v>4356</v>
      </c>
      <c r="AP230" s="1"/>
      <c r="AQ230" s="1"/>
      <c r="AR230" s="1" t="s">
        <v>4357</v>
      </c>
      <c r="AS230" s="1" t="s">
        <v>4358</v>
      </c>
      <c r="AT230" s="1" t="s">
        <v>474</v>
      </c>
      <c r="AU230" s="1" t="n">
        <v>2022</v>
      </c>
      <c r="AV230" s="1" t="n">
        <v>5</v>
      </c>
      <c r="AW230" s="1" t="n">
        <v>3</v>
      </c>
      <c r="AX230" s="1"/>
      <c r="AY230" s="1"/>
      <c r="AZ230" s="1"/>
      <c r="BA230" s="1"/>
      <c r="BB230" s="1" t="n">
        <v>1988</v>
      </c>
      <c r="BC230" s="1" t="n">
        <v>2006</v>
      </c>
      <c r="BD230" s="1"/>
      <c r="BE230" s="1" t="s">
        <v>4359</v>
      </c>
      <c r="BF230" s="1" t="str">
        <f aca="false">HYPERLINK("http://dx.doi.org/10.3390/heritage5030104","http://dx.doi.org/10.3390/heritage5030104")</f>
        <v>http://dx.doi.org/10.3390/heritage5030104</v>
      </c>
      <c r="BG230" s="1"/>
      <c r="BH230" s="1"/>
      <c r="BI230" s="1" t="n">
        <v>19</v>
      </c>
      <c r="BJ230" s="1" t="s">
        <v>4360</v>
      </c>
      <c r="BK230" s="1" t="s">
        <v>253</v>
      </c>
      <c r="BL230" s="1" t="s">
        <v>4361</v>
      </c>
      <c r="BM230" s="1" t="s">
        <v>4362</v>
      </c>
      <c r="BN230" s="1"/>
      <c r="BO230" s="1" t="s">
        <v>542</v>
      </c>
      <c r="BP230" s="1"/>
      <c r="BQ230" s="1"/>
      <c r="BR230" s="1" t="s">
        <v>103</v>
      </c>
      <c r="BS230" s="1" t="s">
        <v>4363</v>
      </c>
      <c r="BT230" s="1" t="str">
        <f aca="false">HYPERLINK("https%3A%2F%2Fwww.webofscience.com%2Fwos%2Fwoscc%2Ffull-record%2FWOS:000856443500001","View Full Record in Web of Science")</f>
        <v>View Full Record in Web of Science</v>
      </c>
    </row>
    <row r="231" customFormat="false" ht="12.75" hidden="false" customHeight="false" outlineLevel="0" collapsed="false">
      <c r="A231" s="1" t="s">
        <v>181</v>
      </c>
      <c r="B231" s="1" t="s">
        <v>4364</v>
      </c>
      <c r="C231" s="1"/>
      <c r="D231" s="1"/>
      <c r="E231" s="1"/>
      <c r="F231" s="1" t="s">
        <v>4365</v>
      </c>
      <c r="G231" s="1"/>
      <c r="H231" s="1"/>
      <c r="I231" s="1" t="s">
        <v>4366</v>
      </c>
      <c r="J231" s="1" t="s">
        <v>4367</v>
      </c>
      <c r="K231" s="1"/>
      <c r="L231" s="1"/>
      <c r="M231" s="1" t="s">
        <v>78</v>
      </c>
      <c r="N231" s="1" t="s">
        <v>186</v>
      </c>
      <c r="O231" s="1"/>
      <c r="P231" s="1"/>
      <c r="Q231" s="1"/>
      <c r="R231" s="1"/>
      <c r="S231" s="1"/>
      <c r="T231" s="1" t="s">
        <v>4368</v>
      </c>
      <c r="U231" s="1" t="s">
        <v>4369</v>
      </c>
      <c r="V231" s="1" t="s">
        <v>4370</v>
      </c>
      <c r="W231" s="1" t="s">
        <v>4371</v>
      </c>
      <c r="X231" s="1" t="s">
        <v>86</v>
      </c>
      <c r="Y231" s="1" t="s">
        <v>4372</v>
      </c>
      <c r="Z231" s="1" t="s">
        <v>4373</v>
      </c>
      <c r="AA231" s="1"/>
      <c r="AB231" s="1" t="s">
        <v>4374</v>
      </c>
      <c r="AC231" s="1"/>
      <c r="AD231" s="1"/>
      <c r="AE231" s="1"/>
      <c r="AF231" s="1"/>
      <c r="AG231" s="1" t="n">
        <v>20</v>
      </c>
      <c r="AH231" s="1" t="n">
        <v>2</v>
      </c>
      <c r="AI231" s="1" t="n">
        <v>2</v>
      </c>
      <c r="AJ231" s="1" t="n">
        <v>3</v>
      </c>
      <c r="AK231" s="1" t="n">
        <v>16</v>
      </c>
      <c r="AL231" s="1" t="s">
        <v>1220</v>
      </c>
      <c r="AM231" s="1" t="s">
        <v>1221</v>
      </c>
      <c r="AN231" s="1" t="s">
        <v>1222</v>
      </c>
      <c r="AO231" s="1" t="s">
        <v>4375</v>
      </c>
      <c r="AP231" s="1" t="s">
        <v>4376</v>
      </c>
      <c r="AQ231" s="1"/>
      <c r="AR231" s="1" t="s">
        <v>4377</v>
      </c>
      <c r="AS231" s="1" t="s">
        <v>4378</v>
      </c>
      <c r="AT231" s="1" t="s">
        <v>2554</v>
      </c>
      <c r="AU231" s="1" t="n">
        <v>2023</v>
      </c>
      <c r="AV231" s="1" t="n">
        <v>30</v>
      </c>
      <c r="AW231" s="1" t="n">
        <v>1</v>
      </c>
      <c r="AX231" s="1"/>
      <c r="AY231" s="1"/>
      <c r="AZ231" s="1"/>
      <c r="BA231" s="1"/>
      <c r="BB231" s="1" t="n">
        <v>33</v>
      </c>
      <c r="BC231" s="1" t="n">
        <v>52</v>
      </c>
      <c r="BD231" s="1"/>
      <c r="BE231" s="1" t="s">
        <v>4379</v>
      </c>
      <c r="BF231" s="1" t="str">
        <f aca="false">HYPERLINK("http://dx.doi.org/10.1080/0969594X.2023.2189566","http://dx.doi.org/10.1080/0969594X.2023.2189566")</f>
        <v>http://dx.doi.org/10.1080/0969594X.2023.2189566</v>
      </c>
      <c r="BG231" s="1"/>
      <c r="BH231" s="1" t="s">
        <v>4380</v>
      </c>
      <c r="BI231" s="1" t="n">
        <v>20</v>
      </c>
      <c r="BJ231" s="1" t="s">
        <v>924</v>
      </c>
      <c r="BK231" s="1" t="s">
        <v>610</v>
      </c>
      <c r="BL231" s="1" t="s">
        <v>924</v>
      </c>
      <c r="BM231" s="1" t="s">
        <v>4381</v>
      </c>
      <c r="BN231" s="1"/>
      <c r="BO231" s="1" t="s">
        <v>207</v>
      </c>
      <c r="BP231" s="1"/>
      <c r="BQ231" s="1"/>
      <c r="BR231" s="1" t="s">
        <v>103</v>
      </c>
      <c r="BS231" s="1" t="s">
        <v>4382</v>
      </c>
      <c r="BT231" s="1" t="str">
        <f aca="false">HYPERLINK("https%3A%2F%2Fwww.webofscience.com%2Fwos%2Fwoscc%2Ffull-record%2FWOS:000949755600001","View Full Record in Web of Science")</f>
        <v>View Full Record in Web of Science</v>
      </c>
    </row>
    <row r="232" customFormat="false" ht="12.75" hidden="false" customHeight="false" outlineLevel="0" collapsed="false">
      <c r="A232" s="1" t="s">
        <v>72</v>
      </c>
      <c r="B232" s="1" t="s">
        <v>4383</v>
      </c>
      <c r="C232" s="1"/>
      <c r="D232" s="1" t="s">
        <v>3961</v>
      </c>
      <c r="E232" s="1"/>
      <c r="F232" s="1" t="s">
        <v>4384</v>
      </c>
      <c r="G232" s="1"/>
      <c r="H232" s="1"/>
      <c r="I232" s="1" t="s">
        <v>4385</v>
      </c>
      <c r="J232" s="1" t="s">
        <v>3964</v>
      </c>
      <c r="K232" s="1"/>
      <c r="L232" s="1"/>
      <c r="M232" s="1" t="s">
        <v>78</v>
      </c>
      <c r="N232" s="1" t="s">
        <v>79</v>
      </c>
      <c r="O232" s="1" t="s">
        <v>3965</v>
      </c>
      <c r="P232" s="1" t="s">
        <v>3966</v>
      </c>
      <c r="Q232" s="1" t="s">
        <v>3967</v>
      </c>
      <c r="R232" s="1" t="s">
        <v>3968</v>
      </c>
      <c r="S232" s="1"/>
      <c r="T232" s="1" t="s">
        <v>4386</v>
      </c>
      <c r="U232" s="1"/>
      <c r="V232" s="1" t="s">
        <v>4387</v>
      </c>
      <c r="W232" s="1" t="s">
        <v>4388</v>
      </c>
      <c r="X232" s="1" t="s">
        <v>86</v>
      </c>
      <c r="Y232" s="1" t="s">
        <v>4389</v>
      </c>
      <c r="Z232" s="1" t="s">
        <v>4390</v>
      </c>
      <c r="AA232" s="1" t="s">
        <v>3973</v>
      </c>
      <c r="AB232" s="1"/>
      <c r="AC232" s="1"/>
      <c r="AD232" s="1"/>
      <c r="AE232" s="1"/>
      <c r="AF232" s="1"/>
      <c r="AG232" s="1" t="n">
        <v>21</v>
      </c>
      <c r="AH232" s="1" t="n">
        <v>0</v>
      </c>
      <c r="AI232" s="1" t="n">
        <v>0</v>
      </c>
      <c r="AJ232" s="1" t="n">
        <v>0</v>
      </c>
      <c r="AK232" s="1" t="n">
        <v>0</v>
      </c>
      <c r="AL232" s="1" t="s">
        <v>106</v>
      </c>
      <c r="AM232" s="1" t="s">
        <v>95</v>
      </c>
      <c r="AN232" s="1" t="s">
        <v>122</v>
      </c>
      <c r="AO232" s="1"/>
      <c r="AP232" s="1"/>
      <c r="AQ232" s="1" t="s">
        <v>3974</v>
      </c>
      <c r="AR232" s="1"/>
      <c r="AS232" s="1"/>
      <c r="AT232" s="1"/>
      <c r="AU232" s="1" t="n">
        <v>2024</v>
      </c>
      <c r="AV232" s="1"/>
      <c r="AW232" s="1"/>
      <c r="AX232" s="1"/>
      <c r="AY232" s="1"/>
      <c r="AZ232" s="1"/>
      <c r="BA232" s="1"/>
      <c r="BB232" s="1" t="n">
        <v>253</v>
      </c>
      <c r="BC232" s="1" t="n">
        <v>260</v>
      </c>
      <c r="BD232" s="1"/>
      <c r="BE232" s="1" t="s">
        <v>4391</v>
      </c>
      <c r="BF232" s="1" t="str">
        <f aca="false">HYPERLINK("http://dx.doi.org/10.1109/FMEC62297.2024.10710311","http://dx.doi.org/10.1109/FMEC62297.2024.10710311")</f>
        <v>http://dx.doi.org/10.1109/FMEC62297.2024.10710311</v>
      </c>
      <c r="BG232" s="1"/>
      <c r="BH232" s="1"/>
      <c r="BI232" s="1" t="n">
        <v>8</v>
      </c>
      <c r="BJ232" s="1" t="s">
        <v>2136</v>
      </c>
      <c r="BK232" s="1" t="s">
        <v>100</v>
      </c>
      <c r="BL232" s="1" t="s">
        <v>101</v>
      </c>
      <c r="BM232" s="1" t="s">
        <v>3976</v>
      </c>
      <c r="BN232" s="1"/>
      <c r="BO232" s="1"/>
      <c r="BP232" s="1"/>
      <c r="BQ232" s="1"/>
      <c r="BR232" s="1" t="s">
        <v>103</v>
      </c>
      <c r="BS232" s="1" t="s">
        <v>4392</v>
      </c>
      <c r="BT232" s="1" t="str">
        <f aca="false">HYPERLINK("https%3A%2F%2Fwww.webofscience.com%2Fwos%2Fwoscc%2Ffull-record%2FWOS:001343069600034","View Full Record in Web of Science")</f>
        <v>View Full Record in Web of Science</v>
      </c>
    </row>
    <row r="233" customFormat="false" ht="12.75" hidden="false" customHeight="false" outlineLevel="0" collapsed="false">
      <c r="A233" s="1" t="s">
        <v>181</v>
      </c>
      <c r="B233" s="1" t="s">
        <v>4393</v>
      </c>
      <c r="C233" s="1"/>
      <c r="D233" s="1"/>
      <c r="E233" s="1"/>
      <c r="F233" s="1" t="s">
        <v>4394</v>
      </c>
      <c r="G233" s="1"/>
      <c r="H233" s="1"/>
      <c r="I233" s="1" t="s">
        <v>4395</v>
      </c>
      <c r="J233" s="1" t="s">
        <v>1629</v>
      </c>
      <c r="K233" s="1"/>
      <c r="L233" s="1"/>
      <c r="M233" s="1" t="s">
        <v>78</v>
      </c>
      <c r="N233" s="1" t="s">
        <v>186</v>
      </c>
      <c r="O233" s="1"/>
      <c r="P233" s="1"/>
      <c r="Q233" s="1"/>
      <c r="R233" s="1"/>
      <c r="S233" s="1"/>
      <c r="T233" s="1" t="s">
        <v>4396</v>
      </c>
      <c r="U233" s="1" t="s">
        <v>4397</v>
      </c>
      <c r="V233" s="1" t="s">
        <v>4398</v>
      </c>
      <c r="W233" s="1" t="s">
        <v>4399</v>
      </c>
      <c r="X233" s="1" t="s">
        <v>86</v>
      </c>
      <c r="Y233" s="1" t="s">
        <v>2451</v>
      </c>
      <c r="Z233" s="1" t="s">
        <v>4400</v>
      </c>
      <c r="AA233" s="1"/>
      <c r="AB233" s="1"/>
      <c r="AC233" s="1"/>
      <c r="AD233" s="1"/>
      <c r="AE233" s="1"/>
      <c r="AF233" s="1"/>
      <c r="AG233" s="1" t="n">
        <v>8</v>
      </c>
      <c r="AH233" s="1" t="n">
        <v>2</v>
      </c>
      <c r="AI233" s="1" t="n">
        <v>2</v>
      </c>
      <c r="AJ233" s="1" t="n">
        <v>2</v>
      </c>
      <c r="AK233" s="1" t="n">
        <v>5</v>
      </c>
      <c r="AL233" s="1" t="s">
        <v>704</v>
      </c>
      <c r="AM233" s="1" t="s">
        <v>705</v>
      </c>
      <c r="AN233" s="1" t="s">
        <v>706</v>
      </c>
      <c r="AO233" s="1" t="s">
        <v>1634</v>
      </c>
      <c r="AP233" s="1" t="s">
        <v>1635</v>
      </c>
      <c r="AQ233" s="1"/>
      <c r="AR233" s="1" t="s">
        <v>1636</v>
      </c>
      <c r="AS233" s="1" t="s">
        <v>1637</v>
      </c>
      <c r="AT233" s="1" t="s">
        <v>808</v>
      </c>
      <c r="AU233" s="1" t="n">
        <v>2022</v>
      </c>
      <c r="AV233" s="1" t="n">
        <v>21</v>
      </c>
      <c r="AW233" s="1" t="n">
        <v>7</v>
      </c>
      <c r="AX233" s="1"/>
      <c r="AY233" s="1"/>
      <c r="AZ233" s="1"/>
      <c r="BA233" s="1"/>
      <c r="BB233" s="1"/>
      <c r="BC233" s="1"/>
      <c r="BD233" s="1" t="n">
        <v>2250141</v>
      </c>
      <c r="BE233" s="1" t="s">
        <v>4401</v>
      </c>
      <c r="BF233" s="1" t="str">
        <f aca="false">HYPERLINK("http://dx.doi.org/10.1142/S0219498822501419","http://dx.doi.org/10.1142/S0219498822501419")</f>
        <v>http://dx.doi.org/10.1142/S0219498822501419</v>
      </c>
      <c r="BG233" s="1"/>
      <c r="BH233" s="1"/>
      <c r="BI233" s="1" t="n">
        <v>9</v>
      </c>
      <c r="BJ233" s="1" t="s">
        <v>1007</v>
      </c>
      <c r="BK233" s="1" t="s">
        <v>204</v>
      </c>
      <c r="BL233" s="1" t="s">
        <v>280</v>
      </c>
      <c r="BM233" s="1" t="s">
        <v>4402</v>
      </c>
      <c r="BN233" s="1"/>
      <c r="BO233" s="1" t="s">
        <v>227</v>
      </c>
      <c r="BP233" s="1"/>
      <c r="BQ233" s="1"/>
      <c r="BR233" s="1" t="s">
        <v>103</v>
      </c>
      <c r="BS233" s="1" t="s">
        <v>4403</v>
      </c>
      <c r="BT233" s="1" t="str">
        <f aca="false">HYPERLINK("https%3A%2F%2Fwww.webofscience.com%2Fwos%2Fwoscc%2Ffull-record%2FWOS:000820925200009","View Full Record in Web of Science")</f>
        <v>View Full Record in Web of Science</v>
      </c>
    </row>
    <row r="234" customFormat="false" ht="12.75" hidden="false" customHeight="false" outlineLevel="0" collapsed="false">
      <c r="A234" s="1" t="s">
        <v>181</v>
      </c>
      <c r="B234" s="1" t="s">
        <v>4404</v>
      </c>
      <c r="C234" s="1"/>
      <c r="D234" s="1"/>
      <c r="E234" s="1"/>
      <c r="F234" s="1" t="s">
        <v>4405</v>
      </c>
      <c r="G234" s="1"/>
      <c r="H234" s="1"/>
      <c r="I234" s="1" t="s">
        <v>4406</v>
      </c>
      <c r="J234" s="1" t="s">
        <v>4407</v>
      </c>
      <c r="K234" s="1"/>
      <c r="L234" s="1"/>
      <c r="M234" s="1" t="s">
        <v>78</v>
      </c>
      <c r="N234" s="1" t="s">
        <v>186</v>
      </c>
      <c r="O234" s="1"/>
      <c r="P234" s="1"/>
      <c r="Q234" s="1"/>
      <c r="R234" s="1"/>
      <c r="S234" s="1"/>
      <c r="T234" s="1" t="s">
        <v>4408</v>
      </c>
      <c r="U234" s="1"/>
      <c r="V234" s="1" t="s">
        <v>4409</v>
      </c>
      <c r="W234" s="1" t="s">
        <v>4410</v>
      </c>
      <c r="X234" s="1" t="s">
        <v>86</v>
      </c>
      <c r="Y234" s="1" t="s">
        <v>4411</v>
      </c>
      <c r="Z234" s="1" t="s">
        <v>4412</v>
      </c>
      <c r="AA234" s="1"/>
      <c r="AB234" s="1" t="s">
        <v>4413</v>
      </c>
      <c r="AC234" s="1"/>
      <c r="AD234" s="1"/>
      <c r="AE234" s="1"/>
      <c r="AF234" s="1"/>
      <c r="AG234" s="1" t="n">
        <v>15</v>
      </c>
      <c r="AH234" s="1" t="n">
        <v>0</v>
      </c>
      <c r="AI234" s="1" t="n">
        <v>0</v>
      </c>
      <c r="AJ234" s="1" t="n">
        <v>7</v>
      </c>
      <c r="AK234" s="1" t="n">
        <v>7</v>
      </c>
      <c r="AL234" s="1" t="s">
        <v>4414</v>
      </c>
      <c r="AM234" s="1" t="s">
        <v>4415</v>
      </c>
      <c r="AN234" s="1" t="s">
        <v>4416</v>
      </c>
      <c r="AO234" s="1" t="s">
        <v>4417</v>
      </c>
      <c r="AP234" s="1"/>
      <c r="AQ234" s="1"/>
      <c r="AR234" s="1" t="s">
        <v>4418</v>
      </c>
      <c r="AS234" s="1" t="s">
        <v>4419</v>
      </c>
      <c r="AT234" s="1"/>
      <c r="AU234" s="1" t="n">
        <v>2024</v>
      </c>
      <c r="AV234" s="1" t="n">
        <v>30</v>
      </c>
      <c r="AW234" s="1" t="n">
        <v>4</v>
      </c>
      <c r="AX234" s="1"/>
      <c r="AY234" s="1"/>
      <c r="AZ234" s="1"/>
      <c r="BA234" s="1"/>
      <c r="BB234" s="1" t="n">
        <v>4</v>
      </c>
      <c r="BC234" s="1" t="n">
        <v>10</v>
      </c>
      <c r="BD234" s="1"/>
      <c r="BE234" s="1" t="s">
        <v>4420</v>
      </c>
      <c r="BF234" s="1" t="str">
        <f aca="false">HYPERLINK("http://dx.doi.org/10.5755/j02.eie.38275","http://dx.doi.org/10.5755/j02.eie.38275")</f>
        <v>http://dx.doi.org/10.5755/j02.eie.38275</v>
      </c>
      <c r="BG234" s="1"/>
      <c r="BH234" s="1"/>
      <c r="BI234" s="1" t="n">
        <v>7</v>
      </c>
      <c r="BJ234" s="1" t="s">
        <v>4421</v>
      </c>
      <c r="BK234" s="1" t="s">
        <v>204</v>
      </c>
      <c r="BL234" s="1" t="s">
        <v>640</v>
      </c>
      <c r="BM234" s="1" t="s">
        <v>4422</v>
      </c>
      <c r="BN234" s="1"/>
      <c r="BO234" s="1" t="s">
        <v>642</v>
      </c>
      <c r="BP234" s="1"/>
      <c r="BQ234" s="1"/>
      <c r="BR234" s="1" t="s">
        <v>103</v>
      </c>
      <c r="BS234" s="1" t="s">
        <v>4423</v>
      </c>
      <c r="BT234" s="1" t="str">
        <f aca="false">HYPERLINK("https%3A%2F%2Fwww.webofscience.com%2Fwos%2Fwoscc%2Ffull-record%2FWOS:001333208700001","View Full Record in Web of Science")</f>
        <v>View Full Record in Web of Science</v>
      </c>
    </row>
    <row r="235" customFormat="false" ht="12.75" hidden="false" customHeight="false" outlineLevel="0" collapsed="false">
      <c r="A235" s="1" t="s">
        <v>181</v>
      </c>
      <c r="B235" s="1" t="s">
        <v>4424</v>
      </c>
      <c r="C235" s="1"/>
      <c r="D235" s="1"/>
      <c r="E235" s="1"/>
      <c r="F235" s="1" t="s">
        <v>4425</v>
      </c>
      <c r="G235" s="1"/>
      <c r="H235" s="1"/>
      <c r="I235" s="1" t="s">
        <v>4426</v>
      </c>
      <c r="J235" s="1" t="s">
        <v>185</v>
      </c>
      <c r="K235" s="1"/>
      <c r="L235" s="1"/>
      <c r="M235" s="1" t="s">
        <v>78</v>
      </c>
      <c r="N235" s="1" t="s">
        <v>186</v>
      </c>
      <c r="O235" s="1"/>
      <c r="P235" s="1"/>
      <c r="Q235" s="1"/>
      <c r="R235" s="1"/>
      <c r="S235" s="1"/>
      <c r="T235" s="1" t="s">
        <v>4427</v>
      </c>
      <c r="U235" s="1"/>
      <c r="V235" s="1" t="s">
        <v>4428</v>
      </c>
      <c r="W235" s="1" t="s">
        <v>4429</v>
      </c>
      <c r="X235" s="1" t="s">
        <v>86</v>
      </c>
      <c r="Y235" s="1" t="s">
        <v>4430</v>
      </c>
      <c r="Z235" s="1" t="s">
        <v>4431</v>
      </c>
      <c r="AA235" s="1" t="s">
        <v>4432</v>
      </c>
      <c r="AB235" s="1" t="s">
        <v>4433</v>
      </c>
      <c r="AC235" s="1" t="s">
        <v>4434</v>
      </c>
      <c r="AD235" s="1" t="s">
        <v>4435</v>
      </c>
      <c r="AE235" s="1" t="s">
        <v>4436</v>
      </c>
      <c r="AF235" s="1"/>
      <c r="AG235" s="1" t="n">
        <v>12</v>
      </c>
      <c r="AH235" s="1" t="n">
        <v>11</v>
      </c>
      <c r="AI235" s="1" t="n">
        <v>11</v>
      </c>
      <c r="AJ235" s="1" t="n">
        <v>0</v>
      </c>
      <c r="AK235" s="1" t="n">
        <v>12</v>
      </c>
      <c r="AL235" s="1" t="s">
        <v>195</v>
      </c>
      <c r="AM235" s="1" t="s">
        <v>196</v>
      </c>
      <c r="AN235" s="1" t="s">
        <v>197</v>
      </c>
      <c r="AO235" s="1" t="s">
        <v>198</v>
      </c>
      <c r="AP235" s="1" t="s">
        <v>199</v>
      </c>
      <c r="AQ235" s="1"/>
      <c r="AR235" s="1" t="s">
        <v>200</v>
      </c>
      <c r="AS235" s="1" t="s">
        <v>201</v>
      </c>
      <c r="AT235" s="1"/>
      <c r="AU235" s="1" t="n">
        <v>2022</v>
      </c>
      <c r="AV235" s="1" t="n">
        <v>19</v>
      </c>
      <c r="AW235" s="1"/>
      <c r="AX235" s="1"/>
      <c r="AY235" s="1"/>
      <c r="AZ235" s="1"/>
      <c r="BA235" s="1"/>
      <c r="BB235" s="1"/>
      <c r="BC235" s="1"/>
      <c r="BD235" s="1" t="n">
        <v>4004805</v>
      </c>
      <c r="BE235" s="1" t="s">
        <v>4437</v>
      </c>
      <c r="BF235" s="1" t="str">
        <f aca="false">HYPERLINK("http://dx.doi.org/10.1109/LGRS.2020.3034758","http://dx.doi.org/10.1109/LGRS.2020.3034758")</f>
        <v>http://dx.doi.org/10.1109/LGRS.2020.3034758</v>
      </c>
      <c r="BG235" s="1"/>
      <c r="BH235" s="1"/>
      <c r="BI235" s="1" t="n">
        <v>5</v>
      </c>
      <c r="BJ235" s="1" t="s">
        <v>203</v>
      </c>
      <c r="BK235" s="1" t="s">
        <v>204</v>
      </c>
      <c r="BL235" s="1" t="s">
        <v>205</v>
      </c>
      <c r="BM235" s="1" t="s">
        <v>4438</v>
      </c>
      <c r="BN235" s="1"/>
      <c r="BO235" s="1" t="s">
        <v>2335</v>
      </c>
      <c r="BP235" s="1"/>
      <c r="BQ235" s="1"/>
      <c r="BR235" s="1" t="s">
        <v>103</v>
      </c>
      <c r="BS235" s="1" t="s">
        <v>4439</v>
      </c>
      <c r="BT235" s="1" t="str">
        <f aca="false">HYPERLINK("https%3A%2F%2Fwww.webofscience.com%2Fwos%2Fwoscc%2Ffull-record%2FWOS:000731151800066","View Full Record in Web of Science")</f>
        <v>View Full Record in Web of Science</v>
      </c>
    </row>
    <row r="236" customFormat="false" ht="12.75" hidden="false" customHeight="false" outlineLevel="0" collapsed="false">
      <c r="A236" s="1" t="s">
        <v>181</v>
      </c>
      <c r="B236" s="1" t="s">
        <v>4038</v>
      </c>
      <c r="C236" s="1"/>
      <c r="D236" s="1"/>
      <c r="E236" s="1"/>
      <c r="F236" s="1" t="s">
        <v>4039</v>
      </c>
      <c r="G236" s="1"/>
      <c r="H236" s="1"/>
      <c r="I236" s="1" t="s">
        <v>4440</v>
      </c>
      <c r="J236" s="1" t="s">
        <v>4441</v>
      </c>
      <c r="K236" s="1"/>
      <c r="L236" s="1"/>
      <c r="M236" s="1" t="s">
        <v>78</v>
      </c>
      <c r="N236" s="1" t="s">
        <v>186</v>
      </c>
      <c r="O236" s="1"/>
      <c r="P236" s="1"/>
      <c r="Q236" s="1"/>
      <c r="R236" s="1"/>
      <c r="S236" s="1"/>
      <c r="T236" s="1" t="s">
        <v>4442</v>
      </c>
      <c r="U236" s="1"/>
      <c r="V236" s="1" t="s">
        <v>4443</v>
      </c>
      <c r="W236" s="1" t="s">
        <v>4444</v>
      </c>
      <c r="X236" s="1" t="s">
        <v>86</v>
      </c>
      <c r="Y236" s="1" t="s">
        <v>4445</v>
      </c>
      <c r="Z236" s="1" t="s">
        <v>4148</v>
      </c>
      <c r="AA236" s="1"/>
      <c r="AB236" s="1" t="s">
        <v>4446</v>
      </c>
      <c r="AC236" s="1"/>
      <c r="AD236" s="1"/>
      <c r="AE236" s="1"/>
      <c r="AF236" s="1"/>
      <c r="AG236" s="1" t="n">
        <v>19</v>
      </c>
      <c r="AH236" s="1" t="n">
        <v>27</v>
      </c>
      <c r="AI236" s="1" t="n">
        <v>29</v>
      </c>
      <c r="AJ236" s="1" t="n">
        <v>0</v>
      </c>
      <c r="AK236" s="1" t="n">
        <v>21</v>
      </c>
      <c r="AL236" s="1" t="s">
        <v>3228</v>
      </c>
      <c r="AM236" s="1" t="s">
        <v>3229</v>
      </c>
      <c r="AN236" s="1" t="s">
        <v>3230</v>
      </c>
      <c r="AO236" s="1" t="s">
        <v>4447</v>
      </c>
      <c r="AP236" s="1" t="s">
        <v>4448</v>
      </c>
      <c r="AQ236" s="1"/>
      <c r="AR236" s="1" t="s">
        <v>4441</v>
      </c>
      <c r="AS236" s="1" t="s">
        <v>4449</v>
      </c>
      <c r="AT236" s="1" t="s">
        <v>421</v>
      </c>
      <c r="AU236" s="1" t="n">
        <v>2021</v>
      </c>
      <c r="AV236" s="1" t="n">
        <v>125</v>
      </c>
      <c r="AW236" s="1" t="n">
        <v>4</v>
      </c>
      <c r="AX236" s="1"/>
      <c r="AY236" s="1"/>
      <c r="AZ236" s="1"/>
      <c r="BA236" s="1"/>
      <c r="BB236" s="1" t="n">
        <v>541</v>
      </c>
      <c r="BC236" s="1" t="n">
        <v>547</v>
      </c>
      <c r="BD236" s="1"/>
      <c r="BE236" s="1" t="s">
        <v>4450</v>
      </c>
      <c r="BF236" s="1" t="str">
        <f aca="false">HYPERLINK("http://dx.doi.org/10.1016/j.healthpol.2021.01.001","http://dx.doi.org/10.1016/j.healthpol.2021.01.001")</f>
        <v>http://dx.doi.org/10.1016/j.healthpol.2021.01.001</v>
      </c>
      <c r="BG236" s="1"/>
      <c r="BH236" s="1" t="s">
        <v>1749</v>
      </c>
      <c r="BI236" s="1" t="n">
        <v>7</v>
      </c>
      <c r="BJ236" s="1" t="s">
        <v>4451</v>
      </c>
      <c r="BK236" s="1" t="s">
        <v>398</v>
      </c>
      <c r="BL236" s="1" t="s">
        <v>4452</v>
      </c>
      <c r="BM236" s="1" t="s">
        <v>4453</v>
      </c>
      <c r="BN236" s="1" t="n">
        <v>33487479</v>
      </c>
      <c r="BO236" s="1" t="s">
        <v>179</v>
      </c>
      <c r="BP236" s="1"/>
      <c r="BQ236" s="1"/>
      <c r="BR236" s="1" t="s">
        <v>103</v>
      </c>
      <c r="BS236" s="1" t="s">
        <v>4454</v>
      </c>
      <c r="BT236" s="1" t="str">
        <f aca="false">HYPERLINK("https%3A%2F%2Fwww.webofscience.com%2Fwos%2Fwoscc%2Ffull-record%2FWOS:000632729500014","View Full Record in Web of Science")</f>
        <v>View Full Record in Web of Science</v>
      </c>
    </row>
    <row r="237" customFormat="false" ht="12.75" hidden="false" customHeight="false" outlineLevel="0" collapsed="false">
      <c r="A237" s="1" t="s">
        <v>181</v>
      </c>
      <c r="B237" s="1" t="s">
        <v>4455</v>
      </c>
      <c r="C237" s="1"/>
      <c r="D237" s="1"/>
      <c r="E237" s="1"/>
      <c r="F237" s="1" t="s">
        <v>4456</v>
      </c>
      <c r="G237" s="1"/>
      <c r="H237" s="1"/>
      <c r="I237" s="1" t="s">
        <v>4457</v>
      </c>
      <c r="J237" s="1" t="s">
        <v>4458</v>
      </c>
      <c r="K237" s="1"/>
      <c r="L237" s="1"/>
      <c r="M237" s="1" t="s">
        <v>78</v>
      </c>
      <c r="N237" s="1" t="s">
        <v>186</v>
      </c>
      <c r="O237" s="1"/>
      <c r="P237" s="1"/>
      <c r="Q237" s="1"/>
      <c r="R237" s="1"/>
      <c r="S237" s="1"/>
      <c r="T237" s="1"/>
      <c r="U237" s="1"/>
      <c r="V237" s="1" t="s">
        <v>4459</v>
      </c>
      <c r="W237" s="1" t="s">
        <v>4460</v>
      </c>
      <c r="X237" s="1" t="s">
        <v>86</v>
      </c>
      <c r="Y237" s="1" t="s">
        <v>4461</v>
      </c>
      <c r="Z237" s="1" t="s">
        <v>4462</v>
      </c>
      <c r="AA237" s="1"/>
      <c r="AB237" s="1"/>
      <c r="AC237" s="1"/>
      <c r="AD237" s="1"/>
      <c r="AE237" s="1"/>
      <c r="AF237" s="1"/>
      <c r="AG237" s="1" t="n">
        <v>17</v>
      </c>
      <c r="AH237" s="1" t="n">
        <v>1</v>
      </c>
      <c r="AI237" s="1" t="n">
        <v>1</v>
      </c>
      <c r="AJ237" s="1" t="n">
        <v>1</v>
      </c>
      <c r="AK237" s="1" t="n">
        <v>10</v>
      </c>
      <c r="AL237" s="1" t="s">
        <v>600</v>
      </c>
      <c r="AM237" s="1" t="s">
        <v>601</v>
      </c>
      <c r="AN237" s="1" t="s">
        <v>602</v>
      </c>
      <c r="AO237" s="1" t="s">
        <v>4463</v>
      </c>
      <c r="AP237" s="1" t="s">
        <v>4464</v>
      </c>
      <c r="AQ237" s="1"/>
      <c r="AR237" s="1" t="s">
        <v>4465</v>
      </c>
      <c r="AS237" s="1" t="s">
        <v>4466</v>
      </c>
      <c r="AT237" s="1" t="s">
        <v>537</v>
      </c>
      <c r="AU237" s="1" t="n">
        <v>2021</v>
      </c>
      <c r="AV237" s="1" t="n">
        <v>15</v>
      </c>
      <c r="AW237" s="1" t="n">
        <v>3</v>
      </c>
      <c r="AX237" s="1"/>
      <c r="AY237" s="1"/>
      <c r="AZ237" s="1"/>
      <c r="BA237" s="1"/>
      <c r="BB237" s="1" t="n">
        <v>323</v>
      </c>
      <c r="BC237" s="1" t="n">
        <v>331</v>
      </c>
      <c r="BD237" s="1"/>
      <c r="BE237" s="1" t="s">
        <v>4467</v>
      </c>
      <c r="BF237" s="1" t="str">
        <f aca="false">HYPERLINK("http://dx.doi.org/10.1049/mia2.12045","http://dx.doi.org/10.1049/mia2.12045")</f>
        <v>http://dx.doi.org/10.1049/mia2.12045</v>
      </c>
      <c r="BG237" s="1"/>
      <c r="BH237" s="1"/>
      <c r="BI237" s="1" t="n">
        <v>9</v>
      </c>
      <c r="BJ237" s="1" t="s">
        <v>153</v>
      </c>
      <c r="BK237" s="1" t="s">
        <v>204</v>
      </c>
      <c r="BL237" s="1" t="s">
        <v>154</v>
      </c>
      <c r="BM237" s="1" t="s">
        <v>4468</v>
      </c>
      <c r="BN237" s="1"/>
      <c r="BO237" s="1" t="s">
        <v>542</v>
      </c>
      <c r="BP237" s="1"/>
      <c r="BQ237" s="1"/>
      <c r="BR237" s="1" t="s">
        <v>103</v>
      </c>
      <c r="BS237" s="1" t="s">
        <v>4469</v>
      </c>
      <c r="BT237" s="1" t="str">
        <f aca="false">HYPERLINK("https%3A%2F%2Fwww.webofscience.com%2Fwos%2Fwoscc%2Ffull-record%2FWOS:000623969400008","View Full Record in Web of Science")</f>
        <v>View Full Record in Web of Science</v>
      </c>
    </row>
    <row r="238" customFormat="false" ht="12.75" hidden="false" customHeight="false" outlineLevel="0" collapsed="false">
      <c r="A238" s="1" t="s">
        <v>181</v>
      </c>
      <c r="B238" s="1" t="s">
        <v>4470</v>
      </c>
      <c r="C238" s="1"/>
      <c r="D238" s="1"/>
      <c r="E238" s="1"/>
      <c r="F238" s="1" t="s">
        <v>4471</v>
      </c>
      <c r="G238" s="1"/>
      <c r="H238" s="1"/>
      <c r="I238" s="1" t="s">
        <v>4472</v>
      </c>
      <c r="J238" s="1" t="s">
        <v>3700</v>
      </c>
      <c r="K238" s="1"/>
      <c r="L238" s="1"/>
      <c r="M238" s="1" t="s">
        <v>78</v>
      </c>
      <c r="N238" s="1" t="s">
        <v>186</v>
      </c>
      <c r="O238" s="1"/>
      <c r="P238" s="1"/>
      <c r="Q238" s="1"/>
      <c r="R238" s="1"/>
      <c r="S238" s="1"/>
      <c r="T238" s="1" t="s">
        <v>4473</v>
      </c>
      <c r="U238" s="1" t="s">
        <v>4474</v>
      </c>
      <c r="V238" s="1" t="s">
        <v>4475</v>
      </c>
      <c r="W238" s="1" t="s">
        <v>4476</v>
      </c>
      <c r="X238" s="1" t="s">
        <v>86</v>
      </c>
      <c r="Y238" s="1" t="s">
        <v>4477</v>
      </c>
      <c r="Z238" s="1" t="s">
        <v>4478</v>
      </c>
      <c r="AA238" s="1" t="s">
        <v>2491</v>
      </c>
      <c r="AB238" s="1" t="s">
        <v>2492</v>
      </c>
      <c r="AC238" s="1" t="s">
        <v>4479</v>
      </c>
      <c r="AD238" s="1" t="s">
        <v>4479</v>
      </c>
      <c r="AE238" s="1" t="s">
        <v>4480</v>
      </c>
      <c r="AF238" s="1"/>
      <c r="AG238" s="1" t="n">
        <v>47</v>
      </c>
      <c r="AH238" s="1" t="n">
        <v>1</v>
      </c>
      <c r="AI238" s="1" t="n">
        <v>1</v>
      </c>
      <c r="AJ238" s="1" t="n">
        <v>0</v>
      </c>
      <c r="AK238" s="1" t="n">
        <v>8</v>
      </c>
      <c r="AL238" s="1" t="s">
        <v>3711</v>
      </c>
      <c r="AM238" s="1" t="s">
        <v>95</v>
      </c>
      <c r="AN238" s="1" t="s">
        <v>3712</v>
      </c>
      <c r="AO238" s="1" t="s">
        <v>3713</v>
      </c>
      <c r="AP238" s="1" t="s">
        <v>3714</v>
      </c>
      <c r="AQ238" s="1"/>
      <c r="AR238" s="1" t="s">
        <v>3715</v>
      </c>
      <c r="AS238" s="1" t="s">
        <v>3716</v>
      </c>
      <c r="AT238" s="1" t="s">
        <v>1362</v>
      </c>
      <c r="AU238" s="1" t="n">
        <v>2022</v>
      </c>
      <c r="AV238" s="1" t="n">
        <v>192</v>
      </c>
      <c r="AW238" s="1"/>
      <c r="AX238" s="1"/>
      <c r="AY238" s="1"/>
      <c r="AZ238" s="1"/>
      <c r="BA238" s="1"/>
      <c r="BB238" s="1"/>
      <c r="BC238" s="1"/>
      <c r="BD238" s="1" t="n">
        <v>111389</v>
      </c>
      <c r="BE238" s="1" t="s">
        <v>4481</v>
      </c>
      <c r="BF238" s="1" t="str">
        <f aca="false">HYPERLINK("http://dx.doi.org/10.1016/j.jss.2022.111389","http://dx.doi.org/10.1016/j.jss.2022.111389")</f>
        <v>http://dx.doi.org/10.1016/j.jss.2022.111389</v>
      </c>
      <c r="BG238" s="1"/>
      <c r="BH238" s="1" t="s">
        <v>4482</v>
      </c>
      <c r="BI238" s="1" t="n">
        <v>10</v>
      </c>
      <c r="BJ238" s="1" t="s">
        <v>994</v>
      </c>
      <c r="BK238" s="1" t="s">
        <v>204</v>
      </c>
      <c r="BL238" s="1" t="s">
        <v>101</v>
      </c>
      <c r="BM238" s="1" t="s">
        <v>4483</v>
      </c>
      <c r="BN238" s="1"/>
      <c r="BO238" s="1" t="s">
        <v>876</v>
      </c>
      <c r="BP238" s="1"/>
      <c r="BQ238" s="1"/>
      <c r="BR238" s="1" t="s">
        <v>103</v>
      </c>
      <c r="BS238" s="1" t="s">
        <v>4484</v>
      </c>
      <c r="BT238" s="1" t="str">
        <f aca="false">HYPERLINK("https%3A%2F%2Fwww.webofscience.com%2Fwos%2Fwoscc%2Ffull-record%2FWOS:000814721700001","View Full Record in Web of Science")</f>
        <v>View Full Record in Web of Science</v>
      </c>
    </row>
    <row r="239" customFormat="false" ht="12.75" hidden="false" customHeight="false" outlineLevel="0" collapsed="false">
      <c r="A239" s="1" t="s">
        <v>181</v>
      </c>
      <c r="B239" s="1" t="s">
        <v>4485</v>
      </c>
      <c r="C239" s="1"/>
      <c r="D239" s="1"/>
      <c r="E239" s="1"/>
      <c r="F239" s="1" t="s">
        <v>4486</v>
      </c>
      <c r="G239" s="1"/>
      <c r="H239" s="1"/>
      <c r="I239" s="1" t="s">
        <v>4487</v>
      </c>
      <c r="J239" s="1" t="s">
        <v>2226</v>
      </c>
      <c r="K239" s="1"/>
      <c r="L239" s="1"/>
      <c r="M239" s="1" t="s">
        <v>78</v>
      </c>
      <c r="N239" s="1" t="s">
        <v>186</v>
      </c>
      <c r="O239" s="1"/>
      <c r="P239" s="1"/>
      <c r="Q239" s="1"/>
      <c r="R239" s="1"/>
      <c r="S239" s="1"/>
      <c r="T239" s="1" t="s">
        <v>4488</v>
      </c>
      <c r="U239" s="1" t="s">
        <v>4489</v>
      </c>
      <c r="V239" s="1" t="s">
        <v>4490</v>
      </c>
      <c r="W239" s="1" t="s">
        <v>4491</v>
      </c>
      <c r="X239" s="1" t="s">
        <v>86</v>
      </c>
      <c r="Y239" s="1" t="s">
        <v>4492</v>
      </c>
      <c r="Z239" s="1" t="s">
        <v>4493</v>
      </c>
      <c r="AA239" s="1" t="s">
        <v>4494</v>
      </c>
      <c r="AB239" s="1" t="s">
        <v>4495</v>
      </c>
      <c r="AC239" s="1" t="s">
        <v>4496</v>
      </c>
      <c r="AD239" s="1" t="s">
        <v>4497</v>
      </c>
      <c r="AE239" s="1" t="s">
        <v>4498</v>
      </c>
      <c r="AF239" s="1"/>
      <c r="AG239" s="1" t="n">
        <v>75</v>
      </c>
      <c r="AH239" s="1" t="n">
        <v>5</v>
      </c>
      <c r="AI239" s="1" t="n">
        <v>5</v>
      </c>
      <c r="AJ239" s="1" t="n">
        <v>0</v>
      </c>
      <c r="AK239" s="1" t="n">
        <v>15</v>
      </c>
      <c r="AL239" s="1" t="s">
        <v>367</v>
      </c>
      <c r="AM239" s="1" t="s">
        <v>368</v>
      </c>
      <c r="AN239" s="1" t="s">
        <v>369</v>
      </c>
      <c r="AO239" s="1"/>
      <c r="AP239" s="1" t="s">
        <v>2234</v>
      </c>
      <c r="AQ239" s="1"/>
      <c r="AR239" s="1" t="s">
        <v>2235</v>
      </c>
      <c r="AS239" s="1" t="s">
        <v>2236</v>
      </c>
      <c r="AT239" s="1" t="s">
        <v>808</v>
      </c>
      <c r="AU239" s="1" t="n">
        <v>2022</v>
      </c>
      <c r="AV239" s="1" t="n">
        <v>14</v>
      </c>
      <c r="AW239" s="1" t="n">
        <v>13</v>
      </c>
      <c r="AX239" s="1"/>
      <c r="AY239" s="1"/>
      <c r="AZ239" s="1"/>
      <c r="BA239" s="1"/>
      <c r="BB239" s="1"/>
      <c r="BC239" s="1"/>
      <c r="BD239" s="1" t="n">
        <v>2966</v>
      </c>
      <c r="BE239" s="1" t="s">
        <v>4499</v>
      </c>
      <c r="BF239" s="1" t="str">
        <f aca="false">HYPERLINK("http://dx.doi.org/10.3390/rs14132966","http://dx.doi.org/10.3390/rs14132966")</f>
        <v>http://dx.doi.org/10.3390/rs14132966</v>
      </c>
      <c r="BG239" s="1"/>
      <c r="BH239" s="1"/>
      <c r="BI239" s="1" t="n">
        <v>24</v>
      </c>
      <c r="BJ239" s="1" t="s">
        <v>2238</v>
      </c>
      <c r="BK239" s="1" t="s">
        <v>204</v>
      </c>
      <c r="BL239" s="1" t="s">
        <v>2239</v>
      </c>
      <c r="BM239" s="1" t="s">
        <v>4500</v>
      </c>
      <c r="BN239" s="1"/>
      <c r="BO239" s="1" t="s">
        <v>542</v>
      </c>
      <c r="BP239" s="1"/>
      <c r="BQ239" s="1"/>
      <c r="BR239" s="1" t="s">
        <v>103</v>
      </c>
      <c r="BS239" s="1" t="s">
        <v>4501</v>
      </c>
      <c r="BT239" s="1" t="str">
        <f aca="false">HYPERLINK("https%3A%2F%2Fwww.webofscience.com%2Fwos%2Fwoscc%2Ffull-record%2FWOS:000825692700001","View Full Record in Web of Science")</f>
        <v>View Full Record in Web of Science</v>
      </c>
    </row>
    <row r="240" customFormat="false" ht="12.75" hidden="false" customHeight="false" outlineLevel="0" collapsed="false">
      <c r="A240" s="1" t="s">
        <v>72</v>
      </c>
      <c r="B240" s="1" t="s">
        <v>4502</v>
      </c>
      <c r="C240" s="1"/>
      <c r="D240" s="1" t="s">
        <v>4503</v>
      </c>
      <c r="E240" s="1"/>
      <c r="F240" s="1" t="s">
        <v>4504</v>
      </c>
      <c r="G240" s="1"/>
      <c r="H240" s="1"/>
      <c r="I240" s="1" t="s">
        <v>4505</v>
      </c>
      <c r="J240" s="1" t="s">
        <v>4506</v>
      </c>
      <c r="K240" s="1" t="s">
        <v>4507</v>
      </c>
      <c r="L240" s="1"/>
      <c r="M240" s="1" t="s">
        <v>78</v>
      </c>
      <c r="N240" s="1" t="s">
        <v>79</v>
      </c>
      <c r="O240" s="1" t="s">
        <v>4508</v>
      </c>
      <c r="P240" s="1" t="s">
        <v>4509</v>
      </c>
      <c r="Q240" s="1" t="s">
        <v>4510</v>
      </c>
      <c r="R240" s="1"/>
      <c r="S240" s="1"/>
      <c r="T240" s="1" t="s">
        <v>4511</v>
      </c>
      <c r="U240" s="1" t="s">
        <v>4512</v>
      </c>
      <c r="V240" s="1" t="s">
        <v>4513</v>
      </c>
      <c r="W240" s="1" t="s">
        <v>4514</v>
      </c>
      <c r="X240" s="1" t="s">
        <v>86</v>
      </c>
      <c r="Y240" s="1" t="s">
        <v>4515</v>
      </c>
      <c r="Z240" s="1" t="s">
        <v>4516</v>
      </c>
      <c r="AA240" s="1" t="s">
        <v>4517</v>
      </c>
      <c r="AB240" s="1" t="s">
        <v>4518</v>
      </c>
      <c r="AC240" s="1" t="s">
        <v>4519</v>
      </c>
      <c r="AD240" s="1" t="s">
        <v>4520</v>
      </c>
      <c r="AE240" s="1" t="s">
        <v>4521</v>
      </c>
      <c r="AF240" s="1"/>
      <c r="AG240" s="1" t="n">
        <v>21</v>
      </c>
      <c r="AH240" s="1" t="n">
        <v>0</v>
      </c>
      <c r="AI240" s="1" t="n">
        <v>0</v>
      </c>
      <c r="AJ240" s="1" t="n">
        <v>2</v>
      </c>
      <c r="AK240" s="1" t="n">
        <v>2</v>
      </c>
      <c r="AL240" s="1" t="s">
        <v>4522</v>
      </c>
      <c r="AM240" s="1" t="s">
        <v>894</v>
      </c>
      <c r="AN240" s="1" t="s">
        <v>4523</v>
      </c>
      <c r="AO240" s="1" t="s">
        <v>4524</v>
      </c>
      <c r="AP240" s="1"/>
      <c r="AQ240" s="1"/>
      <c r="AR240" s="1" t="s">
        <v>4525</v>
      </c>
      <c r="AS240" s="1"/>
      <c r="AT240" s="1"/>
      <c r="AU240" s="1" t="n">
        <v>2022</v>
      </c>
      <c r="AV240" s="1" t="n">
        <v>42</v>
      </c>
      <c r="AW240" s="1"/>
      <c r="AX240" s="1"/>
      <c r="AY240" s="1"/>
      <c r="AZ240" s="1"/>
      <c r="BA240" s="1"/>
      <c r="BB240" s="1" t="n">
        <v>745</v>
      </c>
      <c r="BC240" s="1" t="n">
        <v>754</v>
      </c>
      <c r="BD240" s="1"/>
      <c r="BE240" s="1" t="s">
        <v>4526</v>
      </c>
      <c r="BF240" s="1" t="str">
        <f aca="false">HYPERLINK("http://dx.doi.org/10.1016/j.prostr.2022.12.094","http://dx.doi.org/10.1016/j.prostr.2022.12.094")</f>
        <v>http://dx.doi.org/10.1016/j.prostr.2022.12.094</v>
      </c>
      <c r="BG240" s="1"/>
      <c r="BH240" s="1"/>
      <c r="BI240" s="1" t="n">
        <v>10</v>
      </c>
      <c r="BJ240" s="1" t="s">
        <v>4527</v>
      </c>
      <c r="BK240" s="1" t="s">
        <v>100</v>
      </c>
      <c r="BL240" s="1" t="s">
        <v>4528</v>
      </c>
      <c r="BM240" s="1" t="s">
        <v>4529</v>
      </c>
      <c r="BN240" s="1"/>
      <c r="BO240" s="1" t="s">
        <v>401</v>
      </c>
      <c r="BP240" s="1"/>
      <c r="BQ240" s="1"/>
      <c r="BR240" s="1" t="s">
        <v>103</v>
      </c>
      <c r="BS240" s="1" t="s">
        <v>4530</v>
      </c>
      <c r="BT240" s="1" t="str">
        <f aca="false">HYPERLINK("https%3A%2F%2Fwww.webofscience.com%2Fwos%2Fwoscc%2Ffull-record%2FWOS:001248864600097","View Full Record in Web of Science")</f>
        <v>View Full Record in Web of Science</v>
      </c>
    </row>
    <row r="241" customFormat="false" ht="12.75" hidden="false" customHeight="false" outlineLevel="0" collapsed="false">
      <c r="A241" s="1" t="s">
        <v>181</v>
      </c>
      <c r="B241" s="1" t="s">
        <v>4531</v>
      </c>
      <c r="C241" s="1"/>
      <c r="D241" s="1"/>
      <c r="E241" s="1"/>
      <c r="F241" s="1" t="s">
        <v>4532</v>
      </c>
      <c r="G241" s="1"/>
      <c r="H241" s="1"/>
      <c r="I241" s="1" t="s">
        <v>4533</v>
      </c>
      <c r="J241" s="1" t="s">
        <v>381</v>
      </c>
      <c r="K241" s="1"/>
      <c r="L241" s="1"/>
      <c r="M241" s="1" t="s">
        <v>78</v>
      </c>
      <c r="N241" s="1" t="s">
        <v>186</v>
      </c>
      <c r="O241" s="1"/>
      <c r="P241" s="1"/>
      <c r="Q241" s="1"/>
      <c r="R241" s="1"/>
      <c r="S241" s="1"/>
      <c r="T241" s="1" t="s">
        <v>4534</v>
      </c>
      <c r="U241" s="1" t="s">
        <v>4535</v>
      </c>
      <c r="V241" s="1" t="s">
        <v>4536</v>
      </c>
      <c r="W241" s="1" t="s">
        <v>4537</v>
      </c>
      <c r="X241" s="1" t="s">
        <v>86</v>
      </c>
      <c r="Y241" s="1" t="s">
        <v>4538</v>
      </c>
      <c r="Z241" s="1" t="s">
        <v>4539</v>
      </c>
      <c r="AA241" s="1" t="s">
        <v>4540</v>
      </c>
      <c r="AB241" s="1" t="s">
        <v>4541</v>
      </c>
      <c r="AC241" s="1" t="s">
        <v>4542</v>
      </c>
      <c r="AD241" s="1" t="s">
        <v>4543</v>
      </c>
      <c r="AE241" s="1" t="s">
        <v>4544</v>
      </c>
      <c r="AF241" s="1"/>
      <c r="AG241" s="1" t="n">
        <v>219</v>
      </c>
      <c r="AH241" s="1" t="n">
        <v>0</v>
      </c>
      <c r="AI241" s="1" t="n">
        <v>0</v>
      </c>
      <c r="AJ241" s="1" t="n">
        <v>3</v>
      </c>
      <c r="AK241" s="1" t="n">
        <v>4</v>
      </c>
      <c r="AL241" s="1" t="s">
        <v>367</v>
      </c>
      <c r="AM241" s="1" t="s">
        <v>368</v>
      </c>
      <c r="AN241" s="1" t="s">
        <v>369</v>
      </c>
      <c r="AO241" s="1"/>
      <c r="AP241" s="1" t="s">
        <v>393</v>
      </c>
      <c r="AQ241" s="1"/>
      <c r="AR241" s="1" t="s">
        <v>394</v>
      </c>
      <c r="AS241" s="1" t="s">
        <v>395</v>
      </c>
      <c r="AT241" s="1" t="s">
        <v>2698</v>
      </c>
      <c r="AU241" s="1" t="n">
        <v>2024</v>
      </c>
      <c r="AV241" s="1" t="n">
        <v>16</v>
      </c>
      <c r="AW241" s="1" t="n">
        <v>11</v>
      </c>
      <c r="AX241" s="1"/>
      <c r="AY241" s="1"/>
      <c r="AZ241" s="1"/>
      <c r="BA241" s="1"/>
      <c r="BB241" s="1"/>
      <c r="BC241" s="1"/>
      <c r="BD241" s="1" t="n">
        <v>4667</v>
      </c>
      <c r="BE241" s="1" t="s">
        <v>4545</v>
      </c>
      <c r="BF241" s="1" t="str">
        <f aca="false">HYPERLINK("http://dx.doi.org/10.3390/su16114667","http://dx.doi.org/10.3390/su16114667")</f>
        <v>http://dx.doi.org/10.3390/su16114667</v>
      </c>
      <c r="BG241" s="1"/>
      <c r="BH241" s="1"/>
      <c r="BI241" s="1" t="n">
        <v>37</v>
      </c>
      <c r="BJ241" s="1" t="s">
        <v>397</v>
      </c>
      <c r="BK241" s="1" t="s">
        <v>398</v>
      </c>
      <c r="BL241" s="1" t="s">
        <v>399</v>
      </c>
      <c r="BM241" s="1" t="s">
        <v>4546</v>
      </c>
      <c r="BN241" s="1"/>
      <c r="BO241" s="1" t="s">
        <v>542</v>
      </c>
      <c r="BP241" s="1"/>
      <c r="BQ241" s="1"/>
      <c r="BR241" s="1" t="s">
        <v>103</v>
      </c>
      <c r="BS241" s="1" t="s">
        <v>4547</v>
      </c>
      <c r="BT241" s="1" t="str">
        <f aca="false">HYPERLINK("https%3A%2F%2Fwww.webofscience.com%2Fwos%2Fwoscc%2Ffull-record%2FWOS:001249259200001","View Full Record in Web of Science")</f>
        <v>View Full Record in Web of Science</v>
      </c>
    </row>
    <row r="242" customFormat="false" ht="12.75" hidden="false" customHeight="false" outlineLevel="0" collapsed="false">
      <c r="A242" s="1" t="s">
        <v>181</v>
      </c>
      <c r="B242" s="1" t="s">
        <v>4064</v>
      </c>
      <c r="C242" s="1"/>
      <c r="D242" s="1"/>
      <c r="E242" s="1"/>
      <c r="F242" s="1" t="s">
        <v>4065</v>
      </c>
      <c r="G242" s="1"/>
      <c r="H242" s="1"/>
      <c r="I242" s="1" t="s">
        <v>4548</v>
      </c>
      <c r="J242" s="1" t="s">
        <v>4549</v>
      </c>
      <c r="K242" s="1"/>
      <c r="L242" s="1"/>
      <c r="M242" s="1" t="s">
        <v>78</v>
      </c>
      <c r="N242" s="1" t="s">
        <v>186</v>
      </c>
      <c r="O242" s="1"/>
      <c r="P242" s="1"/>
      <c r="Q242" s="1"/>
      <c r="R242" s="1"/>
      <c r="S242" s="1"/>
      <c r="T242" s="1"/>
      <c r="U242" s="1"/>
      <c r="V242" s="1" t="s">
        <v>4550</v>
      </c>
      <c r="W242" s="1" t="s">
        <v>4551</v>
      </c>
      <c r="X242" s="1" t="s">
        <v>86</v>
      </c>
      <c r="Y242" s="1" t="s">
        <v>4552</v>
      </c>
      <c r="Z242" s="1" t="s">
        <v>4072</v>
      </c>
      <c r="AA242" s="1"/>
      <c r="AB242" s="1" t="s">
        <v>4073</v>
      </c>
      <c r="AC242" s="1" t="s">
        <v>2454</v>
      </c>
      <c r="AD242" s="1" t="s">
        <v>2454</v>
      </c>
      <c r="AE242" s="1" t="s">
        <v>4553</v>
      </c>
      <c r="AF242" s="1"/>
      <c r="AG242" s="1" t="n">
        <v>29</v>
      </c>
      <c r="AH242" s="1" t="n">
        <v>2</v>
      </c>
      <c r="AI242" s="1" t="n">
        <v>2</v>
      </c>
      <c r="AJ242" s="1" t="n">
        <v>0</v>
      </c>
      <c r="AK242" s="1" t="n">
        <v>1</v>
      </c>
      <c r="AL242" s="1" t="s">
        <v>4554</v>
      </c>
      <c r="AM242" s="1" t="s">
        <v>4555</v>
      </c>
      <c r="AN242" s="1" t="s">
        <v>4556</v>
      </c>
      <c r="AO242" s="1" t="s">
        <v>4557</v>
      </c>
      <c r="AP242" s="1" t="s">
        <v>4558</v>
      </c>
      <c r="AQ242" s="1"/>
      <c r="AR242" s="1" t="s">
        <v>4559</v>
      </c>
      <c r="AS242" s="1" t="s">
        <v>4560</v>
      </c>
      <c r="AT242" s="1"/>
      <c r="AU242" s="1" t="n">
        <v>2020</v>
      </c>
      <c r="AV242" s="1" t="n">
        <v>126</v>
      </c>
      <c r="AW242" s="1" t="n">
        <v>1</v>
      </c>
      <c r="AX242" s="1"/>
      <c r="AY242" s="1"/>
      <c r="AZ242" s="1"/>
      <c r="BA242" s="1"/>
      <c r="BB242" s="1" t="n">
        <v>99</v>
      </c>
      <c r="BC242" s="1" t="n">
        <v>116</v>
      </c>
      <c r="BD242" s="1"/>
      <c r="BE242" s="1" t="s">
        <v>4561</v>
      </c>
      <c r="BF242" s="1" t="str">
        <f aca="false">HYPERLINK("http://dx.doi.org/10.7146/math.scand.a-116147","http://dx.doi.org/10.7146/math.scand.a-116147")</f>
        <v>http://dx.doi.org/10.7146/math.scand.a-116147</v>
      </c>
      <c r="BG242" s="1"/>
      <c r="BH242" s="1"/>
      <c r="BI242" s="1" t="n">
        <v>18</v>
      </c>
      <c r="BJ242" s="1" t="s">
        <v>280</v>
      </c>
      <c r="BK242" s="1" t="s">
        <v>204</v>
      </c>
      <c r="BL242" s="1" t="s">
        <v>280</v>
      </c>
      <c r="BM242" s="1" t="s">
        <v>4562</v>
      </c>
      <c r="BN242" s="1"/>
      <c r="BO242" s="1" t="s">
        <v>227</v>
      </c>
      <c r="BP242" s="1"/>
      <c r="BQ242" s="1"/>
      <c r="BR242" s="1" t="s">
        <v>103</v>
      </c>
      <c r="BS242" s="1" t="s">
        <v>4563</v>
      </c>
      <c r="BT242" s="1" t="str">
        <f aca="false">HYPERLINK("https%3A%2F%2Fwww.webofscience.com%2Fwos%2Fwoscc%2Ffull-record%2FWOS:000546560400007","View Full Record in Web of Science")</f>
        <v>View Full Record in Web of Science</v>
      </c>
    </row>
    <row r="243" customFormat="false" ht="12.75" hidden="false" customHeight="false" outlineLevel="0" collapsed="false">
      <c r="A243" s="1" t="s">
        <v>181</v>
      </c>
      <c r="B243" s="1" t="s">
        <v>4564</v>
      </c>
      <c r="C243" s="1"/>
      <c r="D243" s="1"/>
      <c r="E243" s="1"/>
      <c r="F243" s="1" t="s">
        <v>4565</v>
      </c>
      <c r="G243" s="1"/>
      <c r="H243" s="1"/>
      <c r="I243" s="1" t="s">
        <v>4566</v>
      </c>
      <c r="J243" s="1" t="s">
        <v>1378</v>
      </c>
      <c r="K243" s="1"/>
      <c r="L243" s="1"/>
      <c r="M243" s="1" t="s">
        <v>78</v>
      </c>
      <c r="N243" s="1" t="s">
        <v>186</v>
      </c>
      <c r="O243" s="1"/>
      <c r="P243" s="1"/>
      <c r="Q243" s="1"/>
      <c r="R243" s="1"/>
      <c r="S243" s="1"/>
      <c r="T243" s="1" t="s">
        <v>4567</v>
      </c>
      <c r="U243" s="1" t="s">
        <v>4568</v>
      </c>
      <c r="V243" s="1" t="s">
        <v>4569</v>
      </c>
      <c r="W243" s="1" t="s">
        <v>4570</v>
      </c>
      <c r="X243" s="1" t="s">
        <v>86</v>
      </c>
      <c r="Y243" s="1" t="s">
        <v>3942</v>
      </c>
      <c r="Z243" s="1" t="s">
        <v>4571</v>
      </c>
      <c r="AA243" s="1" t="s">
        <v>1385</v>
      </c>
      <c r="AB243" s="1" t="s">
        <v>3692</v>
      </c>
      <c r="AC243" s="1" t="s">
        <v>4572</v>
      </c>
      <c r="AD243" s="1" t="s">
        <v>4572</v>
      </c>
      <c r="AE243" s="1" t="s">
        <v>4573</v>
      </c>
      <c r="AF243" s="1"/>
      <c r="AG243" s="1" t="n">
        <v>26</v>
      </c>
      <c r="AH243" s="1" t="n">
        <v>3</v>
      </c>
      <c r="AI243" s="1" t="n">
        <v>3</v>
      </c>
      <c r="AJ243" s="1" t="n">
        <v>1</v>
      </c>
      <c r="AK243" s="1" t="n">
        <v>2</v>
      </c>
      <c r="AL243" s="1" t="s">
        <v>893</v>
      </c>
      <c r="AM243" s="1" t="s">
        <v>894</v>
      </c>
      <c r="AN243" s="1" t="s">
        <v>895</v>
      </c>
      <c r="AO243" s="1" t="s">
        <v>1387</v>
      </c>
      <c r="AP243" s="1" t="s">
        <v>1388</v>
      </c>
      <c r="AQ243" s="1"/>
      <c r="AR243" s="1" t="s">
        <v>1389</v>
      </c>
      <c r="AS243" s="1" t="s">
        <v>1390</v>
      </c>
      <c r="AT243" s="1" t="s">
        <v>2698</v>
      </c>
      <c r="AU243" s="1" t="n">
        <v>2023</v>
      </c>
      <c r="AV243" s="1" t="n">
        <v>158</v>
      </c>
      <c r="AW243" s="1"/>
      <c r="AX243" s="1"/>
      <c r="AY243" s="1"/>
      <c r="AZ243" s="1"/>
      <c r="BA243" s="1"/>
      <c r="BB243" s="1"/>
      <c r="BC243" s="1"/>
      <c r="BD243" s="1" t="n">
        <v>107174</v>
      </c>
      <c r="BE243" s="1" t="s">
        <v>4574</v>
      </c>
      <c r="BF243" s="1" t="str">
        <f aca="false">HYPERLINK("http://dx.doi.org/10.1016/j.infsof.2023.107174","http://dx.doi.org/10.1016/j.infsof.2023.107174")</f>
        <v>http://dx.doi.org/10.1016/j.infsof.2023.107174</v>
      </c>
      <c r="BG243" s="1"/>
      <c r="BH243" s="1" t="s">
        <v>4380</v>
      </c>
      <c r="BI243" s="1" t="n">
        <v>14</v>
      </c>
      <c r="BJ243" s="1" t="s">
        <v>1394</v>
      </c>
      <c r="BK243" s="1" t="s">
        <v>204</v>
      </c>
      <c r="BL243" s="1" t="s">
        <v>101</v>
      </c>
      <c r="BM243" s="1" t="s">
        <v>4575</v>
      </c>
      <c r="BN243" s="1"/>
      <c r="BO243" s="1" t="s">
        <v>612</v>
      </c>
      <c r="BP243" s="1"/>
      <c r="BQ243" s="1"/>
      <c r="BR243" s="1" t="s">
        <v>103</v>
      </c>
      <c r="BS243" s="1" t="s">
        <v>4576</v>
      </c>
      <c r="BT243" s="1" t="str">
        <f aca="false">HYPERLINK("https%3A%2F%2Fwww.webofscience.com%2Fwos%2Fwoscc%2Ffull-record%2FWOS:001005614800001","View Full Record in Web of Science")</f>
        <v>View Full Record in Web of Science</v>
      </c>
    </row>
    <row r="244" customFormat="false" ht="12.75" hidden="false" customHeight="false" outlineLevel="0" collapsed="false">
      <c r="A244" s="1" t="s">
        <v>181</v>
      </c>
      <c r="B244" s="1" t="s">
        <v>3604</v>
      </c>
      <c r="C244" s="1"/>
      <c r="D244" s="1"/>
      <c r="E244" s="1"/>
      <c r="F244" s="1" t="s">
        <v>3605</v>
      </c>
      <c r="G244" s="1"/>
      <c r="H244" s="1"/>
      <c r="I244" s="1" t="s">
        <v>4577</v>
      </c>
      <c r="J244" s="1" t="s">
        <v>4578</v>
      </c>
      <c r="K244" s="1"/>
      <c r="L244" s="1"/>
      <c r="M244" s="1" t="s">
        <v>78</v>
      </c>
      <c r="N244" s="1" t="s">
        <v>618</v>
      </c>
      <c r="O244" s="1"/>
      <c r="P244" s="1"/>
      <c r="Q244" s="1"/>
      <c r="R244" s="1"/>
      <c r="S244" s="1"/>
      <c r="T244" s="1" t="s">
        <v>4579</v>
      </c>
      <c r="U244" s="1" t="s">
        <v>4580</v>
      </c>
      <c r="V244" s="1" t="s">
        <v>4581</v>
      </c>
      <c r="W244" s="1" t="s">
        <v>4582</v>
      </c>
      <c r="X244" s="1" t="s">
        <v>86</v>
      </c>
      <c r="Y244" s="1" t="s">
        <v>4583</v>
      </c>
      <c r="Z244" s="1" t="s">
        <v>4584</v>
      </c>
      <c r="AA244" s="1" t="s">
        <v>3614</v>
      </c>
      <c r="AB244" s="1" t="s">
        <v>4585</v>
      </c>
      <c r="AC244" s="1" t="s">
        <v>4586</v>
      </c>
      <c r="AD244" s="1" t="s">
        <v>4586</v>
      </c>
      <c r="AE244" s="1" t="s">
        <v>4587</v>
      </c>
      <c r="AF244" s="1"/>
      <c r="AG244" s="1" t="n">
        <v>54</v>
      </c>
      <c r="AH244" s="1" t="n">
        <v>27</v>
      </c>
      <c r="AI244" s="1" t="n">
        <v>27</v>
      </c>
      <c r="AJ244" s="1" t="n">
        <v>1</v>
      </c>
      <c r="AK244" s="1" t="n">
        <v>27</v>
      </c>
      <c r="AL244" s="1" t="s">
        <v>846</v>
      </c>
      <c r="AM244" s="1" t="s">
        <v>847</v>
      </c>
      <c r="AN244" s="1" t="s">
        <v>4588</v>
      </c>
      <c r="AO244" s="1" t="s">
        <v>4589</v>
      </c>
      <c r="AP244" s="1"/>
      <c r="AQ244" s="1"/>
      <c r="AR244" s="1" t="s">
        <v>4590</v>
      </c>
      <c r="AS244" s="1" t="s">
        <v>4591</v>
      </c>
      <c r="AT244" s="1" t="s">
        <v>2683</v>
      </c>
      <c r="AU244" s="1" t="n">
        <v>2020</v>
      </c>
      <c r="AV244" s="1" t="n">
        <v>8</v>
      </c>
      <c r="AW244" s="1" t="n">
        <v>4</v>
      </c>
      <c r="AX244" s="1"/>
      <c r="AY244" s="1"/>
      <c r="AZ244" s="1"/>
      <c r="BA244" s="1"/>
      <c r="BB244" s="1"/>
      <c r="BC244" s="1"/>
      <c r="BD244" s="1" t="s">
        <v>4592</v>
      </c>
      <c r="BE244" s="1" t="s">
        <v>4593</v>
      </c>
      <c r="BF244" s="1" t="str">
        <f aca="false">HYPERLINK("http://dx.doi.org/10.2196/16055","http://dx.doi.org/10.2196/16055")</f>
        <v>http://dx.doi.org/10.2196/16055</v>
      </c>
      <c r="BG244" s="1"/>
      <c r="BH244" s="1"/>
      <c r="BI244" s="1" t="n">
        <v>10</v>
      </c>
      <c r="BJ244" s="1" t="s">
        <v>854</v>
      </c>
      <c r="BK244" s="1" t="s">
        <v>204</v>
      </c>
      <c r="BL244" s="1" t="s">
        <v>854</v>
      </c>
      <c r="BM244" s="1" t="s">
        <v>4594</v>
      </c>
      <c r="BN244" s="1" t="n">
        <v>32310144</v>
      </c>
      <c r="BO244" s="1" t="s">
        <v>4595</v>
      </c>
      <c r="BP244" s="1"/>
      <c r="BQ244" s="1"/>
      <c r="BR244" s="1" t="s">
        <v>103</v>
      </c>
      <c r="BS244" s="1" t="s">
        <v>4596</v>
      </c>
      <c r="BT244" s="1" t="str">
        <f aca="false">HYPERLINK("https%3A%2F%2Fwww.webofscience.com%2Fwos%2Fwoscc%2Ffull-record%2FWOS:000526813600001","View Full Record in Web of Science")</f>
        <v>View Full Record in Web of Science</v>
      </c>
    </row>
    <row r="245" customFormat="false" ht="12.75" hidden="false" customHeight="false" outlineLevel="0" collapsed="false">
      <c r="A245" s="1" t="s">
        <v>72</v>
      </c>
      <c r="B245" s="1" t="s">
        <v>4597</v>
      </c>
      <c r="C245" s="1"/>
      <c r="D245" s="1" t="s">
        <v>4598</v>
      </c>
      <c r="E245" s="1"/>
      <c r="F245" s="1" t="s">
        <v>4599</v>
      </c>
      <c r="G245" s="1"/>
      <c r="H245" s="1"/>
      <c r="I245" s="1" t="s">
        <v>4600</v>
      </c>
      <c r="J245" s="1" t="s">
        <v>4601</v>
      </c>
      <c r="K245" s="1" t="s">
        <v>3043</v>
      </c>
      <c r="L245" s="1"/>
      <c r="M245" s="1" t="s">
        <v>78</v>
      </c>
      <c r="N245" s="1" t="s">
        <v>79</v>
      </c>
      <c r="O245" s="1" t="s">
        <v>4602</v>
      </c>
      <c r="P245" s="1" t="s">
        <v>4603</v>
      </c>
      <c r="Q245" s="1" t="s">
        <v>4604</v>
      </c>
      <c r="R245" s="1" t="s">
        <v>1086</v>
      </c>
      <c r="S245" s="1"/>
      <c r="T245" s="1" t="s">
        <v>4605</v>
      </c>
      <c r="U245" s="1" t="s">
        <v>4606</v>
      </c>
      <c r="V245" s="1" t="s">
        <v>4607</v>
      </c>
      <c r="W245" s="1" t="s">
        <v>4608</v>
      </c>
      <c r="X245" s="1" t="s">
        <v>86</v>
      </c>
      <c r="Y245" s="1" t="s">
        <v>4609</v>
      </c>
      <c r="Z245" s="1" t="s">
        <v>4610</v>
      </c>
      <c r="AA245" s="1"/>
      <c r="AB245" s="1"/>
      <c r="AC245" s="1"/>
      <c r="AD245" s="1"/>
      <c r="AE245" s="1"/>
      <c r="AF245" s="1"/>
      <c r="AG245" s="1" t="n">
        <v>39</v>
      </c>
      <c r="AH245" s="1" t="n">
        <v>0</v>
      </c>
      <c r="AI245" s="1" t="n">
        <v>0</v>
      </c>
      <c r="AJ245" s="1" t="n">
        <v>1</v>
      </c>
      <c r="AK245" s="1" t="n">
        <v>1</v>
      </c>
      <c r="AL245" s="1" t="s">
        <v>172</v>
      </c>
      <c r="AM245" s="1" t="s">
        <v>173</v>
      </c>
      <c r="AN245" s="1" t="s">
        <v>174</v>
      </c>
      <c r="AO245" s="1" t="s">
        <v>3054</v>
      </c>
      <c r="AP245" s="1"/>
      <c r="AQ245" s="1" t="s">
        <v>4611</v>
      </c>
      <c r="AR245" s="1" t="s">
        <v>3056</v>
      </c>
      <c r="AS245" s="1"/>
      <c r="AT245" s="1"/>
      <c r="AU245" s="1" t="n">
        <v>2024</v>
      </c>
      <c r="AV245" s="1"/>
      <c r="AW245" s="1"/>
      <c r="AX245" s="1"/>
      <c r="AY245" s="1"/>
      <c r="AZ245" s="1"/>
      <c r="BA245" s="1"/>
      <c r="BB245" s="1" t="n">
        <v>264</v>
      </c>
      <c r="BC245" s="1" t="n">
        <v>274</v>
      </c>
      <c r="BD245" s="1"/>
      <c r="BE245" s="1" t="s">
        <v>4612</v>
      </c>
      <c r="BF245" s="1" t="str">
        <f aca="false">HYPERLINK("http://dx.doi.org/10.1109/RE59067.2024.00033","http://dx.doi.org/10.1109/RE59067.2024.00033")</f>
        <v>http://dx.doi.org/10.1109/RE59067.2024.00033</v>
      </c>
      <c r="BG245" s="1"/>
      <c r="BH245" s="1"/>
      <c r="BI245" s="1" t="n">
        <v>11</v>
      </c>
      <c r="BJ245" s="1" t="s">
        <v>4613</v>
      </c>
      <c r="BK245" s="1" t="s">
        <v>100</v>
      </c>
      <c r="BL245" s="1" t="s">
        <v>1255</v>
      </c>
      <c r="BM245" s="1" t="s">
        <v>4614</v>
      </c>
      <c r="BN245" s="1"/>
      <c r="BO245" s="1" t="s">
        <v>227</v>
      </c>
      <c r="BP245" s="1"/>
      <c r="BQ245" s="1"/>
      <c r="BR245" s="1" t="s">
        <v>103</v>
      </c>
      <c r="BS245" s="1" t="s">
        <v>4615</v>
      </c>
      <c r="BT245" s="1" t="str">
        <f aca="false">HYPERLINK("https%3A%2F%2Fwww.webofscience.com%2Fwos%2Fwoscc%2Ffull-record%2FWOS:001300544600025","View Full Record in Web of Science")</f>
        <v>View Full Record in Web of Science</v>
      </c>
    </row>
    <row r="246" customFormat="false" ht="12.75" hidden="false" customHeight="false" outlineLevel="0" collapsed="false">
      <c r="A246" s="1" t="s">
        <v>72</v>
      </c>
      <c r="B246" s="1" t="s">
        <v>4616</v>
      </c>
      <c r="C246" s="1"/>
      <c r="D246" s="1"/>
      <c r="E246" s="1" t="s">
        <v>74</v>
      </c>
      <c r="F246" s="1" t="s">
        <v>4617</v>
      </c>
      <c r="G246" s="1"/>
      <c r="H246" s="1"/>
      <c r="I246" s="1" t="s">
        <v>4618</v>
      </c>
      <c r="J246" s="1" t="s">
        <v>4619</v>
      </c>
      <c r="K246" s="1"/>
      <c r="L246" s="1"/>
      <c r="M246" s="1" t="s">
        <v>78</v>
      </c>
      <c r="N246" s="1" t="s">
        <v>79</v>
      </c>
      <c r="O246" s="1" t="s">
        <v>4620</v>
      </c>
      <c r="P246" s="1" t="s">
        <v>4621</v>
      </c>
      <c r="Q246" s="1" t="s">
        <v>4622</v>
      </c>
      <c r="R246" s="1" t="s">
        <v>4623</v>
      </c>
      <c r="S246" s="1"/>
      <c r="T246" s="1" t="s">
        <v>4624</v>
      </c>
      <c r="U246" s="1" t="s">
        <v>4625</v>
      </c>
      <c r="V246" s="1" t="s">
        <v>4626</v>
      </c>
      <c r="W246" s="1" t="s">
        <v>4627</v>
      </c>
      <c r="X246" s="1" t="s">
        <v>4628</v>
      </c>
      <c r="Y246" s="1" t="s">
        <v>4629</v>
      </c>
      <c r="Z246" s="1" t="s">
        <v>4630</v>
      </c>
      <c r="AA246" s="1"/>
      <c r="AB246" s="1" t="s">
        <v>4631</v>
      </c>
      <c r="AC246" s="1" t="s">
        <v>4632</v>
      </c>
      <c r="AD246" s="1" t="s">
        <v>4633</v>
      </c>
      <c r="AE246" s="1" t="s">
        <v>4634</v>
      </c>
      <c r="AF246" s="1"/>
      <c r="AG246" s="1" t="n">
        <v>40</v>
      </c>
      <c r="AH246" s="1" t="n">
        <v>0</v>
      </c>
      <c r="AI246" s="1" t="n">
        <v>0</v>
      </c>
      <c r="AJ246" s="1" t="n">
        <v>2</v>
      </c>
      <c r="AK246" s="1" t="n">
        <v>2</v>
      </c>
      <c r="AL246" s="1" t="s">
        <v>94</v>
      </c>
      <c r="AM246" s="1" t="s">
        <v>95</v>
      </c>
      <c r="AN246" s="1" t="s">
        <v>96</v>
      </c>
      <c r="AO246" s="1"/>
      <c r="AP246" s="1"/>
      <c r="AQ246" s="1" t="s">
        <v>4635</v>
      </c>
      <c r="AR246" s="1"/>
      <c r="AS246" s="1"/>
      <c r="AT246" s="1"/>
      <c r="AU246" s="1" t="n">
        <v>2024</v>
      </c>
      <c r="AV246" s="1"/>
      <c r="AW246" s="1"/>
      <c r="AX246" s="1"/>
      <c r="AY246" s="1"/>
      <c r="AZ246" s="1"/>
      <c r="BA246" s="1"/>
      <c r="BB246" s="1" t="n">
        <v>1035</v>
      </c>
      <c r="BC246" s="1" t="n">
        <v>1040</v>
      </c>
      <c r="BD246" s="1"/>
      <c r="BE246" s="1" t="s">
        <v>4636</v>
      </c>
      <c r="BF246" s="1" t="str">
        <f aca="false">HYPERLINK("http://dx.doi.org/10.1145/3652620.3688339","http://dx.doi.org/10.1145/3652620.3688339")</f>
        <v>http://dx.doi.org/10.1145/3652620.3688339</v>
      </c>
      <c r="BG246" s="1"/>
      <c r="BH246" s="1"/>
      <c r="BI246" s="1" t="n">
        <v>6</v>
      </c>
      <c r="BJ246" s="1" t="s">
        <v>517</v>
      </c>
      <c r="BK246" s="1" t="s">
        <v>100</v>
      </c>
      <c r="BL246" s="1" t="s">
        <v>101</v>
      </c>
      <c r="BM246" s="1" t="s">
        <v>4637</v>
      </c>
      <c r="BN246" s="1"/>
      <c r="BO246" s="1"/>
      <c r="BP246" s="1"/>
      <c r="BQ246" s="1"/>
      <c r="BR246" s="1" t="s">
        <v>103</v>
      </c>
      <c r="BS246" s="1" t="s">
        <v>4638</v>
      </c>
      <c r="BT246" s="1" t="str">
        <f aca="false">HYPERLINK("https%3A%2F%2Fwww.webofscience.com%2Fwos%2Fwoscc%2Ffull-record%2FWOS:001351589800138","View Full Record in Web of Science")</f>
        <v>View Full Record in Web of Science</v>
      </c>
    </row>
    <row r="247" customFormat="false" ht="12.75" hidden="false" customHeight="false" outlineLevel="0" collapsed="false">
      <c r="A247" s="1" t="s">
        <v>181</v>
      </c>
      <c r="B247" s="1" t="s">
        <v>4064</v>
      </c>
      <c r="C247" s="1"/>
      <c r="D247" s="1"/>
      <c r="E247" s="1"/>
      <c r="F247" s="1" t="s">
        <v>4065</v>
      </c>
      <c r="G247" s="1"/>
      <c r="H247" s="1"/>
      <c r="I247" s="1" t="s">
        <v>4639</v>
      </c>
      <c r="J247" s="1" t="s">
        <v>4640</v>
      </c>
      <c r="K247" s="1"/>
      <c r="L247" s="1"/>
      <c r="M247" s="1" t="s">
        <v>78</v>
      </c>
      <c r="N247" s="1" t="s">
        <v>186</v>
      </c>
      <c r="O247" s="1"/>
      <c r="P247" s="1"/>
      <c r="Q247" s="1"/>
      <c r="R247" s="1"/>
      <c r="S247" s="1"/>
      <c r="T247" s="1" t="s">
        <v>4641</v>
      </c>
      <c r="U247" s="1" t="s">
        <v>4642</v>
      </c>
      <c r="V247" s="1" t="s">
        <v>4643</v>
      </c>
      <c r="W247" s="1" t="s">
        <v>4644</v>
      </c>
      <c r="X247" s="1" t="s">
        <v>86</v>
      </c>
      <c r="Y247" s="1" t="s">
        <v>4645</v>
      </c>
      <c r="Z247" s="1" t="s">
        <v>4072</v>
      </c>
      <c r="AA247" s="1"/>
      <c r="AB247" s="1" t="s">
        <v>4073</v>
      </c>
      <c r="AC247" s="1" t="s">
        <v>4646</v>
      </c>
      <c r="AD247" s="1" t="s">
        <v>4647</v>
      </c>
      <c r="AE247" s="1" t="s">
        <v>4648</v>
      </c>
      <c r="AF247" s="1"/>
      <c r="AG247" s="1" t="n">
        <v>0</v>
      </c>
      <c r="AH247" s="1" t="n">
        <v>4</v>
      </c>
      <c r="AI247" s="1" t="n">
        <v>4</v>
      </c>
      <c r="AJ247" s="1" t="n">
        <v>0</v>
      </c>
      <c r="AK247" s="1" t="n">
        <v>6</v>
      </c>
      <c r="AL247" s="1" t="s">
        <v>3425</v>
      </c>
      <c r="AM247" s="1" t="s">
        <v>3426</v>
      </c>
      <c r="AN247" s="1" t="s">
        <v>3427</v>
      </c>
      <c r="AO247" s="1" t="s">
        <v>4649</v>
      </c>
      <c r="AP247" s="1" t="s">
        <v>4650</v>
      </c>
      <c r="AQ247" s="1"/>
      <c r="AR247" s="1" t="s">
        <v>4651</v>
      </c>
      <c r="AS247" s="1" t="s">
        <v>4652</v>
      </c>
      <c r="AT247" s="1" t="s">
        <v>4653</v>
      </c>
      <c r="AU247" s="1" t="n">
        <v>2022</v>
      </c>
      <c r="AV247" s="1" t="n">
        <v>396</v>
      </c>
      <c r="AW247" s="1"/>
      <c r="AX247" s="1"/>
      <c r="AY247" s="1"/>
      <c r="AZ247" s="1"/>
      <c r="BA247" s="1"/>
      <c r="BB247" s="1"/>
      <c r="BC247" s="1"/>
      <c r="BD247" s="1" t="n">
        <v>108160</v>
      </c>
      <c r="BE247" s="1" t="s">
        <v>4654</v>
      </c>
      <c r="BF247" s="1" t="str">
        <f aca="false">HYPERLINK("http://dx.doi.org/10.1016/j.aim.2021.108160","http://dx.doi.org/10.1016/j.aim.2021.108160")</f>
        <v>http://dx.doi.org/10.1016/j.aim.2021.108160</v>
      </c>
      <c r="BG247" s="1"/>
      <c r="BH247" s="1" t="s">
        <v>2540</v>
      </c>
      <c r="BI247" s="1" t="n">
        <v>36</v>
      </c>
      <c r="BJ247" s="1" t="s">
        <v>280</v>
      </c>
      <c r="BK247" s="1" t="s">
        <v>204</v>
      </c>
      <c r="BL247" s="1" t="s">
        <v>280</v>
      </c>
      <c r="BM247" s="1" t="s">
        <v>4655</v>
      </c>
      <c r="BN247" s="1"/>
      <c r="BO247" s="1" t="s">
        <v>4656</v>
      </c>
      <c r="BP247" s="1"/>
      <c r="BQ247" s="1"/>
      <c r="BR247" s="1" t="s">
        <v>103</v>
      </c>
      <c r="BS247" s="1" t="s">
        <v>4657</v>
      </c>
      <c r="BT247" s="1" t="str">
        <f aca="false">HYPERLINK("https%3A%2F%2Fwww.webofscience.com%2Fwos%2Fwoscc%2Ffull-record%2FWOS:000793160800002","View Full Record in Web of Science")</f>
        <v>View Full Record in Web of Science</v>
      </c>
    </row>
    <row r="248" customFormat="false" ht="12.75" hidden="false" customHeight="false" outlineLevel="0" collapsed="false">
      <c r="A248" s="1" t="s">
        <v>181</v>
      </c>
      <c r="B248" s="1" t="s">
        <v>4064</v>
      </c>
      <c r="C248" s="1"/>
      <c r="D248" s="1"/>
      <c r="E248" s="1"/>
      <c r="F248" s="1" t="s">
        <v>4065</v>
      </c>
      <c r="G248" s="1"/>
      <c r="H248" s="1"/>
      <c r="I248" s="1" t="s">
        <v>4658</v>
      </c>
      <c r="J248" s="1" t="s">
        <v>4659</v>
      </c>
      <c r="K248" s="1"/>
      <c r="L248" s="1"/>
      <c r="M248" s="1" t="s">
        <v>78</v>
      </c>
      <c r="N248" s="1" t="s">
        <v>907</v>
      </c>
      <c r="O248" s="1"/>
      <c r="P248" s="1"/>
      <c r="Q248" s="1"/>
      <c r="R248" s="1"/>
      <c r="S248" s="1"/>
      <c r="T248" s="1" t="s">
        <v>4660</v>
      </c>
      <c r="U248" s="1" t="s">
        <v>4661</v>
      </c>
      <c r="V248" s="1" t="s">
        <v>4662</v>
      </c>
      <c r="W248" s="1" t="s">
        <v>4663</v>
      </c>
      <c r="X248" s="1" t="s">
        <v>86</v>
      </c>
      <c r="Y248" s="1" t="s">
        <v>4664</v>
      </c>
      <c r="Z248" s="1" t="s">
        <v>4072</v>
      </c>
      <c r="AA248" s="1"/>
      <c r="AB248" s="1"/>
      <c r="AC248" s="1"/>
      <c r="AD248" s="1"/>
      <c r="AE248" s="1"/>
      <c r="AF248" s="1"/>
      <c r="AG248" s="1" t="n">
        <v>27</v>
      </c>
      <c r="AH248" s="1" t="n">
        <v>0</v>
      </c>
      <c r="AI248" s="1" t="n">
        <v>0</v>
      </c>
      <c r="AJ248" s="1" t="n">
        <v>2</v>
      </c>
      <c r="AK248" s="1" t="n">
        <v>2</v>
      </c>
      <c r="AL248" s="1" t="s">
        <v>630</v>
      </c>
      <c r="AM248" s="1" t="s">
        <v>631</v>
      </c>
      <c r="AN248" s="1" t="s">
        <v>632</v>
      </c>
      <c r="AO248" s="1" t="s">
        <v>4665</v>
      </c>
      <c r="AP248" s="1" t="s">
        <v>4666</v>
      </c>
      <c r="AQ248" s="1"/>
      <c r="AR248" s="1" t="s">
        <v>4667</v>
      </c>
      <c r="AS248" s="1" t="s">
        <v>4668</v>
      </c>
      <c r="AT248" s="1" t="s">
        <v>4669</v>
      </c>
      <c r="AU248" s="1" t="n">
        <v>2025</v>
      </c>
      <c r="AV248" s="1"/>
      <c r="AW248" s="1"/>
      <c r="AX248" s="1"/>
      <c r="AY248" s="1"/>
      <c r="AZ248" s="1"/>
      <c r="BA248" s="1"/>
      <c r="BB248" s="1"/>
      <c r="BC248" s="1"/>
      <c r="BD248" s="1"/>
      <c r="BE248" s="1" t="s">
        <v>4670</v>
      </c>
      <c r="BF248" s="1" t="str">
        <f aca="false">HYPERLINK("http://dx.doi.org/10.4153/S0008439524000808","http://dx.doi.org/10.4153/S0008439524000808")</f>
        <v>http://dx.doi.org/10.4153/S0008439524000808</v>
      </c>
      <c r="BG248" s="1"/>
      <c r="BH248" s="1" t="s">
        <v>4671</v>
      </c>
      <c r="BI248" s="1" t="n">
        <v>14</v>
      </c>
      <c r="BJ248" s="1" t="s">
        <v>280</v>
      </c>
      <c r="BK248" s="1" t="s">
        <v>204</v>
      </c>
      <c r="BL248" s="1" t="s">
        <v>280</v>
      </c>
      <c r="BM248" s="1" t="s">
        <v>4672</v>
      </c>
      <c r="BN248" s="1"/>
      <c r="BO248" s="1" t="s">
        <v>227</v>
      </c>
      <c r="BP248" s="1"/>
      <c r="BQ248" s="1"/>
      <c r="BR248" s="1" t="s">
        <v>103</v>
      </c>
      <c r="BS248" s="1" t="s">
        <v>4673</v>
      </c>
      <c r="BT248" s="1" t="str">
        <f aca="false">HYPERLINK("https%3A%2F%2Fwww.webofscience.com%2Fwos%2Fwoscc%2Ffull-record%2FWOS:001397837700001","View Full Record in Web of Science")</f>
        <v>View Full Record in Web of Science</v>
      </c>
    </row>
    <row r="249" customFormat="false" ht="12.75" hidden="false" customHeight="false" outlineLevel="0" collapsed="false">
      <c r="A249" s="1" t="s">
        <v>181</v>
      </c>
      <c r="B249" s="1" t="s">
        <v>4674</v>
      </c>
      <c r="C249" s="1"/>
      <c r="D249" s="1"/>
      <c r="E249" s="1"/>
      <c r="F249" s="1" t="s">
        <v>4675</v>
      </c>
      <c r="G249" s="1"/>
      <c r="H249" s="1"/>
      <c r="I249" s="1" t="s">
        <v>4676</v>
      </c>
      <c r="J249" s="1" t="s">
        <v>4677</v>
      </c>
      <c r="K249" s="1"/>
      <c r="L249" s="1"/>
      <c r="M249" s="1" t="s">
        <v>78</v>
      </c>
      <c r="N249" s="1" t="s">
        <v>4678</v>
      </c>
      <c r="O249" s="1"/>
      <c r="P249" s="1"/>
      <c r="Q249" s="1"/>
      <c r="R249" s="1"/>
      <c r="S249" s="1"/>
      <c r="T249" s="1"/>
      <c r="U249" s="1"/>
      <c r="V249" s="1"/>
      <c r="W249" s="1" t="s">
        <v>4679</v>
      </c>
      <c r="X249" s="1" t="s">
        <v>86</v>
      </c>
      <c r="Y249" s="1" t="s">
        <v>4680</v>
      </c>
      <c r="Z249" s="1" t="s">
        <v>4681</v>
      </c>
      <c r="AA249" s="1"/>
      <c r="AB249" s="1"/>
      <c r="AC249" s="1"/>
      <c r="AD249" s="1"/>
      <c r="AE249" s="1"/>
      <c r="AF249" s="1"/>
      <c r="AG249" s="1" t="n">
        <v>35</v>
      </c>
      <c r="AH249" s="1" t="n">
        <v>0</v>
      </c>
      <c r="AI249" s="1" t="n">
        <v>0</v>
      </c>
      <c r="AJ249" s="1" t="n">
        <v>0</v>
      </c>
      <c r="AK249" s="1" t="n">
        <v>4</v>
      </c>
      <c r="AL249" s="1" t="s">
        <v>4682</v>
      </c>
      <c r="AM249" s="1" t="s">
        <v>4683</v>
      </c>
      <c r="AN249" s="1" t="s">
        <v>4684</v>
      </c>
      <c r="AO249" s="1" t="s">
        <v>4685</v>
      </c>
      <c r="AP249" s="1"/>
      <c r="AQ249" s="1"/>
      <c r="AR249" s="1" t="s">
        <v>4686</v>
      </c>
      <c r="AS249" s="1" t="s">
        <v>4687</v>
      </c>
      <c r="AT249" s="1"/>
      <c r="AU249" s="1" t="n">
        <v>2020</v>
      </c>
      <c r="AV249" s="1" t="n">
        <v>54</v>
      </c>
      <c r="AW249" s="1" t="s">
        <v>4688</v>
      </c>
      <c r="AX249" s="1"/>
      <c r="AY249" s="1"/>
      <c r="AZ249" s="1"/>
      <c r="BA249" s="1"/>
      <c r="BB249" s="1" t="n">
        <v>181</v>
      </c>
      <c r="BC249" s="1" t="n">
        <v>195</v>
      </c>
      <c r="BD249" s="1"/>
      <c r="BE249" s="1"/>
      <c r="BF249" s="1"/>
      <c r="BG249" s="1"/>
      <c r="BH249" s="1"/>
      <c r="BI249" s="1" t="n">
        <v>15</v>
      </c>
      <c r="BJ249" s="1" t="s">
        <v>774</v>
      </c>
      <c r="BK249" s="1" t="s">
        <v>775</v>
      </c>
      <c r="BL249" s="1" t="s">
        <v>774</v>
      </c>
      <c r="BM249" s="1" t="s">
        <v>4689</v>
      </c>
      <c r="BN249" s="1"/>
      <c r="BO249" s="1"/>
      <c r="BP249" s="1"/>
      <c r="BQ249" s="1"/>
      <c r="BR249" s="1" t="s">
        <v>103</v>
      </c>
      <c r="BS249" s="1" t="s">
        <v>4690</v>
      </c>
      <c r="BT249" s="1" t="str">
        <f aca="false">HYPERLINK("https%3A%2F%2Fwww.webofscience.com%2Fwos%2Fwoscc%2Ffull-record%2FWOS:000609002700003","View Full Record in Web of Science")</f>
        <v>View Full Record in Web of Science</v>
      </c>
    </row>
    <row r="250" customFormat="false" ht="12.75" hidden="false" customHeight="false" outlineLevel="0" collapsed="false">
      <c r="A250" s="1" t="s">
        <v>72</v>
      </c>
      <c r="B250" s="1" t="s">
        <v>4691</v>
      </c>
      <c r="C250" s="1"/>
      <c r="D250" s="1" t="s">
        <v>4159</v>
      </c>
      <c r="E250" s="1"/>
      <c r="F250" s="1" t="s">
        <v>4692</v>
      </c>
      <c r="G250" s="1"/>
      <c r="H250" s="1"/>
      <c r="I250" s="1" t="s">
        <v>4693</v>
      </c>
      <c r="J250" s="1" t="s">
        <v>4694</v>
      </c>
      <c r="K250" s="1"/>
      <c r="L250" s="1"/>
      <c r="M250" s="1" t="s">
        <v>78</v>
      </c>
      <c r="N250" s="1" t="s">
        <v>79</v>
      </c>
      <c r="O250" s="1" t="s">
        <v>4695</v>
      </c>
      <c r="P250" s="1" t="s">
        <v>4696</v>
      </c>
      <c r="Q250" s="1" t="s">
        <v>4697</v>
      </c>
      <c r="R250" s="1"/>
      <c r="S250" s="1"/>
      <c r="T250" s="1" t="s">
        <v>4698</v>
      </c>
      <c r="U250" s="1"/>
      <c r="V250" s="1" t="s">
        <v>4699</v>
      </c>
      <c r="W250" s="1" t="s">
        <v>4700</v>
      </c>
      <c r="X250" s="1" t="s">
        <v>86</v>
      </c>
      <c r="Y250" s="1" t="s">
        <v>2909</v>
      </c>
      <c r="Z250" s="1"/>
      <c r="AA250" s="1" t="s">
        <v>2759</v>
      </c>
      <c r="AB250" s="1" t="s">
        <v>2760</v>
      </c>
      <c r="AC250" s="1"/>
      <c r="AD250" s="1"/>
      <c r="AE250" s="1"/>
      <c r="AF250" s="1"/>
      <c r="AG250" s="1" t="n">
        <v>23</v>
      </c>
      <c r="AH250" s="1" t="n">
        <v>2</v>
      </c>
      <c r="AI250" s="1" t="n">
        <v>2</v>
      </c>
      <c r="AJ250" s="1" t="n">
        <v>0</v>
      </c>
      <c r="AK250" s="1" t="n">
        <v>1</v>
      </c>
      <c r="AL250" s="1" t="s">
        <v>1721</v>
      </c>
      <c r="AM250" s="1" t="s">
        <v>1722</v>
      </c>
      <c r="AN250" s="1" t="s">
        <v>1723</v>
      </c>
      <c r="AO250" s="1"/>
      <c r="AP250" s="1"/>
      <c r="AQ250" s="1" t="s">
        <v>4701</v>
      </c>
      <c r="AR250" s="1"/>
      <c r="AS250" s="1"/>
      <c r="AT250" s="1"/>
      <c r="AU250" s="1" t="n">
        <v>2020</v>
      </c>
      <c r="AV250" s="1"/>
      <c r="AW250" s="1"/>
      <c r="AX250" s="1"/>
      <c r="AY250" s="1"/>
      <c r="AZ250" s="1"/>
      <c r="BA250" s="1"/>
      <c r="BB250" s="1" t="n">
        <v>305</v>
      </c>
      <c r="BC250" s="1" t="n">
        <v>314</v>
      </c>
      <c r="BD250" s="1"/>
      <c r="BE250" s="1" t="s">
        <v>4702</v>
      </c>
      <c r="BF250" s="1" t="str">
        <f aca="false">HYPERLINK("http://dx.doi.org/10.5220/0009347303050314","http://dx.doi.org/10.5220/0009347303050314")</f>
        <v>http://dx.doi.org/10.5220/0009347303050314</v>
      </c>
      <c r="BG250" s="1"/>
      <c r="BH250" s="1"/>
      <c r="BI250" s="1" t="n">
        <v>10</v>
      </c>
      <c r="BJ250" s="1" t="s">
        <v>4703</v>
      </c>
      <c r="BK250" s="1" t="s">
        <v>100</v>
      </c>
      <c r="BL250" s="1" t="s">
        <v>101</v>
      </c>
      <c r="BM250" s="1" t="s">
        <v>4704</v>
      </c>
      <c r="BN250" s="1"/>
      <c r="BO250" s="1" t="s">
        <v>612</v>
      </c>
      <c r="BP250" s="1"/>
      <c r="BQ250" s="1"/>
      <c r="BR250" s="1" t="s">
        <v>103</v>
      </c>
      <c r="BS250" s="1" t="s">
        <v>4705</v>
      </c>
      <c r="BT250" s="1" t="str">
        <f aca="false">HYPERLINK("https%3A%2F%2Fwww.webofscience.com%2Fwos%2Fwoscc%2Ffull-record%2FWOS:000621581300034","View Full Record in Web of Science")</f>
        <v>View Full Record in Web of Science</v>
      </c>
    </row>
    <row r="251" customFormat="false" ht="12.75" hidden="false" customHeight="false" outlineLevel="0" collapsed="false">
      <c r="A251" s="1" t="s">
        <v>181</v>
      </c>
      <c r="B251" s="1" t="s">
        <v>4706</v>
      </c>
      <c r="C251" s="1"/>
      <c r="D251" s="1"/>
      <c r="E251" s="1"/>
      <c r="F251" s="1" t="s">
        <v>4707</v>
      </c>
      <c r="G251" s="1"/>
      <c r="H251" s="1"/>
      <c r="I251" s="1" t="s">
        <v>4708</v>
      </c>
      <c r="J251" s="1" t="s">
        <v>3481</v>
      </c>
      <c r="K251" s="1"/>
      <c r="L251" s="1"/>
      <c r="M251" s="1" t="s">
        <v>78</v>
      </c>
      <c r="N251" s="1" t="s">
        <v>186</v>
      </c>
      <c r="O251" s="1"/>
      <c r="P251" s="1"/>
      <c r="Q251" s="1"/>
      <c r="R251" s="1"/>
      <c r="S251" s="1"/>
      <c r="T251" s="1" t="s">
        <v>4709</v>
      </c>
      <c r="U251" s="1"/>
      <c r="V251" s="1" t="s">
        <v>4710</v>
      </c>
      <c r="W251" s="1" t="s">
        <v>4711</v>
      </c>
      <c r="X251" s="1" t="s">
        <v>912</v>
      </c>
      <c r="Y251" s="1" t="s">
        <v>4712</v>
      </c>
      <c r="Z251" s="1" t="s">
        <v>4713</v>
      </c>
      <c r="AA251" s="1" t="s">
        <v>4714</v>
      </c>
      <c r="AB251" s="1" t="s">
        <v>4715</v>
      </c>
      <c r="AC251" s="1"/>
      <c r="AD251" s="1"/>
      <c r="AE251" s="1"/>
      <c r="AF251" s="1"/>
      <c r="AG251" s="1" t="n">
        <v>37</v>
      </c>
      <c r="AH251" s="1" t="n">
        <v>4</v>
      </c>
      <c r="AI251" s="1" t="n">
        <v>4</v>
      </c>
      <c r="AJ251" s="1" t="n">
        <v>1</v>
      </c>
      <c r="AK251" s="1" t="n">
        <v>5</v>
      </c>
      <c r="AL251" s="1" t="s">
        <v>367</v>
      </c>
      <c r="AM251" s="1" t="s">
        <v>368</v>
      </c>
      <c r="AN251" s="1" t="s">
        <v>369</v>
      </c>
      <c r="AO251" s="1"/>
      <c r="AP251" s="1" t="s">
        <v>3492</v>
      </c>
      <c r="AQ251" s="1"/>
      <c r="AR251" s="1" t="s">
        <v>3493</v>
      </c>
      <c r="AS251" s="1" t="s">
        <v>3494</v>
      </c>
      <c r="AT251" s="1" t="s">
        <v>1362</v>
      </c>
      <c r="AU251" s="1" t="n">
        <v>2021</v>
      </c>
      <c r="AV251" s="1" t="n">
        <v>21</v>
      </c>
      <c r="AW251" s="1" t="n">
        <v>20</v>
      </c>
      <c r="AX251" s="1"/>
      <c r="AY251" s="1"/>
      <c r="AZ251" s="1"/>
      <c r="BA251" s="1"/>
      <c r="BB251" s="1"/>
      <c r="BC251" s="1"/>
      <c r="BD251" s="1" t="n">
        <v>6775</v>
      </c>
      <c r="BE251" s="1" t="s">
        <v>4716</v>
      </c>
      <c r="BF251" s="1" t="str">
        <f aca="false">HYPERLINK("http://dx.doi.org/10.3390/s21206775","http://dx.doi.org/10.3390/s21206775")</f>
        <v>http://dx.doi.org/10.3390/s21206775</v>
      </c>
      <c r="BG251" s="1"/>
      <c r="BH251" s="1"/>
      <c r="BI251" s="1" t="n">
        <v>27</v>
      </c>
      <c r="BJ251" s="1" t="s">
        <v>3496</v>
      </c>
      <c r="BK251" s="1" t="s">
        <v>204</v>
      </c>
      <c r="BL251" s="1" t="s">
        <v>3497</v>
      </c>
      <c r="BM251" s="1" t="s">
        <v>4717</v>
      </c>
      <c r="BN251" s="1" t="n">
        <v>34695987</v>
      </c>
      <c r="BO251" s="1" t="s">
        <v>401</v>
      </c>
      <c r="BP251" s="1"/>
      <c r="BQ251" s="1"/>
      <c r="BR251" s="1" t="s">
        <v>103</v>
      </c>
      <c r="BS251" s="1" t="s">
        <v>4718</v>
      </c>
      <c r="BT251" s="1" t="str">
        <f aca="false">HYPERLINK("https%3A%2F%2Fwww.webofscience.com%2Fwos%2Fwoscc%2Ffull-record%2FWOS:000716120000001","View Full Record in Web of Science")</f>
        <v>View Full Record in Web of Science</v>
      </c>
    </row>
    <row r="252" customFormat="false" ht="12.75" hidden="false" customHeight="false" outlineLevel="0" collapsed="false">
      <c r="A252" s="1" t="s">
        <v>181</v>
      </c>
      <c r="B252" s="1" t="s">
        <v>4719</v>
      </c>
      <c r="C252" s="1"/>
      <c r="D252" s="1"/>
      <c r="E252" s="1"/>
      <c r="F252" s="1" t="s">
        <v>4720</v>
      </c>
      <c r="G252" s="1"/>
      <c r="H252" s="1"/>
      <c r="I252" s="1" t="s">
        <v>4721</v>
      </c>
      <c r="J252" s="1" t="s">
        <v>4722</v>
      </c>
      <c r="K252" s="1"/>
      <c r="L252" s="1"/>
      <c r="M252" s="1" t="s">
        <v>78</v>
      </c>
      <c r="N252" s="1" t="s">
        <v>186</v>
      </c>
      <c r="O252" s="1"/>
      <c r="P252" s="1"/>
      <c r="Q252" s="1"/>
      <c r="R252" s="1"/>
      <c r="S252" s="1"/>
      <c r="T252" s="1" t="s">
        <v>4723</v>
      </c>
      <c r="U252" s="1" t="s">
        <v>4005</v>
      </c>
      <c r="V252" s="1" t="s">
        <v>4724</v>
      </c>
      <c r="W252" s="1" t="s">
        <v>4725</v>
      </c>
      <c r="X252" s="1" t="s">
        <v>86</v>
      </c>
      <c r="Y252" s="1" t="s">
        <v>1109</v>
      </c>
      <c r="Z252" s="1" t="s">
        <v>1110</v>
      </c>
      <c r="AA252" s="1" t="s">
        <v>936</v>
      </c>
      <c r="AB252" s="1" t="s">
        <v>937</v>
      </c>
      <c r="AC252" s="1" t="s">
        <v>1617</v>
      </c>
      <c r="AD252" s="1" t="s">
        <v>677</v>
      </c>
      <c r="AE252" s="1" t="s">
        <v>4726</v>
      </c>
      <c r="AF252" s="1"/>
      <c r="AG252" s="1" t="n">
        <v>41</v>
      </c>
      <c r="AH252" s="1" t="n">
        <v>4</v>
      </c>
      <c r="AI252" s="1" t="n">
        <v>4</v>
      </c>
      <c r="AJ252" s="1" t="n">
        <v>3</v>
      </c>
      <c r="AK252" s="1" t="n">
        <v>16</v>
      </c>
      <c r="AL252" s="1" t="s">
        <v>893</v>
      </c>
      <c r="AM252" s="1" t="s">
        <v>894</v>
      </c>
      <c r="AN252" s="1" t="s">
        <v>895</v>
      </c>
      <c r="AO252" s="1" t="s">
        <v>4727</v>
      </c>
      <c r="AP252" s="1"/>
      <c r="AQ252" s="1"/>
      <c r="AR252" s="1" t="s">
        <v>4728</v>
      </c>
      <c r="AS252" s="1" t="s">
        <v>4729</v>
      </c>
      <c r="AT252" s="1" t="s">
        <v>4730</v>
      </c>
      <c r="AU252" s="1" t="n">
        <v>2021</v>
      </c>
      <c r="AV252" s="1" t="n">
        <v>24</v>
      </c>
      <c r="AW252" s="1"/>
      <c r="AX252" s="1"/>
      <c r="AY252" s="1"/>
      <c r="AZ252" s="1"/>
      <c r="BA252" s="1"/>
      <c r="BB252" s="1"/>
      <c r="BC252" s="1"/>
      <c r="BD252" s="1" t="n">
        <v>100195</v>
      </c>
      <c r="BE252" s="1" t="s">
        <v>4731</v>
      </c>
      <c r="BF252" s="1" t="str">
        <f aca="false">HYPERLINK("http://dx.doi.org/10.1016/j.bdr.2021.100195","http://dx.doi.org/10.1016/j.bdr.2021.100195")</f>
        <v>http://dx.doi.org/10.1016/j.bdr.2021.100195</v>
      </c>
      <c r="BG252" s="1"/>
      <c r="BH252" s="1" t="s">
        <v>2728</v>
      </c>
      <c r="BI252" s="1" t="n">
        <v>13</v>
      </c>
      <c r="BJ252" s="1" t="s">
        <v>1529</v>
      </c>
      <c r="BK252" s="1" t="s">
        <v>204</v>
      </c>
      <c r="BL252" s="1" t="s">
        <v>101</v>
      </c>
      <c r="BM252" s="1" t="s">
        <v>4732</v>
      </c>
      <c r="BN252" s="1"/>
      <c r="BO252" s="1" t="s">
        <v>282</v>
      </c>
      <c r="BP252" s="1"/>
      <c r="BQ252" s="1"/>
      <c r="BR252" s="1" t="s">
        <v>103</v>
      </c>
      <c r="BS252" s="1" t="s">
        <v>4733</v>
      </c>
      <c r="BT252" s="1" t="str">
        <f aca="false">HYPERLINK("https%3A%2F%2Fwww.webofscience.com%2Fwos%2Fwoscc%2Ffull-record%2FWOS:000642459200009","View Full Record in Web of Science")</f>
        <v>View Full Record in Web of Science</v>
      </c>
    </row>
    <row r="253" customFormat="false" ht="12.75" hidden="false" customHeight="false" outlineLevel="0" collapsed="false">
      <c r="A253" s="1" t="s">
        <v>72</v>
      </c>
      <c r="B253" s="1" t="s">
        <v>4734</v>
      </c>
      <c r="C253" s="1"/>
      <c r="D253" s="1"/>
      <c r="E253" s="1" t="s">
        <v>106</v>
      </c>
      <c r="F253" s="1" t="s">
        <v>4735</v>
      </c>
      <c r="G253" s="1"/>
      <c r="H253" s="1"/>
      <c r="I253" s="1" t="s">
        <v>4736</v>
      </c>
      <c r="J253" s="1" t="s">
        <v>4737</v>
      </c>
      <c r="K253" s="1"/>
      <c r="L253" s="1"/>
      <c r="M253" s="1" t="s">
        <v>78</v>
      </c>
      <c r="N253" s="1" t="s">
        <v>79</v>
      </c>
      <c r="O253" s="1" t="s">
        <v>4738</v>
      </c>
      <c r="P253" s="1" t="s">
        <v>4739</v>
      </c>
      <c r="Q253" s="1" t="s">
        <v>82</v>
      </c>
      <c r="R253" s="1" t="s">
        <v>4740</v>
      </c>
      <c r="S253" s="1"/>
      <c r="T253" s="1" t="s">
        <v>4741</v>
      </c>
      <c r="U253" s="1"/>
      <c r="V253" s="1" t="s">
        <v>4742</v>
      </c>
      <c r="W253" s="1" t="s">
        <v>4743</v>
      </c>
      <c r="X253" s="1" t="s">
        <v>4744</v>
      </c>
      <c r="Y253" s="1" t="s">
        <v>4745</v>
      </c>
      <c r="Z253" s="1" t="s">
        <v>4746</v>
      </c>
      <c r="AA253" s="1"/>
      <c r="AB253" s="1"/>
      <c r="AC253" s="1"/>
      <c r="AD253" s="1"/>
      <c r="AE253" s="1"/>
      <c r="AF253" s="1"/>
      <c r="AG253" s="1" t="n">
        <v>16</v>
      </c>
      <c r="AH253" s="1" t="n">
        <v>3</v>
      </c>
      <c r="AI253" s="1" t="n">
        <v>3</v>
      </c>
      <c r="AJ253" s="1" t="n">
        <v>1</v>
      </c>
      <c r="AK253" s="1" t="n">
        <v>1</v>
      </c>
      <c r="AL253" s="1" t="s">
        <v>172</v>
      </c>
      <c r="AM253" s="1" t="s">
        <v>173</v>
      </c>
      <c r="AN253" s="1" t="s">
        <v>174</v>
      </c>
      <c r="AO253" s="1"/>
      <c r="AP253" s="1"/>
      <c r="AQ253" s="1" t="s">
        <v>4747</v>
      </c>
      <c r="AR253" s="1"/>
      <c r="AS253" s="1"/>
      <c r="AT253" s="1"/>
      <c r="AU253" s="1" t="n">
        <v>2023</v>
      </c>
      <c r="AV253" s="1"/>
      <c r="AW253" s="1"/>
      <c r="AX253" s="1"/>
      <c r="AY253" s="1"/>
      <c r="AZ253" s="1"/>
      <c r="BA253" s="1"/>
      <c r="BB253" s="1" t="n">
        <v>25</v>
      </c>
      <c r="BC253" s="1" t="n">
        <v>34</v>
      </c>
      <c r="BD253" s="1"/>
      <c r="BE253" s="1" t="s">
        <v>4748</v>
      </c>
      <c r="BF253" s="1" t="str">
        <f aca="false">HYPERLINK("http://dx.doi.org/10.1109/ICSSP59042.2023.00013","http://dx.doi.org/10.1109/ICSSP59042.2023.00013")</f>
        <v>http://dx.doi.org/10.1109/ICSSP59042.2023.00013</v>
      </c>
      <c r="BG253" s="1"/>
      <c r="BH253" s="1"/>
      <c r="BI253" s="1" t="n">
        <v>10</v>
      </c>
      <c r="BJ253" s="1" t="s">
        <v>994</v>
      </c>
      <c r="BK253" s="1" t="s">
        <v>100</v>
      </c>
      <c r="BL253" s="1" t="s">
        <v>101</v>
      </c>
      <c r="BM253" s="1" t="s">
        <v>4749</v>
      </c>
      <c r="BN253" s="1"/>
      <c r="BO253" s="1" t="s">
        <v>833</v>
      </c>
      <c r="BP253" s="1"/>
      <c r="BQ253" s="1"/>
      <c r="BR253" s="1" t="s">
        <v>103</v>
      </c>
      <c r="BS253" s="1" t="s">
        <v>4750</v>
      </c>
      <c r="BT253" s="1" t="str">
        <f aca="false">HYPERLINK("https%3A%2F%2Fwww.webofscience.com%2Fwos%2Fwoscc%2Ffull-record%2FWOS:001032744000003","View Full Record in Web of Science")</f>
        <v>View Full Record in Web of Science</v>
      </c>
    </row>
    <row r="254" customFormat="false" ht="12.75" hidden="false" customHeight="false" outlineLevel="0" collapsed="false">
      <c r="A254" s="1" t="s">
        <v>72</v>
      </c>
      <c r="B254" s="1" t="s">
        <v>4751</v>
      </c>
      <c r="C254" s="1"/>
      <c r="D254" s="1"/>
      <c r="E254" s="1" t="s">
        <v>106</v>
      </c>
      <c r="F254" s="1" t="s">
        <v>4752</v>
      </c>
      <c r="G254" s="1"/>
      <c r="H254" s="1"/>
      <c r="I254" s="1" t="s">
        <v>4753</v>
      </c>
      <c r="J254" s="1" t="s">
        <v>1062</v>
      </c>
      <c r="K254" s="1" t="s">
        <v>1063</v>
      </c>
      <c r="L254" s="1"/>
      <c r="M254" s="1" t="s">
        <v>78</v>
      </c>
      <c r="N254" s="1" t="s">
        <v>79</v>
      </c>
      <c r="O254" s="1" t="s">
        <v>1064</v>
      </c>
      <c r="P254" s="1" t="s">
        <v>1065</v>
      </c>
      <c r="Q254" s="1" t="s">
        <v>1066</v>
      </c>
      <c r="R254" s="1"/>
      <c r="S254" s="1"/>
      <c r="T254" s="1" t="s">
        <v>4754</v>
      </c>
      <c r="U254" s="1"/>
      <c r="V254" s="1" t="s">
        <v>4755</v>
      </c>
      <c r="W254" s="1" t="s">
        <v>4756</v>
      </c>
      <c r="X254" s="1" t="s">
        <v>912</v>
      </c>
      <c r="Y254" s="1" t="s">
        <v>4757</v>
      </c>
      <c r="Z254" s="1" t="s">
        <v>4758</v>
      </c>
      <c r="AA254" s="1" t="s">
        <v>4759</v>
      </c>
      <c r="AB254" s="1" t="s">
        <v>4760</v>
      </c>
      <c r="AC254" s="1"/>
      <c r="AD254" s="1"/>
      <c r="AE254" s="1"/>
      <c r="AF254" s="1"/>
      <c r="AG254" s="1" t="n">
        <v>14</v>
      </c>
      <c r="AH254" s="1" t="n">
        <v>0</v>
      </c>
      <c r="AI254" s="1" t="n">
        <v>0</v>
      </c>
      <c r="AJ254" s="1" t="n">
        <v>1</v>
      </c>
      <c r="AK254" s="1" t="n">
        <v>1</v>
      </c>
      <c r="AL254" s="1" t="s">
        <v>106</v>
      </c>
      <c r="AM254" s="1" t="s">
        <v>95</v>
      </c>
      <c r="AN254" s="1" t="s">
        <v>122</v>
      </c>
      <c r="AO254" s="1" t="s">
        <v>1073</v>
      </c>
      <c r="AP254" s="1"/>
      <c r="AQ254" s="1" t="s">
        <v>1074</v>
      </c>
      <c r="AR254" s="1" t="s">
        <v>1075</v>
      </c>
      <c r="AS254" s="1"/>
      <c r="AT254" s="1"/>
      <c r="AU254" s="1" t="n">
        <v>2024</v>
      </c>
      <c r="AV254" s="1"/>
      <c r="AW254" s="1"/>
      <c r="AX254" s="1"/>
      <c r="AY254" s="1"/>
      <c r="AZ254" s="1"/>
      <c r="BA254" s="1"/>
      <c r="BB254" s="1" t="n">
        <v>607</v>
      </c>
      <c r="BC254" s="1" t="n">
        <v>611</v>
      </c>
      <c r="BD254" s="1"/>
      <c r="BE254" s="1" t="s">
        <v>4761</v>
      </c>
      <c r="BF254" s="1" t="str">
        <f aca="false">HYPERLINK("http://dx.doi.org/10.1109/GEM61861.2024.10585618","http://dx.doi.org/10.1109/GEM61861.2024.10585618")</f>
        <v>http://dx.doi.org/10.1109/GEM61861.2024.10585618</v>
      </c>
      <c r="BG254" s="1"/>
      <c r="BH254" s="1"/>
      <c r="BI254" s="1" t="n">
        <v>5</v>
      </c>
      <c r="BJ254" s="1" t="s">
        <v>99</v>
      </c>
      <c r="BK254" s="1" t="s">
        <v>100</v>
      </c>
      <c r="BL254" s="1" t="s">
        <v>101</v>
      </c>
      <c r="BM254" s="1" t="s">
        <v>1077</v>
      </c>
      <c r="BN254" s="1"/>
      <c r="BO254" s="1"/>
      <c r="BP254" s="1"/>
      <c r="BQ254" s="1"/>
      <c r="BR254" s="1" t="s">
        <v>103</v>
      </c>
      <c r="BS254" s="1" t="s">
        <v>4762</v>
      </c>
      <c r="BT254" s="1" t="str">
        <f aca="false">HYPERLINK("https%3A%2F%2Fwww.webofscience.com%2Fwos%2Fwoscc%2Ffull-record%2FWOS:001281983200095","View Full Record in Web of Science")</f>
        <v>View Full Record in Web of Science</v>
      </c>
    </row>
    <row r="255" customFormat="false" ht="12.75" hidden="false" customHeight="false" outlineLevel="0" collapsed="false">
      <c r="A255" s="1" t="s">
        <v>181</v>
      </c>
      <c r="B255" s="1" t="s">
        <v>4763</v>
      </c>
      <c r="C255" s="1"/>
      <c r="D255" s="1"/>
      <c r="E255" s="1"/>
      <c r="F255" s="1" t="s">
        <v>4764</v>
      </c>
      <c r="G255" s="1"/>
      <c r="H255" s="1"/>
      <c r="I255" s="1" t="s">
        <v>4765</v>
      </c>
      <c r="J255" s="1" t="s">
        <v>523</v>
      </c>
      <c r="K255" s="1"/>
      <c r="L255" s="1"/>
      <c r="M255" s="1" t="s">
        <v>78</v>
      </c>
      <c r="N255" s="1" t="s">
        <v>186</v>
      </c>
      <c r="O255" s="1"/>
      <c r="P255" s="1"/>
      <c r="Q255" s="1"/>
      <c r="R255" s="1"/>
      <c r="S255" s="1"/>
      <c r="T255" s="1" t="s">
        <v>4766</v>
      </c>
      <c r="U255" s="1" t="s">
        <v>4767</v>
      </c>
      <c r="V255" s="1" t="s">
        <v>4768</v>
      </c>
      <c r="W255" s="1" t="s">
        <v>4769</v>
      </c>
      <c r="X255" s="1" t="s">
        <v>86</v>
      </c>
      <c r="Y255" s="1" t="s">
        <v>4770</v>
      </c>
      <c r="Z255" s="1" t="s">
        <v>4771</v>
      </c>
      <c r="AA255" s="1" t="s">
        <v>4772</v>
      </c>
      <c r="AB255" s="1" t="s">
        <v>4773</v>
      </c>
      <c r="AC255" s="1" t="s">
        <v>677</v>
      </c>
      <c r="AD255" s="1" t="s">
        <v>677</v>
      </c>
      <c r="AE255" s="1" t="s">
        <v>916</v>
      </c>
      <c r="AF255" s="1"/>
      <c r="AG255" s="1" t="n">
        <v>29</v>
      </c>
      <c r="AH255" s="1" t="n">
        <v>0</v>
      </c>
      <c r="AI255" s="1" t="n">
        <v>0</v>
      </c>
      <c r="AJ255" s="1" t="n">
        <v>0</v>
      </c>
      <c r="AK255" s="1" t="n">
        <v>2</v>
      </c>
      <c r="AL255" s="1" t="s">
        <v>367</v>
      </c>
      <c r="AM255" s="1" t="s">
        <v>368</v>
      </c>
      <c r="AN255" s="1" t="s">
        <v>369</v>
      </c>
      <c r="AO255" s="1"/>
      <c r="AP255" s="1" t="s">
        <v>534</v>
      </c>
      <c r="AQ255" s="1"/>
      <c r="AR255" s="1" t="s">
        <v>535</v>
      </c>
      <c r="AS255" s="1" t="s">
        <v>536</v>
      </c>
      <c r="AT255" s="1" t="s">
        <v>421</v>
      </c>
      <c r="AU255" s="1" t="n">
        <v>2024</v>
      </c>
      <c r="AV255" s="1" t="n">
        <v>14</v>
      </c>
      <c r="AW255" s="1" t="n">
        <v>7</v>
      </c>
      <c r="AX255" s="1"/>
      <c r="AY255" s="1"/>
      <c r="AZ255" s="1"/>
      <c r="BA255" s="1"/>
      <c r="BB255" s="1"/>
      <c r="BC255" s="1"/>
      <c r="BD255" s="1" t="n">
        <v>2748</v>
      </c>
      <c r="BE255" s="1" t="s">
        <v>4774</v>
      </c>
      <c r="BF255" s="1" t="str">
        <f aca="false">HYPERLINK("http://dx.doi.org/10.3390/app14072748","http://dx.doi.org/10.3390/app14072748")</f>
        <v>http://dx.doi.org/10.3390/app14072748</v>
      </c>
      <c r="BG255" s="1"/>
      <c r="BH255" s="1"/>
      <c r="BI255" s="1" t="n">
        <v>19</v>
      </c>
      <c r="BJ255" s="1" t="s">
        <v>539</v>
      </c>
      <c r="BK255" s="1" t="s">
        <v>204</v>
      </c>
      <c r="BL255" s="1" t="s">
        <v>540</v>
      </c>
      <c r="BM255" s="1" t="s">
        <v>4775</v>
      </c>
      <c r="BN255" s="1"/>
      <c r="BO255" s="1" t="s">
        <v>542</v>
      </c>
      <c r="BP255" s="1"/>
      <c r="BQ255" s="1"/>
      <c r="BR255" s="1" t="s">
        <v>103</v>
      </c>
      <c r="BS255" s="1" t="s">
        <v>4776</v>
      </c>
      <c r="BT255" s="1" t="str">
        <f aca="false">HYPERLINK("https%3A%2F%2Fwww.webofscience.com%2Fwos%2Fwoscc%2Ffull-record%2FWOS:001200913900001","View Full Record in Web of Science")</f>
        <v>View Full Record in Web of Science</v>
      </c>
    </row>
    <row r="256" customFormat="false" ht="12.75" hidden="false" customHeight="false" outlineLevel="0" collapsed="false">
      <c r="A256" s="1" t="s">
        <v>181</v>
      </c>
      <c r="B256" s="1" t="s">
        <v>4777</v>
      </c>
      <c r="C256" s="1"/>
      <c r="D256" s="1"/>
      <c r="E256" s="1"/>
      <c r="F256" s="1" t="s">
        <v>4778</v>
      </c>
      <c r="G256" s="1"/>
      <c r="H256" s="1"/>
      <c r="I256" s="1" t="s">
        <v>4779</v>
      </c>
      <c r="J256" s="1" t="s">
        <v>4780</v>
      </c>
      <c r="K256" s="1"/>
      <c r="L256" s="1"/>
      <c r="M256" s="1" t="s">
        <v>78</v>
      </c>
      <c r="N256" s="1" t="s">
        <v>186</v>
      </c>
      <c r="O256" s="1"/>
      <c r="P256" s="1"/>
      <c r="Q256" s="1"/>
      <c r="R256" s="1"/>
      <c r="S256" s="1"/>
      <c r="T256" s="1" t="s">
        <v>4781</v>
      </c>
      <c r="U256" s="1" t="s">
        <v>4782</v>
      </c>
      <c r="V256" s="1" t="s">
        <v>4783</v>
      </c>
      <c r="W256" s="1" t="s">
        <v>4784</v>
      </c>
      <c r="X256" s="1" t="s">
        <v>86</v>
      </c>
      <c r="Y256" s="1" t="s">
        <v>4785</v>
      </c>
      <c r="Z256" s="1" t="s">
        <v>4786</v>
      </c>
      <c r="AA256" s="1"/>
      <c r="AB256" s="1" t="s">
        <v>4787</v>
      </c>
      <c r="AC256" s="1" t="s">
        <v>268</v>
      </c>
      <c r="AD256" s="1" t="s">
        <v>268</v>
      </c>
      <c r="AE256" s="1" t="s">
        <v>4788</v>
      </c>
      <c r="AF256" s="1"/>
      <c r="AG256" s="1" t="n">
        <v>41</v>
      </c>
      <c r="AH256" s="1" t="n">
        <v>6</v>
      </c>
      <c r="AI256" s="1" t="n">
        <v>6</v>
      </c>
      <c r="AJ256" s="1" t="n">
        <v>2</v>
      </c>
      <c r="AK256" s="1" t="n">
        <v>8</v>
      </c>
      <c r="AL256" s="1" t="s">
        <v>679</v>
      </c>
      <c r="AM256" s="1" t="s">
        <v>95</v>
      </c>
      <c r="AN256" s="1" t="s">
        <v>803</v>
      </c>
      <c r="AO256" s="1" t="s">
        <v>4789</v>
      </c>
      <c r="AP256" s="1" t="s">
        <v>4790</v>
      </c>
      <c r="AQ256" s="1"/>
      <c r="AR256" s="1" t="s">
        <v>4791</v>
      </c>
      <c r="AS256" s="1" t="s">
        <v>4792</v>
      </c>
      <c r="AT256" s="1" t="s">
        <v>372</v>
      </c>
      <c r="AU256" s="1" t="n">
        <v>2022</v>
      </c>
      <c r="AV256" s="1" t="n">
        <v>54</v>
      </c>
      <c r="AW256" s="1" t="n">
        <v>3</v>
      </c>
      <c r="AX256" s="1"/>
      <c r="AY256" s="1"/>
      <c r="AZ256" s="1"/>
      <c r="BA256" s="1"/>
      <c r="BB256" s="1" t="n">
        <v>431</v>
      </c>
      <c r="BC256" s="1" t="n">
        <v>451</v>
      </c>
      <c r="BD256" s="1"/>
      <c r="BE256" s="1" t="s">
        <v>4793</v>
      </c>
      <c r="BF256" s="1" t="str">
        <f aca="false">HYPERLINK("http://dx.doi.org/10.1007/s10657-022-09739-4","http://dx.doi.org/10.1007/s10657-022-09739-4")</f>
        <v>http://dx.doi.org/10.1007/s10657-022-09739-4</v>
      </c>
      <c r="BG256" s="1"/>
      <c r="BH256" s="1" t="s">
        <v>2297</v>
      </c>
      <c r="BI256" s="1" t="n">
        <v>21</v>
      </c>
      <c r="BJ256" s="1" t="s">
        <v>4794</v>
      </c>
      <c r="BK256" s="1" t="s">
        <v>610</v>
      </c>
      <c r="BL256" s="1" t="s">
        <v>4795</v>
      </c>
      <c r="BM256" s="1" t="s">
        <v>4796</v>
      </c>
      <c r="BN256" s="1"/>
      <c r="BO256" s="1" t="s">
        <v>612</v>
      </c>
      <c r="BP256" s="1"/>
      <c r="BQ256" s="1"/>
      <c r="BR256" s="1" t="s">
        <v>103</v>
      </c>
      <c r="BS256" s="1" t="s">
        <v>4797</v>
      </c>
      <c r="BT256" s="1" t="str">
        <f aca="false">HYPERLINK("https%3A%2F%2Fwww.webofscience.com%2Fwos%2Fwoscc%2Ffull-record%2FWOS:000790185000001","View Full Record in Web of Science")</f>
        <v>View Full Record in Web of Science</v>
      </c>
    </row>
    <row r="257" customFormat="false" ht="12.75" hidden="false" customHeight="false" outlineLevel="0" collapsed="false">
      <c r="A257" s="1" t="s">
        <v>72</v>
      </c>
      <c r="B257" s="1" t="s">
        <v>4798</v>
      </c>
      <c r="C257" s="1"/>
      <c r="D257" s="1"/>
      <c r="E257" s="1" t="s">
        <v>4799</v>
      </c>
      <c r="F257" s="1" t="s">
        <v>4800</v>
      </c>
      <c r="G257" s="1"/>
      <c r="H257" s="1"/>
      <c r="I257" s="1" t="s">
        <v>4801</v>
      </c>
      <c r="J257" s="1" t="s">
        <v>4802</v>
      </c>
      <c r="K257" s="1"/>
      <c r="L257" s="1"/>
      <c r="M257" s="1" t="s">
        <v>78</v>
      </c>
      <c r="N257" s="1" t="s">
        <v>79</v>
      </c>
      <c r="O257" s="1" t="s">
        <v>4803</v>
      </c>
      <c r="P257" s="1" t="s">
        <v>4804</v>
      </c>
      <c r="Q257" s="1" t="s">
        <v>320</v>
      </c>
      <c r="R257" s="1" t="s">
        <v>4805</v>
      </c>
      <c r="S257" s="1"/>
      <c r="T257" s="1" t="s">
        <v>4806</v>
      </c>
      <c r="U257" s="1"/>
      <c r="V257" s="1" t="s">
        <v>4807</v>
      </c>
      <c r="W257" s="1" t="s">
        <v>4808</v>
      </c>
      <c r="X257" s="1" t="s">
        <v>4809</v>
      </c>
      <c r="Y257" s="1" t="s">
        <v>1901</v>
      </c>
      <c r="Z257" s="1" t="s">
        <v>4810</v>
      </c>
      <c r="AA257" s="1" t="s">
        <v>4811</v>
      </c>
      <c r="AB257" s="1"/>
      <c r="AC257" s="1" t="s">
        <v>4812</v>
      </c>
      <c r="AD257" s="1" t="s">
        <v>4813</v>
      </c>
      <c r="AE257" s="1" t="s">
        <v>4814</v>
      </c>
      <c r="AF257" s="1"/>
      <c r="AG257" s="1" t="n">
        <v>21</v>
      </c>
      <c r="AH257" s="1" t="n">
        <v>12</v>
      </c>
      <c r="AI257" s="1" t="n">
        <v>12</v>
      </c>
      <c r="AJ257" s="1" t="n">
        <v>0</v>
      </c>
      <c r="AK257" s="1" t="n">
        <v>2</v>
      </c>
      <c r="AL257" s="1" t="s">
        <v>94</v>
      </c>
      <c r="AM257" s="1" t="s">
        <v>95</v>
      </c>
      <c r="AN257" s="1" t="s">
        <v>96</v>
      </c>
      <c r="AO257" s="1"/>
      <c r="AP257" s="1"/>
      <c r="AQ257" s="1" t="s">
        <v>4815</v>
      </c>
      <c r="AR257" s="1"/>
      <c r="AS257" s="1"/>
      <c r="AT257" s="1"/>
      <c r="AU257" s="1" t="n">
        <v>2020</v>
      </c>
      <c r="AV257" s="1"/>
      <c r="AW257" s="1"/>
      <c r="AX257" s="1"/>
      <c r="AY257" s="1"/>
      <c r="AZ257" s="1"/>
      <c r="BA257" s="1"/>
      <c r="BB257" s="1" t="n">
        <v>3624</v>
      </c>
      <c r="BC257" s="1" t="n">
        <v>3631</v>
      </c>
      <c r="BD257" s="1"/>
      <c r="BE257" s="1" t="s">
        <v>4816</v>
      </c>
      <c r="BF257" s="1" t="str">
        <f aca="false">HYPERLINK("http://dx.doi.org/10.1145/3394171.3413681","http://dx.doi.org/10.1145/3394171.3413681")</f>
        <v>http://dx.doi.org/10.1145/3394171.3413681</v>
      </c>
      <c r="BG257" s="1"/>
      <c r="BH257" s="1"/>
      <c r="BI257" s="1" t="n">
        <v>8</v>
      </c>
      <c r="BJ257" s="1" t="s">
        <v>4817</v>
      </c>
      <c r="BK257" s="1" t="s">
        <v>100</v>
      </c>
      <c r="BL257" s="1" t="s">
        <v>1341</v>
      </c>
      <c r="BM257" s="1" t="s">
        <v>4818</v>
      </c>
      <c r="BN257" s="1"/>
      <c r="BO257" s="1" t="s">
        <v>179</v>
      </c>
      <c r="BP257" s="1"/>
      <c r="BQ257" s="1"/>
      <c r="BR257" s="1" t="s">
        <v>103</v>
      </c>
      <c r="BS257" s="1" t="s">
        <v>4819</v>
      </c>
      <c r="BT257" s="1" t="str">
        <f aca="false">HYPERLINK("https%3A%2F%2Fwww.webofscience.com%2Fwos%2Fwoscc%2Ffull-record%2FWOS:000810735003076","View Full Record in Web of Science")</f>
        <v>View Full Record in Web of Science</v>
      </c>
    </row>
    <row r="258" customFormat="false" ht="12.75" hidden="false" customHeight="false" outlineLevel="0" collapsed="false">
      <c r="A258" s="1" t="s">
        <v>181</v>
      </c>
      <c r="B258" s="1" t="s">
        <v>4820</v>
      </c>
      <c r="C258" s="1"/>
      <c r="D258" s="1"/>
      <c r="E258" s="1"/>
      <c r="F258" s="1" t="s">
        <v>4821</v>
      </c>
      <c r="G258" s="1"/>
      <c r="H258" s="1"/>
      <c r="I258" s="1" t="s">
        <v>4822</v>
      </c>
      <c r="J258" s="1" t="s">
        <v>952</v>
      </c>
      <c r="K258" s="1"/>
      <c r="L258" s="1"/>
      <c r="M258" s="1" t="s">
        <v>78</v>
      </c>
      <c r="N258" s="1" t="s">
        <v>186</v>
      </c>
      <c r="O258" s="1"/>
      <c r="P258" s="1"/>
      <c r="Q258" s="1"/>
      <c r="R258" s="1"/>
      <c r="S258" s="1"/>
      <c r="T258" s="1" t="s">
        <v>4823</v>
      </c>
      <c r="U258" s="1" t="s">
        <v>4824</v>
      </c>
      <c r="V258" s="1" t="s">
        <v>4825</v>
      </c>
      <c r="W258" s="1" t="s">
        <v>4826</v>
      </c>
      <c r="X258" s="1" t="s">
        <v>86</v>
      </c>
      <c r="Y258" s="1" t="s">
        <v>4827</v>
      </c>
      <c r="Z258" s="1" t="s">
        <v>4828</v>
      </c>
      <c r="AA258" s="1"/>
      <c r="AB258" s="1" t="s">
        <v>4829</v>
      </c>
      <c r="AC258" s="1" t="s">
        <v>4830</v>
      </c>
      <c r="AD258" s="1" t="s">
        <v>4831</v>
      </c>
      <c r="AE258" s="1" t="s">
        <v>4832</v>
      </c>
      <c r="AF258" s="1"/>
      <c r="AG258" s="1" t="n">
        <v>115</v>
      </c>
      <c r="AH258" s="1" t="n">
        <v>6</v>
      </c>
      <c r="AI258" s="1" t="n">
        <v>7</v>
      </c>
      <c r="AJ258" s="1" t="n">
        <v>4</v>
      </c>
      <c r="AK258" s="1" t="n">
        <v>25</v>
      </c>
      <c r="AL258" s="1" t="s">
        <v>893</v>
      </c>
      <c r="AM258" s="1" t="s">
        <v>894</v>
      </c>
      <c r="AN258" s="1" t="s">
        <v>895</v>
      </c>
      <c r="AO258" s="1" t="s">
        <v>963</v>
      </c>
      <c r="AP258" s="1"/>
      <c r="AQ258" s="1"/>
      <c r="AR258" s="1" t="s">
        <v>964</v>
      </c>
      <c r="AS258" s="1" t="s">
        <v>965</v>
      </c>
      <c r="AT258" s="1" t="s">
        <v>754</v>
      </c>
      <c r="AU258" s="1" t="n">
        <v>2023</v>
      </c>
      <c r="AV258" s="1" t="n">
        <v>37</v>
      </c>
      <c r="AW258" s="1"/>
      <c r="AX258" s="1"/>
      <c r="AY258" s="1"/>
      <c r="AZ258" s="1"/>
      <c r="BA258" s="1"/>
      <c r="BB258" s="1"/>
      <c r="BC258" s="1"/>
      <c r="BD258" s="1" t="n">
        <v>37</v>
      </c>
      <c r="BE258" s="1" t="s">
        <v>4833</v>
      </c>
      <c r="BF258" s="1" t="str">
        <f aca="false">HYPERLINK("http://dx.doi.org/10.1016/j.spc.2023.03.015","http://dx.doi.org/10.1016/j.spc.2023.03.015")</f>
        <v>http://dx.doi.org/10.1016/j.spc.2023.03.015</v>
      </c>
      <c r="BG258" s="1"/>
      <c r="BH258" s="1" t="s">
        <v>4380</v>
      </c>
      <c r="BI258" s="1" t="n">
        <v>19</v>
      </c>
      <c r="BJ258" s="1" t="s">
        <v>968</v>
      </c>
      <c r="BK258" s="1" t="s">
        <v>398</v>
      </c>
      <c r="BL258" s="1" t="s">
        <v>399</v>
      </c>
      <c r="BM258" s="1" t="s">
        <v>4834</v>
      </c>
      <c r="BN258" s="1"/>
      <c r="BO258" s="1" t="s">
        <v>612</v>
      </c>
      <c r="BP258" s="1"/>
      <c r="BQ258" s="1"/>
      <c r="BR258" s="1" t="s">
        <v>103</v>
      </c>
      <c r="BS258" s="1" t="s">
        <v>4835</v>
      </c>
      <c r="BT258" s="1" t="str">
        <f aca="false">HYPERLINK("https%3A%2F%2Fwww.webofscience.com%2Fwos%2Fwoscc%2Ffull-record%2FWOS:000995220600001","View Full Record in Web of Science")</f>
        <v>View Full Record in Web of Science</v>
      </c>
    </row>
    <row r="259" customFormat="false" ht="12.75" hidden="false" customHeight="false" outlineLevel="0" collapsed="false">
      <c r="A259" s="1" t="s">
        <v>72</v>
      </c>
      <c r="B259" s="1" t="s">
        <v>4836</v>
      </c>
      <c r="C259" s="1"/>
      <c r="D259" s="1"/>
      <c r="E259" s="1" t="s">
        <v>74</v>
      </c>
      <c r="F259" s="1" t="s">
        <v>4837</v>
      </c>
      <c r="G259" s="1"/>
      <c r="H259" s="1"/>
      <c r="I259" s="1" t="s">
        <v>4838</v>
      </c>
      <c r="J259" s="1" t="s">
        <v>4839</v>
      </c>
      <c r="K259" s="1"/>
      <c r="L259" s="1"/>
      <c r="M259" s="1" t="s">
        <v>78</v>
      </c>
      <c r="N259" s="1" t="s">
        <v>79</v>
      </c>
      <c r="O259" s="1" t="s">
        <v>4840</v>
      </c>
      <c r="P259" s="1" t="s">
        <v>4841</v>
      </c>
      <c r="Q259" s="1" t="s">
        <v>4842</v>
      </c>
      <c r="R259" s="1"/>
      <c r="S259" s="1" t="s">
        <v>4843</v>
      </c>
      <c r="T259" s="1" t="s">
        <v>4844</v>
      </c>
      <c r="U259" s="1" t="s">
        <v>4845</v>
      </c>
      <c r="V259" s="1" t="s">
        <v>4846</v>
      </c>
      <c r="W259" s="1" t="s">
        <v>4847</v>
      </c>
      <c r="X259" s="1" t="s">
        <v>86</v>
      </c>
      <c r="Y259" s="1" t="s">
        <v>4848</v>
      </c>
      <c r="Z259" s="1" t="s">
        <v>4849</v>
      </c>
      <c r="AA259" s="1" t="s">
        <v>4850</v>
      </c>
      <c r="AB259" s="1" t="s">
        <v>4851</v>
      </c>
      <c r="AC259" s="1" t="s">
        <v>4852</v>
      </c>
      <c r="AD259" s="1" t="s">
        <v>4853</v>
      </c>
      <c r="AE259" s="1" t="s">
        <v>4854</v>
      </c>
      <c r="AF259" s="1"/>
      <c r="AG259" s="1" t="n">
        <v>51</v>
      </c>
      <c r="AH259" s="1" t="n">
        <v>1</v>
      </c>
      <c r="AI259" s="1" t="n">
        <v>1</v>
      </c>
      <c r="AJ259" s="1" t="n">
        <v>0</v>
      </c>
      <c r="AK259" s="1" t="n">
        <v>1</v>
      </c>
      <c r="AL259" s="1" t="s">
        <v>94</v>
      </c>
      <c r="AM259" s="1" t="s">
        <v>95</v>
      </c>
      <c r="AN259" s="1" t="s">
        <v>96</v>
      </c>
      <c r="AO259" s="1"/>
      <c r="AP259" s="1"/>
      <c r="AQ259" s="1" t="s">
        <v>4855</v>
      </c>
      <c r="AR259" s="1"/>
      <c r="AS259" s="1"/>
      <c r="AT259" s="1"/>
      <c r="AU259" s="1" t="n">
        <v>2023</v>
      </c>
      <c r="AV259" s="1"/>
      <c r="AW259" s="1"/>
      <c r="AX259" s="1"/>
      <c r="AY259" s="1"/>
      <c r="AZ259" s="1"/>
      <c r="BA259" s="1"/>
      <c r="BB259" s="1" t="n">
        <v>108</v>
      </c>
      <c r="BC259" s="1" t="n">
        <v>115</v>
      </c>
      <c r="BD259" s="1"/>
      <c r="BE259" s="1" t="s">
        <v>4856</v>
      </c>
      <c r="BF259" s="1" t="str">
        <f aca="false">HYPERLINK("http://dx.doi.org/10.1145/3590777.3590794","http://dx.doi.org/10.1145/3590777.3590794")</f>
        <v>http://dx.doi.org/10.1145/3590777.3590794</v>
      </c>
      <c r="BG259" s="1"/>
      <c r="BH259" s="1"/>
      <c r="BI259" s="1" t="n">
        <v>8</v>
      </c>
      <c r="BJ259" s="1" t="s">
        <v>4857</v>
      </c>
      <c r="BK259" s="1" t="s">
        <v>100</v>
      </c>
      <c r="BL259" s="1" t="s">
        <v>311</v>
      </c>
      <c r="BM259" s="1" t="s">
        <v>4858</v>
      </c>
      <c r="BN259" s="1"/>
      <c r="BO259" s="1" t="s">
        <v>612</v>
      </c>
      <c r="BP259" s="1"/>
      <c r="BQ259" s="1"/>
      <c r="BR259" s="1" t="s">
        <v>103</v>
      </c>
      <c r="BS259" s="1" t="s">
        <v>4859</v>
      </c>
      <c r="BT259" s="1" t="str">
        <f aca="false">HYPERLINK("https%3A%2F%2Fwww.webofscience.com%2Fwos%2Fwoscc%2Ffull-record%2FWOS:001124185500017","View Full Record in Web of Science")</f>
        <v>View Full Record in Web of Science</v>
      </c>
    </row>
    <row r="260" customFormat="false" ht="12.75" hidden="false" customHeight="false" outlineLevel="0" collapsed="false">
      <c r="A260" s="1" t="s">
        <v>72</v>
      </c>
      <c r="B260" s="1" t="s">
        <v>4860</v>
      </c>
      <c r="C260" s="1"/>
      <c r="D260" s="1" t="s">
        <v>3736</v>
      </c>
      <c r="E260" s="1"/>
      <c r="F260" s="1" t="s">
        <v>4861</v>
      </c>
      <c r="G260" s="1"/>
      <c r="H260" s="1"/>
      <c r="I260" s="1" t="s">
        <v>4862</v>
      </c>
      <c r="J260" s="1" t="s">
        <v>3739</v>
      </c>
      <c r="K260" s="1" t="s">
        <v>2842</v>
      </c>
      <c r="L260" s="1"/>
      <c r="M260" s="1" t="s">
        <v>78</v>
      </c>
      <c r="N260" s="1" t="s">
        <v>79</v>
      </c>
      <c r="O260" s="1" t="s">
        <v>3740</v>
      </c>
      <c r="P260" s="1" t="s">
        <v>3741</v>
      </c>
      <c r="Q260" s="1" t="s">
        <v>3742</v>
      </c>
      <c r="R260" s="1" t="s">
        <v>3743</v>
      </c>
      <c r="S260" s="1"/>
      <c r="T260" s="1" t="s">
        <v>4863</v>
      </c>
      <c r="U260" s="1" t="s">
        <v>4864</v>
      </c>
      <c r="V260" s="1" t="s">
        <v>4865</v>
      </c>
      <c r="W260" s="1" t="s">
        <v>4866</v>
      </c>
      <c r="X260" s="1" t="s">
        <v>86</v>
      </c>
      <c r="Y260" s="1" t="s">
        <v>4867</v>
      </c>
      <c r="Z260" s="1" t="s">
        <v>4868</v>
      </c>
      <c r="AA260" s="1" t="s">
        <v>3142</v>
      </c>
      <c r="AB260" s="1" t="s">
        <v>4869</v>
      </c>
      <c r="AC260" s="1" t="s">
        <v>1617</v>
      </c>
      <c r="AD260" s="1" t="s">
        <v>677</v>
      </c>
      <c r="AE260" s="1" t="s">
        <v>4031</v>
      </c>
      <c r="AF260" s="1"/>
      <c r="AG260" s="1" t="n">
        <v>13</v>
      </c>
      <c r="AH260" s="1" t="n">
        <v>1</v>
      </c>
      <c r="AI260" s="1" t="n">
        <v>1</v>
      </c>
      <c r="AJ260" s="1" t="n">
        <v>0</v>
      </c>
      <c r="AK260" s="1" t="n">
        <v>6</v>
      </c>
      <c r="AL260" s="1" t="s">
        <v>302</v>
      </c>
      <c r="AM260" s="1" t="s">
        <v>303</v>
      </c>
      <c r="AN260" s="1" t="s">
        <v>304</v>
      </c>
      <c r="AO260" s="1" t="s">
        <v>2854</v>
      </c>
      <c r="AP260" s="1" t="s">
        <v>2855</v>
      </c>
      <c r="AQ260" s="1" t="s">
        <v>3752</v>
      </c>
      <c r="AR260" s="1" t="s">
        <v>2857</v>
      </c>
      <c r="AS260" s="1"/>
      <c r="AT260" s="1"/>
      <c r="AU260" s="1" t="n">
        <v>2020</v>
      </c>
      <c r="AV260" s="1" t="n">
        <v>1168</v>
      </c>
      <c r="AW260" s="1"/>
      <c r="AX260" s="1"/>
      <c r="AY260" s="1"/>
      <c r="AZ260" s="1"/>
      <c r="BA260" s="1"/>
      <c r="BB260" s="1" t="n">
        <v>3</v>
      </c>
      <c r="BC260" s="1" t="n">
        <v>11</v>
      </c>
      <c r="BD260" s="1"/>
      <c r="BE260" s="1" t="s">
        <v>4870</v>
      </c>
      <c r="BF260" s="1" t="str">
        <f aca="false">HYPERLINK("http://dx.doi.org/10.1007/978-3-030-43887-6_1","http://dx.doi.org/10.1007/978-3-030-43887-6_1")</f>
        <v>http://dx.doi.org/10.1007/978-3-030-43887-6_1</v>
      </c>
      <c r="BG260" s="1"/>
      <c r="BH260" s="1"/>
      <c r="BI260" s="1" t="n">
        <v>9</v>
      </c>
      <c r="BJ260" s="1" t="s">
        <v>3754</v>
      </c>
      <c r="BK260" s="1" t="s">
        <v>100</v>
      </c>
      <c r="BL260" s="1" t="s">
        <v>101</v>
      </c>
      <c r="BM260" s="1" t="s">
        <v>3755</v>
      </c>
      <c r="BN260" s="1"/>
      <c r="BO260" s="1"/>
      <c r="BP260" s="1"/>
      <c r="BQ260" s="1"/>
      <c r="BR260" s="1" t="s">
        <v>103</v>
      </c>
      <c r="BS260" s="1" t="s">
        <v>4871</v>
      </c>
      <c r="BT260" s="1" t="str">
        <f aca="false">HYPERLINK("https%3A%2F%2Fwww.webofscience.com%2Fwos%2Fwoscc%2Ffull-record%2FWOS:000718590300001","View Full Record in Web of Science")</f>
        <v>View Full Record in Web of Science</v>
      </c>
    </row>
    <row r="261" customFormat="false" ht="12.75" hidden="false" customHeight="false" outlineLevel="0" collapsed="false">
      <c r="A261" s="1" t="s">
        <v>181</v>
      </c>
      <c r="B261" s="1" t="s">
        <v>4872</v>
      </c>
      <c r="C261" s="1"/>
      <c r="D261" s="1"/>
      <c r="E261" s="1"/>
      <c r="F261" s="1" t="s">
        <v>4873</v>
      </c>
      <c r="G261" s="1"/>
      <c r="H261" s="1"/>
      <c r="I261" s="1" t="s">
        <v>4874</v>
      </c>
      <c r="J261" s="1" t="s">
        <v>4875</v>
      </c>
      <c r="K261" s="1"/>
      <c r="L261" s="1"/>
      <c r="M261" s="1" t="s">
        <v>78</v>
      </c>
      <c r="N261" s="1" t="s">
        <v>186</v>
      </c>
      <c r="O261" s="1"/>
      <c r="P261" s="1"/>
      <c r="Q261" s="1"/>
      <c r="R261" s="1"/>
      <c r="S261" s="1"/>
      <c r="T261" s="1" t="s">
        <v>4876</v>
      </c>
      <c r="U261" s="1"/>
      <c r="V261" s="1" t="s">
        <v>4877</v>
      </c>
      <c r="W261" s="1" t="s">
        <v>4878</v>
      </c>
      <c r="X261" s="1" t="s">
        <v>4879</v>
      </c>
      <c r="Y261" s="1" t="s">
        <v>4880</v>
      </c>
      <c r="Z261" s="1" t="s">
        <v>4881</v>
      </c>
      <c r="AA261" s="1" t="s">
        <v>4185</v>
      </c>
      <c r="AB261" s="1" t="s">
        <v>4099</v>
      </c>
      <c r="AC261" s="1"/>
      <c r="AD261" s="1"/>
      <c r="AE261" s="1"/>
      <c r="AF261" s="1"/>
      <c r="AG261" s="1" t="n">
        <v>14</v>
      </c>
      <c r="AH261" s="1" t="n">
        <v>0</v>
      </c>
      <c r="AI261" s="1" t="n">
        <v>0</v>
      </c>
      <c r="AJ261" s="1" t="n">
        <v>3</v>
      </c>
      <c r="AK261" s="1" t="n">
        <v>3</v>
      </c>
      <c r="AL261" s="1" t="s">
        <v>172</v>
      </c>
      <c r="AM261" s="1" t="s">
        <v>173</v>
      </c>
      <c r="AN261" s="1" t="s">
        <v>4882</v>
      </c>
      <c r="AO261" s="1" t="s">
        <v>4883</v>
      </c>
      <c r="AP261" s="1" t="s">
        <v>4884</v>
      </c>
      <c r="AQ261" s="1"/>
      <c r="AR261" s="1" t="s">
        <v>4875</v>
      </c>
      <c r="AS261" s="1" t="s">
        <v>4885</v>
      </c>
      <c r="AT261" s="1" t="s">
        <v>1453</v>
      </c>
      <c r="AU261" s="1" t="n">
        <v>2025</v>
      </c>
      <c r="AV261" s="1" t="n">
        <v>42</v>
      </c>
      <c r="AW261" s="1" t="n">
        <v>1</v>
      </c>
      <c r="AX261" s="1"/>
      <c r="AY261" s="1"/>
      <c r="AZ261" s="1"/>
      <c r="BA261" s="1"/>
      <c r="BB261" s="1" t="n">
        <v>100</v>
      </c>
      <c r="BC261" s="1" t="n">
        <v>109</v>
      </c>
      <c r="BD261" s="1"/>
      <c r="BE261" s="1" t="s">
        <v>4886</v>
      </c>
      <c r="BF261" s="1" t="str">
        <f aca="false">HYPERLINK("http://dx.doi.org/10.1109/MS.2024.3375964","http://dx.doi.org/10.1109/MS.2024.3375964")</f>
        <v>http://dx.doi.org/10.1109/MS.2024.3375964</v>
      </c>
      <c r="BG261" s="1"/>
      <c r="BH261" s="1"/>
      <c r="BI261" s="1" t="n">
        <v>10</v>
      </c>
      <c r="BJ261" s="1" t="s">
        <v>252</v>
      </c>
      <c r="BK261" s="1" t="s">
        <v>204</v>
      </c>
      <c r="BL261" s="1" t="s">
        <v>101</v>
      </c>
      <c r="BM261" s="1" t="s">
        <v>4887</v>
      </c>
      <c r="BN261" s="1"/>
      <c r="BO261" s="1" t="s">
        <v>227</v>
      </c>
      <c r="BP261" s="1"/>
      <c r="BQ261" s="1"/>
      <c r="BR261" s="1" t="s">
        <v>103</v>
      </c>
      <c r="BS261" s="1" t="s">
        <v>4888</v>
      </c>
      <c r="BT261" s="1" t="str">
        <f aca="false">HYPERLINK("https%3A%2F%2Fwww.webofscience.com%2Fwos%2Fwoscc%2Ffull-record%2FWOS:001373292400010","View Full Record in Web of Science")</f>
        <v>View Full Record in Web of Science</v>
      </c>
    </row>
    <row r="262" customFormat="false" ht="12.75" hidden="false" customHeight="false" outlineLevel="0" collapsed="false">
      <c r="A262" s="1" t="s">
        <v>181</v>
      </c>
      <c r="B262" s="1" t="s">
        <v>4889</v>
      </c>
      <c r="C262" s="1"/>
      <c r="D262" s="1"/>
      <c r="E262" s="1"/>
      <c r="F262" s="1" t="s">
        <v>4890</v>
      </c>
      <c r="G262" s="1"/>
      <c r="H262" s="1"/>
      <c r="I262" s="1" t="s">
        <v>4891</v>
      </c>
      <c r="J262" s="1" t="s">
        <v>4892</v>
      </c>
      <c r="K262" s="1"/>
      <c r="L262" s="1"/>
      <c r="M262" s="1" t="s">
        <v>78</v>
      </c>
      <c r="N262" s="1" t="s">
        <v>186</v>
      </c>
      <c r="O262" s="1"/>
      <c r="P262" s="1"/>
      <c r="Q262" s="1"/>
      <c r="R262" s="1"/>
      <c r="S262" s="1"/>
      <c r="T262" s="1" t="s">
        <v>4893</v>
      </c>
      <c r="U262" s="1" t="s">
        <v>4894</v>
      </c>
      <c r="V262" s="1" t="s">
        <v>4895</v>
      </c>
      <c r="W262" s="1" t="s">
        <v>4896</v>
      </c>
      <c r="X262" s="1" t="s">
        <v>4897</v>
      </c>
      <c r="Y262" s="1" t="s">
        <v>4898</v>
      </c>
      <c r="Z262" s="1" t="s">
        <v>4899</v>
      </c>
      <c r="AA262" s="1" t="s">
        <v>4900</v>
      </c>
      <c r="AB262" s="1" t="s">
        <v>4901</v>
      </c>
      <c r="AC262" s="1" t="s">
        <v>4902</v>
      </c>
      <c r="AD262" s="1" t="s">
        <v>4902</v>
      </c>
      <c r="AE262" s="1" t="s">
        <v>4903</v>
      </c>
      <c r="AF262" s="1"/>
      <c r="AG262" s="1" t="n">
        <v>44</v>
      </c>
      <c r="AH262" s="1" t="n">
        <v>1</v>
      </c>
      <c r="AI262" s="1" t="n">
        <v>1</v>
      </c>
      <c r="AJ262" s="1" t="n">
        <v>1</v>
      </c>
      <c r="AK262" s="1" t="n">
        <v>1</v>
      </c>
      <c r="AL262" s="1" t="s">
        <v>600</v>
      </c>
      <c r="AM262" s="1" t="s">
        <v>601</v>
      </c>
      <c r="AN262" s="1" t="s">
        <v>602</v>
      </c>
      <c r="AO262" s="1" t="s">
        <v>4904</v>
      </c>
      <c r="AP262" s="1" t="s">
        <v>4905</v>
      </c>
      <c r="AQ262" s="1"/>
      <c r="AR262" s="1" t="s">
        <v>4906</v>
      </c>
      <c r="AS262" s="1" t="s">
        <v>4907</v>
      </c>
      <c r="AT262" s="1" t="s">
        <v>1391</v>
      </c>
      <c r="AU262" s="1" t="n">
        <v>2024</v>
      </c>
      <c r="AV262" s="1" t="n">
        <v>44</v>
      </c>
      <c r="AW262" s="1" t="n">
        <v>6</v>
      </c>
      <c r="AX262" s="1"/>
      <c r="AY262" s="1"/>
      <c r="AZ262" s="1"/>
      <c r="BA262" s="1"/>
      <c r="BB262" s="1" t="n">
        <v>1700</v>
      </c>
      <c r="BC262" s="1" t="n">
        <v>1708</v>
      </c>
      <c r="BD262" s="1"/>
      <c r="BE262" s="1" t="s">
        <v>4908</v>
      </c>
      <c r="BF262" s="1" t="str">
        <f aca="false">HYPERLINK("http://dx.doi.org/10.1111/scd.13040","http://dx.doi.org/10.1111/scd.13040")</f>
        <v>http://dx.doi.org/10.1111/scd.13040</v>
      </c>
      <c r="BG262" s="1"/>
      <c r="BH262" s="1" t="s">
        <v>4909</v>
      </c>
      <c r="BI262" s="1" t="n">
        <v>9</v>
      </c>
      <c r="BJ262" s="1" t="s">
        <v>4910</v>
      </c>
      <c r="BK262" s="1" t="s">
        <v>253</v>
      </c>
      <c r="BL262" s="1" t="s">
        <v>4910</v>
      </c>
      <c r="BM262" s="1" t="s">
        <v>4911</v>
      </c>
      <c r="BN262" s="1" t="n">
        <v>38994574</v>
      </c>
      <c r="BO262" s="1" t="s">
        <v>612</v>
      </c>
      <c r="BP262" s="1"/>
      <c r="BQ262" s="1"/>
      <c r="BR262" s="1" t="s">
        <v>103</v>
      </c>
      <c r="BS262" s="1" t="s">
        <v>4912</v>
      </c>
      <c r="BT262" s="1" t="str">
        <f aca="false">HYPERLINK("https%3A%2F%2Fwww.webofscience.com%2Fwos%2Fwoscc%2Ffull-record%2FWOS:001269200200001","View Full Record in Web of Science")</f>
        <v>View Full Record in Web of Science</v>
      </c>
    </row>
    <row r="263" customFormat="false" ht="12.75" hidden="false" customHeight="false" outlineLevel="0" collapsed="false">
      <c r="A263" s="1" t="s">
        <v>181</v>
      </c>
      <c r="B263" s="1" t="s">
        <v>4913</v>
      </c>
      <c r="C263" s="1"/>
      <c r="D263" s="1"/>
      <c r="E263" s="1"/>
      <c r="F263" s="1" t="s">
        <v>4914</v>
      </c>
      <c r="G263" s="1"/>
      <c r="H263" s="1"/>
      <c r="I263" s="1" t="s">
        <v>4915</v>
      </c>
      <c r="J263" s="1" t="s">
        <v>4916</v>
      </c>
      <c r="K263" s="1"/>
      <c r="L263" s="1"/>
      <c r="M263" s="1" t="s">
        <v>78</v>
      </c>
      <c r="N263" s="1" t="s">
        <v>186</v>
      </c>
      <c r="O263" s="1"/>
      <c r="P263" s="1"/>
      <c r="Q263" s="1"/>
      <c r="R263" s="1"/>
      <c r="S263" s="1"/>
      <c r="T263" s="1" t="s">
        <v>4917</v>
      </c>
      <c r="U263" s="1"/>
      <c r="V263" s="1" t="s">
        <v>4918</v>
      </c>
      <c r="W263" s="1" t="s">
        <v>4919</v>
      </c>
      <c r="X263" s="1" t="s">
        <v>4920</v>
      </c>
      <c r="Y263" s="1" t="s">
        <v>4921</v>
      </c>
      <c r="Z263" s="1" t="s">
        <v>4922</v>
      </c>
      <c r="AA263" s="1" t="s">
        <v>4923</v>
      </c>
      <c r="AB263" s="1" t="s">
        <v>4924</v>
      </c>
      <c r="AC263" s="1"/>
      <c r="AD263" s="1"/>
      <c r="AE263" s="1"/>
      <c r="AF263" s="1"/>
      <c r="AG263" s="1" t="n">
        <v>34</v>
      </c>
      <c r="AH263" s="1" t="n">
        <v>2</v>
      </c>
      <c r="AI263" s="1" t="n">
        <v>2</v>
      </c>
      <c r="AJ263" s="1" t="n">
        <v>7</v>
      </c>
      <c r="AK263" s="1" t="n">
        <v>15</v>
      </c>
      <c r="AL263" s="1" t="s">
        <v>195</v>
      </c>
      <c r="AM263" s="1" t="s">
        <v>196</v>
      </c>
      <c r="AN263" s="1" t="s">
        <v>197</v>
      </c>
      <c r="AO263" s="1" t="s">
        <v>4925</v>
      </c>
      <c r="AP263" s="1"/>
      <c r="AQ263" s="1"/>
      <c r="AR263" s="1" t="s">
        <v>4926</v>
      </c>
      <c r="AS263" s="1" t="s">
        <v>4927</v>
      </c>
      <c r="AT263" s="1" t="s">
        <v>2208</v>
      </c>
      <c r="AU263" s="1" t="n">
        <v>2023</v>
      </c>
      <c r="AV263" s="1" t="n">
        <v>14</v>
      </c>
      <c r="AW263" s="1" t="n">
        <v>4</v>
      </c>
      <c r="AX263" s="1"/>
      <c r="AY263" s="1"/>
      <c r="AZ263" s="1"/>
      <c r="BA263" s="1"/>
      <c r="BB263" s="1" t="n">
        <v>2582</v>
      </c>
      <c r="BC263" s="1" t="n">
        <v>2594</v>
      </c>
      <c r="BD263" s="1"/>
      <c r="BE263" s="1" t="s">
        <v>4928</v>
      </c>
      <c r="BF263" s="1" t="str">
        <f aca="false">HYPERLINK("http://dx.doi.org/10.1109/TAFFC.2023.3265008","http://dx.doi.org/10.1109/TAFFC.2023.3265008")</f>
        <v>http://dx.doi.org/10.1109/TAFFC.2023.3265008</v>
      </c>
      <c r="BG263" s="1"/>
      <c r="BH263" s="1"/>
      <c r="BI263" s="1" t="n">
        <v>13</v>
      </c>
      <c r="BJ263" s="1" t="s">
        <v>4929</v>
      </c>
      <c r="BK263" s="1" t="s">
        <v>204</v>
      </c>
      <c r="BL263" s="1" t="s">
        <v>101</v>
      </c>
      <c r="BM263" s="1" t="s">
        <v>4930</v>
      </c>
      <c r="BN263" s="1"/>
      <c r="BO263" s="1"/>
      <c r="BP263" s="1"/>
      <c r="BQ263" s="1"/>
      <c r="BR263" s="1" t="s">
        <v>103</v>
      </c>
      <c r="BS263" s="1" t="s">
        <v>4931</v>
      </c>
      <c r="BT263" s="1" t="str">
        <f aca="false">HYPERLINK("https%3A%2F%2Fwww.webofscience.com%2Fwos%2Fwoscc%2Ffull-record%2FWOS:001124163900011","View Full Record in Web of Science")</f>
        <v>View Full Record in Web of Science</v>
      </c>
    </row>
    <row r="264" customFormat="false" ht="12.75" hidden="false" customHeight="false" outlineLevel="0" collapsed="false">
      <c r="A264" s="1" t="s">
        <v>181</v>
      </c>
      <c r="B264" s="1" t="s">
        <v>4932</v>
      </c>
      <c r="C264" s="1"/>
      <c r="D264" s="1"/>
      <c r="E264" s="1"/>
      <c r="F264" s="1" t="s">
        <v>4933</v>
      </c>
      <c r="G264" s="1"/>
      <c r="H264" s="1"/>
      <c r="I264" s="1" t="s">
        <v>4934</v>
      </c>
      <c r="J264" s="1" t="s">
        <v>4935</v>
      </c>
      <c r="K264" s="1"/>
      <c r="L264" s="1"/>
      <c r="M264" s="1" t="s">
        <v>78</v>
      </c>
      <c r="N264" s="1" t="s">
        <v>186</v>
      </c>
      <c r="O264" s="1"/>
      <c r="P264" s="1"/>
      <c r="Q264" s="1"/>
      <c r="R264" s="1"/>
      <c r="S264" s="1"/>
      <c r="T264" s="1" t="s">
        <v>4936</v>
      </c>
      <c r="U264" s="1" t="s">
        <v>4937</v>
      </c>
      <c r="V264" s="1" t="s">
        <v>4938</v>
      </c>
      <c r="W264" s="1" t="s">
        <v>4939</v>
      </c>
      <c r="X264" s="1" t="s">
        <v>4940</v>
      </c>
      <c r="Y264" s="1" t="s">
        <v>4941</v>
      </c>
      <c r="Z264" s="1" t="s">
        <v>1961</v>
      </c>
      <c r="AA264" s="1" t="s">
        <v>4942</v>
      </c>
      <c r="AB264" s="1"/>
      <c r="AC264" s="1" t="s">
        <v>4943</v>
      </c>
      <c r="AD264" s="1" t="s">
        <v>4944</v>
      </c>
      <c r="AE264" s="1" t="s">
        <v>4945</v>
      </c>
      <c r="AF264" s="1"/>
      <c r="AG264" s="1" t="n">
        <v>70</v>
      </c>
      <c r="AH264" s="1" t="n">
        <v>0</v>
      </c>
      <c r="AI264" s="1" t="n">
        <v>0</v>
      </c>
      <c r="AJ264" s="1" t="n">
        <v>1</v>
      </c>
      <c r="AK264" s="1" t="n">
        <v>7</v>
      </c>
      <c r="AL264" s="1" t="s">
        <v>1220</v>
      </c>
      <c r="AM264" s="1" t="s">
        <v>1221</v>
      </c>
      <c r="AN264" s="1" t="s">
        <v>1222</v>
      </c>
      <c r="AO264" s="1" t="s">
        <v>4946</v>
      </c>
      <c r="AP264" s="1" t="s">
        <v>4947</v>
      </c>
      <c r="AQ264" s="1"/>
      <c r="AR264" s="1" t="s">
        <v>4948</v>
      </c>
      <c r="AS264" s="1" t="s">
        <v>4949</v>
      </c>
      <c r="AT264" s="1" t="s">
        <v>2554</v>
      </c>
      <c r="AU264" s="1" t="n">
        <v>2022</v>
      </c>
      <c r="AV264" s="1" t="n">
        <v>81</v>
      </c>
      <c r="AW264" s="1" t="n">
        <v>1</v>
      </c>
      <c r="AX264" s="1"/>
      <c r="AY264" s="1"/>
      <c r="AZ264" s="1"/>
      <c r="BA264" s="1"/>
      <c r="BB264" s="1" t="n">
        <v>45</v>
      </c>
      <c r="BC264" s="1" t="n">
        <v>69</v>
      </c>
      <c r="BD264" s="1"/>
      <c r="BE264" s="1" t="s">
        <v>4950</v>
      </c>
      <c r="BF264" s="1" t="str">
        <f aca="false">HYPERLINK("http://dx.doi.org/10.1080/00020184.2022.2060796","http://dx.doi.org/10.1080/00020184.2022.2060796")</f>
        <v>http://dx.doi.org/10.1080/00020184.2022.2060796</v>
      </c>
      <c r="BG264" s="1"/>
      <c r="BH264" s="1" t="s">
        <v>2297</v>
      </c>
      <c r="BI264" s="1" t="n">
        <v>25</v>
      </c>
      <c r="BJ264" s="1" t="s">
        <v>2316</v>
      </c>
      <c r="BK264" s="1" t="s">
        <v>610</v>
      </c>
      <c r="BL264" s="1" t="s">
        <v>2316</v>
      </c>
      <c r="BM264" s="1" t="s">
        <v>4951</v>
      </c>
      <c r="BN264" s="1"/>
      <c r="BO264" s="1" t="s">
        <v>207</v>
      </c>
      <c r="BP264" s="1"/>
      <c r="BQ264" s="1"/>
      <c r="BR264" s="1" t="s">
        <v>103</v>
      </c>
      <c r="BS264" s="1" t="s">
        <v>4952</v>
      </c>
      <c r="BT264" s="1" t="str">
        <f aca="false">HYPERLINK("https%3A%2F%2Fwww.webofscience.com%2Fwos%2Fwoscc%2Ffull-record%2FWOS:000790198400001","View Full Record in Web of Science")</f>
        <v>View Full Record in Web of Science</v>
      </c>
    </row>
    <row r="265" customFormat="false" ht="12.75" hidden="false" customHeight="false" outlineLevel="0" collapsed="false">
      <c r="A265" s="1" t="s">
        <v>72</v>
      </c>
      <c r="B265" s="1" t="s">
        <v>4953</v>
      </c>
      <c r="C265" s="1"/>
      <c r="D265" s="1" t="s">
        <v>4954</v>
      </c>
      <c r="E265" s="1"/>
      <c r="F265" s="1" t="s">
        <v>4955</v>
      </c>
      <c r="G265" s="1"/>
      <c r="H265" s="1"/>
      <c r="I265" s="1" t="s">
        <v>4956</v>
      </c>
      <c r="J265" s="1" t="s">
        <v>4957</v>
      </c>
      <c r="K265" s="1" t="s">
        <v>976</v>
      </c>
      <c r="L265" s="1"/>
      <c r="M265" s="1" t="s">
        <v>78</v>
      </c>
      <c r="N265" s="1" t="s">
        <v>79</v>
      </c>
      <c r="O265" s="1" t="s">
        <v>4958</v>
      </c>
      <c r="P265" s="1" t="s">
        <v>4959</v>
      </c>
      <c r="Q265" s="1" t="s">
        <v>320</v>
      </c>
      <c r="R265" s="1"/>
      <c r="S265" s="1"/>
      <c r="T265" s="1" t="s">
        <v>4960</v>
      </c>
      <c r="U265" s="1"/>
      <c r="V265" s="1" t="s">
        <v>4961</v>
      </c>
      <c r="W265" s="1" t="s">
        <v>4962</v>
      </c>
      <c r="X265" s="1" t="s">
        <v>4963</v>
      </c>
      <c r="Y265" s="1" t="s">
        <v>4964</v>
      </c>
      <c r="Z265" s="1" t="s">
        <v>4965</v>
      </c>
      <c r="AA265" s="1" t="s">
        <v>4966</v>
      </c>
      <c r="AB265" s="1" t="s">
        <v>4967</v>
      </c>
      <c r="AC265" s="1" t="s">
        <v>4968</v>
      </c>
      <c r="AD265" s="1" t="s">
        <v>4968</v>
      </c>
      <c r="AE265" s="1" t="s">
        <v>4969</v>
      </c>
      <c r="AF265" s="1"/>
      <c r="AG265" s="1" t="n">
        <v>25</v>
      </c>
      <c r="AH265" s="1" t="n">
        <v>1</v>
      </c>
      <c r="AI265" s="1" t="n">
        <v>1</v>
      </c>
      <c r="AJ265" s="1" t="n">
        <v>0</v>
      </c>
      <c r="AK265" s="1" t="n">
        <v>0</v>
      </c>
      <c r="AL265" s="1" t="s">
        <v>302</v>
      </c>
      <c r="AM265" s="1" t="s">
        <v>303</v>
      </c>
      <c r="AN265" s="1" t="s">
        <v>304</v>
      </c>
      <c r="AO265" s="1" t="s">
        <v>989</v>
      </c>
      <c r="AP265" s="1" t="s">
        <v>990</v>
      </c>
      <c r="AQ265" s="1" t="s">
        <v>4970</v>
      </c>
      <c r="AR265" s="1" t="s">
        <v>992</v>
      </c>
      <c r="AS265" s="1"/>
      <c r="AT265" s="1"/>
      <c r="AU265" s="1" t="n">
        <v>2021</v>
      </c>
      <c r="AV265" s="1" t="n">
        <v>12556</v>
      </c>
      <c r="AW265" s="1"/>
      <c r="AX265" s="1"/>
      <c r="AY265" s="1"/>
      <c r="AZ265" s="1"/>
      <c r="BA265" s="1"/>
      <c r="BB265" s="1" t="n">
        <v>213</v>
      </c>
      <c r="BC265" s="1" t="n">
        <v>228</v>
      </c>
      <c r="BD265" s="1"/>
      <c r="BE265" s="1" t="s">
        <v>4971</v>
      </c>
      <c r="BF265" s="1" t="str">
        <f aca="false">HYPERLINK("http://dx.doi.org/10.1007/978-3-030-70852-8_13","http://dx.doi.org/10.1007/978-3-030-70852-8_13")</f>
        <v>http://dx.doi.org/10.1007/978-3-030-70852-8_13</v>
      </c>
      <c r="BG265" s="1"/>
      <c r="BH265" s="1"/>
      <c r="BI265" s="1" t="n">
        <v>16</v>
      </c>
      <c r="BJ265" s="1" t="s">
        <v>4972</v>
      </c>
      <c r="BK265" s="1" t="s">
        <v>100</v>
      </c>
      <c r="BL265" s="1" t="s">
        <v>4973</v>
      </c>
      <c r="BM265" s="1" t="s">
        <v>4974</v>
      </c>
      <c r="BN265" s="1"/>
      <c r="BO265" s="1"/>
      <c r="BP265" s="1"/>
      <c r="BQ265" s="1"/>
      <c r="BR265" s="1" t="s">
        <v>103</v>
      </c>
      <c r="BS265" s="1" t="s">
        <v>4975</v>
      </c>
      <c r="BT265" s="1" t="str">
        <f aca="false">HYPERLINK("https%3A%2F%2Fwww.webofscience.com%2Fwos%2Fwoscc%2Ffull-record%2FWOS:000927605100013","View Full Record in Web of Science")</f>
        <v>View Full Record in Web of Science</v>
      </c>
    </row>
    <row r="266" customFormat="false" ht="12.75" hidden="false" customHeight="false" outlineLevel="0" collapsed="false">
      <c r="A266" s="1" t="s">
        <v>181</v>
      </c>
      <c r="B266" s="1" t="s">
        <v>4976</v>
      </c>
      <c r="C266" s="1"/>
      <c r="D266" s="1"/>
      <c r="E266" s="1"/>
      <c r="F266" s="1" t="s">
        <v>4977</v>
      </c>
      <c r="G266" s="1"/>
      <c r="H266" s="1"/>
      <c r="I266" s="1" t="s">
        <v>4978</v>
      </c>
      <c r="J266" s="1" t="s">
        <v>185</v>
      </c>
      <c r="K266" s="1"/>
      <c r="L266" s="1"/>
      <c r="M266" s="1" t="s">
        <v>78</v>
      </c>
      <c r="N266" s="1" t="s">
        <v>186</v>
      </c>
      <c r="O266" s="1"/>
      <c r="P266" s="1"/>
      <c r="Q266" s="1"/>
      <c r="R266" s="1"/>
      <c r="S266" s="1"/>
      <c r="T266" s="1" t="s">
        <v>4979</v>
      </c>
      <c r="U266" s="1" t="s">
        <v>4980</v>
      </c>
      <c r="V266" s="1" t="s">
        <v>4981</v>
      </c>
      <c r="W266" s="1" t="s">
        <v>4982</v>
      </c>
      <c r="X266" s="1" t="s">
        <v>86</v>
      </c>
      <c r="Y266" s="1" t="s">
        <v>4983</v>
      </c>
      <c r="Z266" s="1" t="s">
        <v>3920</v>
      </c>
      <c r="AA266" s="1" t="s">
        <v>4984</v>
      </c>
      <c r="AB266" s="1" t="s">
        <v>4985</v>
      </c>
      <c r="AC266" s="1" t="s">
        <v>4986</v>
      </c>
      <c r="AD266" s="1" t="s">
        <v>4987</v>
      </c>
      <c r="AE266" s="1" t="s">
        <v>4988</v>
      </c>
      <c r="AF266" s="1"/>
      <c r="AG266" s="1" t="n">
        <v>22</v>
      </c>
      <c r="AH266" s="1" t="n">
        <v>4</v>
      </c>
      <c r="AI266" s="1" t="n">
        <v>5</v>
      </c>
      <c r="AJ266" s="1" t="n">
        <v>0</v>
      </c>
      <c r="AK266" s="1" t="n">
        <v>8</v>
      </c>
      <c r="AL266" s="1" t="s">
        <v>195</v>
      </c>
      <c r="AM266" s="1" t="s">
        <v>196</v>
      </c>
      <c r="AN266" s="1" t="s">
        <v>197</v>
      </c>
      <c r="AO266" s="1" t="s">
        <v>198</v>
      </c>
      <c r="AP266" s="1" t="s">
        <v>199</v>
      </c>
      <c r="AQ266" s="1"/>
      <c r="AR266" s="1" t="s">
        <v>200</v>
      </c>
      <c r="AS266" s="1" t="s">
        <v>201</v>
      </c>
      <c r="AT266" s="1" t="s">
        <v>711</v>
      </c>
      <c r="AU266" s="1" t="n">
        <v>2020</v>
      </c>
      <c r="AV266" s="1" t="n">
        <v>17</v>
      </c>
      <c r="AW266" s="1" t="n">
        <v>8</v>
      </c>
      <c r="AX266" s="1"/>
      <c r="AY266" s="1"/>
      <c r="AZ266" s="1"/>
      <c r="BA266" s="1"/>
      <c r="BB266" s="1" t="n">
        <v>1323</v>
      </c>
      <c r="BC266" s="1" t="n">
        <v>1327</v>
      </c>
      <c r="BD266" s="1"/>
      <c r="BE266" s="1" t="s">
        <v>4989</v>
      </c>
      <c r="BF266" s="1" t="str">
        <f aca="false">HYPERLINK("http://dx.doi.org/10.1109/LGRS.2019.2944537","http://dx.doi.org/10.1109/LGRS.2019.2944537")</f>
        <v>http://dx.doi.org/10.1109/LGRS.2019.2944537</v>
      </c>
      <c r="BG266" s="1"/>
      <c r="BH266" s="1"/>
      <c r="BI266" s="1" t="n">
        <v>5</v>
      </c>
      <c r="BJ266" s="1" t="s">
        <v>203</v>
      </c>
      <c r="BK266" s="1" t="s">
        <v>204</v>
      </c>
      <c r="BL266" s="1" t="s">
        <v>205</v>
      </c>
      <c r="BM266" s="1" t="s">
        <v>4990</v>
      </c>
      <c r="BN266" s="1"/>
      <c r="BO266" s="1" t="s">
        <v>227</v>
      </c>
      <c r="BP266" s="1"/>
      <c r="BQ266" s="1"/>
      <c r="BR266" s="1" t="s">
        <v>103</v>
      </c>
      <c r="BS266" s="1" t="s">
        <v>4991</v>
      </c>
      <c r="BT266" s="1" t="str">
        <f aca="false">HYPERLINK("https%3A%2F%2Fwww.webofscience.com%2Fwos%2Fwoscc%2Ffull-record%2FWOS:000552271800007","View Full Record in Web of Science")</f>
        <v>View Full Record in Web of Science</v>
      </c>
    </row>
    <row r="267" customFormat="false" ht="12.75" hidden="false" customHeight="false" outlineLevel="0" collapsed="false">
      <c r="A267" s="1" t="s">
        <v>72</v>
      </c>
      <c r="B267" s="1" t="s">
        <v>4992</v>
      </c>
      <c r="C267" s="1"/>
      <c r="D267" s="1"/>
      <c r="E267" s="1" t="s">
        <v>106</v>
      </c>
      <c r="F267" s="1" t="s">
        <v>4993</v>
      </c>
      <c r="G267" s="1"/>
      <c r="H267" s="1"/>
      <c r="I267" s="1" t="s">
        <v>4994</v>
      </c>
      <c r="J267" s="1" t="s">
        <v>4995</v>
      </c>
      <c r="K267" s="1" t="s">
        <v>1324</v>
      </c>
      <c r="L267" s="1"/>
      <c r="M267" s="1" t="s">
        <v>78</v>
      </c>
      <c r="N267" s="1" t="s">
        <v>79</v>
      </c>
      <c r="O267" s="1" t="s">
        <v>4996</v>
      </c>
      <c r="P267" s="1" t="s">
        <v>4997</v>
      </c>
      <c r="Q267" s="1" t="s">
        <v>320</v>
      </c>
      <c r="R267" s="1" t="s">
        <v>4998</v>
      </c>
      <c r="S267" s="1"/>
      <c r="T267" s="1" t="s">
        <v>4999</v>
      </c>
      <c r="U267" s="1"/>
      <c r="V267" s="1" t="s">
        <v>5000</v>
      </c>
      <c r="W267" s="1" t="s">
        <v>5001</v>
      </c>
      <c r="X267" s="1" t="s">
        <v>5002</v>
      </c>
      <c r="Y267" s="1" t="s">
        <v>5003</v>
      </c>
      <c r="Z267" s="1" t="s">
        <v>5004</v>
      </c>
      <c r="AA267" s="1" t="s">
        <v>1985</v>
      </c>
      <c r="AB267" s="1" t="s">
        <v>5005</v>
      </c>
      <c r="AC267" s="1"/>
      <c r="AD267" s="1"/>
      <c r="AE267" s="1"/>
      <c r="AF267" s="1"/>
      <c r="AG267" s="1" t="n">
        <v>10</v>
      </c>
      <c r="AH267" s="1" t="n">
        <v>2</v>
      </c>
      <c r="AI267" s="1" t="n">
        <v>2</v>
      </c>
      <c r="AJ267" s="1" t="n">
        <v>0</v>
      </c>
      <c r="AK267" s="1" t="n">
        <v>1</v>
      </c>
      <c r="AL267" s="1" t="s">
        <v>106</v>
      </c>
      <c r="AM267" s="1" t="s">
        <v>95</v>
      </c>
      <c r="AN267" s="1" t="s">
        <v>122</v>
      </c>
      <c r="AO267" s="1" t="s">
        <v>1335</v>
      </c>
      <c r="AP267" s="1" t="s">
        <v>1336</v>
      </c>
      <c r="AQ267" s="1" t="s">
        <v>5006</v>
      </c>
      <c r="AR267" s="1" t="s">
        <v>1338</v>
      </c>
      <c r="AS267" s="1"/>
      <c r="AT267" s="1"/>
      <c r="AU267" s="1" t="n">
        <v>2020</v>
      </c>
      <c r="AV267" s="1"/>
      <c r="AW267" s="1"/>
      <c r="AX267" s="1"/>
      <c r="AY267" s="1"/>
      <c r="AZ267" s="1"/>
      <c r="BA267" s="1"/>
      <c r="BB267" s="1"/>
      <c r="BC267" s="1"/>
      <c r="BD267" s="1"/>
      <c r="BE267" s="1" t="s">
        <v>5007</v>
      </c>
      <c r="BF267" s="1" t="str">
        <f aca="false">HYPERLINK("http://dx.doi.org/10.1109/qomex48832.2020.9123106","http://dx.doi.org/10.1109/qomex48832.2020.9123106")</f>
        <v>http://dx.doi.org/10.1109/qomex48832.2020.9123106</v>
      </c>
      <c r="BG267" s="1"/>
      <c r="BH267" s="1"/>
      <c r="BI267" s="1" t="n">
        <v>4</v>
      </c>
      <c r="BJ267" s="1" t="s">
        <v>5008</v>
      </c>
      <c r="BK267" s="1" t="s">
        <v>100</v>
      </c>
      <c r="BL267" s="1" t="s">
        <v>1255</v>
      </c>
      <c r="BM267" s="1" t="s">
        <v>5009</v>
      </c>
      <c r="BN267" s="1"/>
      <c r="BO267" s="1" t="s">
        <v>227</v>
      </c>
      <c r="BP267" s="1"/>
      <c r="BQ267" s="1"/>
      <c r="BR267" s="1" t="s">
        <v>103</v>
      </c>
      <c r="BS267" s="1" t="s">
        <v>5010</v>
      </c>
      <c r="BT267" s="1" t="str">
        <f aca="false">HYPERLINK("https%3A%2F%2Fwww.webofscience.com%2Fwos%2Fwoscc%2Ffull-record%2FWOS:000619223500033","View Full Record in Web of Science")</f>
        <v>View Full Record in Web of Science</v>
      </c>
    </row>
    <row r="268" customFormat="false" ht="12.75" hidden="false" customHeight="false" outlineLevel="0" collapsed="false">
      <c r="A268" s="1" t="s">
        <v>181</v>
      </c>
      <c r="B268" s="1" t="s">
        <v>5011</v>
      </c>
      <c r="C268" s="1"/>
      <c r="D268" s="1"/>
      <c r="E268" s="1"/>
      <c r="F268" s="1" t="s">
        <v>5012</v>
      </c>
      <c r="G268" s="1"/>
      <c r="H268" s="1"/>
      <c r="I268" s="1" t="s">
        <v>5013</v>
      </c>
      <c r="J268" s="1" t="s">
        <v>1378</v>
      </c>
      <c r="K268" s="1"/>
      <c r="L268" s="1"/>
      <c r="M268" s="1" t="s">
        <v>78</v>
      </c>
      <c r="N268" s="1" t="s">
        <v>186</v>
      </c>
      <c r="O268" s="1"/>
      <c r="P268" s="1"/>
      <c r="Q268" s="1"/>
      <c r="R268" s="1"/>
      <c r="S268" s="1"/>
      <c r="T268" s="1" t="s">
        <v>5014</v>
      </c>
      <c r="U268" s="1" t="s">
        <v>5015</v>
      </c>
      <c r="V268" s="1" t="s">
        <v>5016</v>
      </c>
      <c r="W268" s="1" t="s">
        <v>5017</v>
      </c>
      <c r="X268" s="1" t="s">
        <v>86</v>
      </c>
      <c r="Y268" s="1" t="s">
        <v>5018</v>
      </c>
      <c r="Z268" s="1" t="s">
        <v>5019</v>
      </c>
      <c r="AA268" s="1" t="s">
        <v>5020</v>
      </c>
      <c r="AB268" s="1" t="s">
        <v>5021</v>
      </c>
      <c r="AC268" s="1" t="s">
        <v>5022</v>
      </c>
      <c r="AD268" s="1" t="s">
        <v>5022</v>
      </c>
      <c r="AE268" s="1" t="s">
        <v>5023</v>
      </c>
      <c r="AF268" s="1"/>
      <c r="AG268" s="1" t="n">
        <v>57</v>
      </c>
      <c r="AH268" s="1" t="n">
        <v>11</v>
      </c>
      <c r="AI268" s="1" t="n">
        <v>11</v>
      </c>
      <c r="AJ268" s="1" t="n">
        <v>1</v>
      </c>
      <c r="AK268" s="1" t="n">
        <v>9</v>
      </c>
      <c r="AL268" s="1" t="s">
        <v>893</v>
      </c>
      <c r="AM268" s="1" t="s">
        <v>894</v>
      </c>
      <c r="AN268" s="1" t="s">
        <v>895</v>
      </c>
      <c r="AO268" s="1" t="s">
        <v>1387</v>
      </c>
      <c r="AP268" s="1" t="s">
        <v>1388</v>
      </c>
      <c r="AQ268" s="1"/>
      <c r="AR268" s="1" t="s">
        <v>1389</v>
      </c>
      <c r="AS268" s="1" t="s">
        <v>1390</v>
      </c>
      <c r="AT268" s="1" t="s">
        <v>1453</v>
      </c>
      <c r="AU268" s="1" t="n">
        <v>2020</v>
      </c>
      <c r="AV268" s="1" t="n">
        <v>117</v>
      </c>
      <c r="AW268" s="1"/>
      <c r="AX268" s="1"/>
      <c r="AY268" s="1"/>
      <c r="AZ268" s="1"/>
      <c r="BA268" s="1"/>
      <c r="BB268" s="1"/>
      <c r="BC268" s="1"/>
      <c r="BD268" s="1" t="n">
        <v>106199</v>
      </c>
      <c r="BE268" s="1" t="s">
        <v>5024</v>
      </c>
      <c r="BF268" s="1" t="str">
        <f aca="false">HYPERLINK("http://dx.doi.org/10.1016/j.infsof.2019.106199","http://dx.doi.org/10.1016/j.infsof.2019.106199")</f>
        <v>http://dx.doi.org/10.1016/j.infsof.2019.106199</v>
      </c>
      <c r="BG268" s="1"/>
      <c r="BH268" s="1"/>
      <c r="BI268" s="1" t="n">
        <v>19</v>
      </c>
      <c r="BJ268" s="1" t="s">
        <v>1394</v>
      </c>
      <c r="BK268" s="1" t="s">
        <v>204</v>
      </c>
      <c r="BL268" s="1" t="s">
        <v>101</v>
      </c>
      <c r="BM268" s="1" t="s">
        <v>5025</v>
      </c>
      <c r="BN268" s="1"/>
      <c r="BO268" s="1"/>
      <c r="BP268" s="1"/>
      <c r="BQ268" s="1"/>
      <c r="BR268" s="1" t="s">
        <v>103</v>
      </c>
      <c r="BS268" s="1" t="s">
        <v>5026</v>
      </c>
      <c r="BT268" s="1" t="str">
        <f aca="false">HYPERLINK("https%3A%2F%2Fwww.webofscience.com%2Fwos%2Fwoscc%2Ffull-record%2FWOS:000496874400005","View Full Record in Web of Science")</f>
        <v>View Full Record in Web of Science</v>
      </c>
    </row>
    <row r="269" customFormat="false" ht="12.75" hidden="false" customHeight="false" outlineLevel="0" collapsed="false">
      <c r="A269" s="1" t="s">
        <v>72</v>
      </c>
      <c r="B269" s="1" t="s">
        <v>5027</v>
      </c>
      <c r="C269" s="1"/>
      <c r="D269" s="1" t="s">
        <v>5028</v>
      </c>
      <c r="E269" s="1"/>
      <c r="F269" s="1" t="s">
        <v>5029</v>
      </c>
      <c r="G269" s="1"/>
      <c r="H269" s="1"/>
      <c r="I269" s="1" t="s">
        <v>5030</v>
      </c>
      <c r="J269" s="1" t="s">
        <v>5031</v>
      </c>
      <c r="K269" s="1" t="s">
        <v>498</v>
      </c>
      <c r="L269" s="1"/>
      <c r="M269" s="1" t="s">
        <v>78</v>
      </c>
      <c r="N269" s="1" t="s">
        <v>79</v>
      </c>
      <c r="O269" s="1" t="s">
        <v>5032</v>
      </c>
      <c r="P269" s="1" t="s">
        <v>5033</v>
      </c>
      <c r="Q269" s="1" t="s">
        <v>4310</v>
      </c>
      <c r="R269" s="1"/>
      <c r="S269" s="1"/>
      <c r="T269" s="1" t="s">
        <v>5034</v>
      </c>
      <c r="U269" s="1" t="s">
        <v>5035</v>
      </c>
      <c r="V269" s="1" t="s">
        <v>5036</v>
      </c>
      <c r="W269" s="1" t="s">
        <v>5037</v>
      </c>
      <c r="X269" s="1" t="s">
        <v>4095</v>
      </c>
      <c r="Y269" s="1" t="s">
        <v>5038</v>
      </c>
      <c r="Z269" s="1" t="s">
        <v>5039</v>
      </c>
      <c r="AA269" s="1" t="s">
        <v>4185</v>
      </c>
      <c r="AB269" s="1" t="s">
        <v>4099</v>
      </c>
      <c r="AC269" s="1" t="s">
        <v>5040</v>
      </c>
      <c r="AD269" s="1" t="s">
        <v>5041</v>
      </c>
      <c r="AE269" s="1" t="s">
        <v>5042</v>
      </c>
      <c r="AF269" s="1"/>
      <c r="AG269" s="1" t="n">
        <v>31</v>
      </c>
      <c r="AH269" s="1" t="n">
        <v>0</v>
      </c>
      <c r="AI269" s="1" t="n">
        <v>0</v>
      </c>
      <c r="AJ269" s="1" t="n">
        <v>1</v>
      </c>
      <c r="AK269" s="1" t="n">
        <v>1</v>
      </c>
      <c r="AL269" s="1" t="s">
        <v>302</v>
      </c>
      <c r="AM269" s="1" t="s">
        <v>303</v>
      </c>
      <c r="AN269" s="1" t="s">
        <v>304</v>
      </c>
      <c r="AO269" s="1" t="s">
        <v>512</v>
      </c>
      <c r="AP269" s="1" t="s">
        <v>513</v>
      </c>
      <c r="AQ269" s="1" t="s">
        <v>5043</v>
      </c>
      <c r="AR269" s="1" t="s">
        <v>515</v>
      </c>
      <c r="AS269" s="1"/>
      <c r="AT269" s="1"/>
      <c r="AU269" s="1" t="n">
        <v>2023</v>
      </c>
      <c r="AV269" s="1" t="n">
        <v>475</v>
      </c>
      <c r="AW269" s="1"/>
      <c r="AX269" s="1"/>
      <c r="AY269" s="1"/>
      <c r="AZ269" s="1"/>
      <c r="BA269" s="1"/>
      <c r="BB269" s="1" t="n">
        <v>132</v>
      </c>
      <c r="BC269" s="1" t="n">
        <v>148</v>
      </c>
      <c r="BD269" s="1"/>
      <c r="BE269" s="1" t="s">
        <v>5044</v>
      </c>
      <c r="BF269" s="1" t="str">
        <f aca="false">HYPERLINK("http://dx.doi.org/10.1007/978-3-031-33976-9_9","http://dx.doi.org/10.1007/978-3-031-33976-9_9")</f>
        <v>http://dx.doi.org/10.1007/978-3-031-33976-9_9</v>
      </c>
      <c r="BG269" s="1"/>
      <c r="BH269" s="1"/>
      <c r="BI269" s="1" t="n">
        <v>17</v>
      </c>
      <c r="BJ269" s="1" t="s">
        <v>517</v>
      </c>
      <c r="BK269" s="1" t="s">
        <v>100</v>
      </c>
      <c r="BL269" s="1" t="s">
        <v>101</v>
      </c>
      <c r="BM269" s="1" t="s">
        <v>5045</v>
      </c>
      <c r="BN269" s="1"/>
      <c r="BO269" s="1"/>
      <c r="BP269" s="1"/>
      <c r="BQ269" s="1"/>
      <c r="BR269" s="1" t="s">
        <v>103</v>
      </c>
      <c r="BS269" s="1" t="s">
        <v>5046</v>
      </c>
      <c r="BT269" s="1" t="str">
        <f aca="false">HYPERLINK("https%3A%2F%2Fwww.webofscience.com%2Fwos%2Fwoscc%2Ffull-record%2FWOS:001267753700009","View Full Record in Web of Science")</f>
        <v>View Full Record in Web of Science</v>
      </c>
    </row>
    <row r="270" customFormat="false" ht="12.75" hidden="false" customHeight="false" outlineLevel="0" collapsed="false">
      <c r="A270" s="1" t="s">
        <v>181</v>
      </c>
      <c r="B270" s="1" t="s">
        <v>5047</v>
      </c>
      <c r="C270" s="1"/>
      <c r="D270" s="1"/>
      <c r="E270" s="1"/>
      <c r="F270" s="1" t="s">
        <v>5048</v>
      </c>
      <c r="G270" s="1"/>
      <c r="H270" s="1"/>
      <c r="I270" s="1" t="s">
        <v>5049</v>
      </c>
      <c r="J270" s="1" t="s">
        <v>3700</v>
      </c>
      <c r="K270" s="1"/>
      <c r="L270" s="1"/>
      <c r="M270" s="1" t="s">
        <v>78</v>
      </c>
      <c r="N270" s="1" t="s">
        <v>186</v>
      </c>
      <c r="O270" s="1"/>
      <c r="P270" s="1"/>
      <c r="Q270" s="1"/>
      <c r="R270" s="1"/>
      <c r="S270" s="1"/>
      <c r="T270" s="1" t="s">
        <v>5050</v>
      </c>
      <c r="U270" s="1" t="s">
        <v>5051</v>
      </c>
      <c r="V270" s="1" t="s">
        <v>5052</v>
      </c>
      <c r="W270" s="1" t="s">
        <v>5053</v>
      </c>
      <c r="X270" s="1" t="s">
        <v>5054</v>
      </c>
      <c r="Y270" s="1" t="s">
        <v>5055</v>
      </c>
      <c r="Z270" s="1" t="s">
        <v>5056</v>
      </c>
      <c r="AA270" s="1" t="s">
        <v>5020</v>
      </c>
      <c r="AB270" s="1" t="s">
        <v>5057</v>
      </c>
      <c r="AC270" s="1" t="s">
        <v>5058</v>
      </c>
      <c r="AD270" s="1" t="s">
        <v>5058</v>
      </c>
      <c r="AE270" s="1" t="s">
        <v>5059</v>
      </c>
      <c r="AF270" s="1"/>
      <c r="AG270" s="1" t="n">
        <v>91</v>
      </c>
      <c r="AH270" s="1" t="n">
        <v>4</v>
      </c>
      <c r="AI270" s="1" t="n">
        <v>4</v>
      </c>
      <c r="AJ270" s="1" t="n">
        <v>1</v>
      </c>
      <c r="AK270" s="1" t="n">
        <v>7</v>
      </c>
      <c r="AL270" s="1" t="s">
        <v>3711</v>
      </c>
      <c r="AM270" s="1" t="s">
        <v>95</v>
      </c>
      <c r="AN270" s="1" t="s">
        <v>3712</v>
      </c>
      <c r="AO270" s="1" t="s">
        <v>3713</v>
      </c>
      <c r="AP270" s="1" t="s">
        <v>3714</v>
      </c>
      <c r="AQ270" s="1"/>
      <c r="AR270" s="1" t="s">
        <v>3715</v>
      </c>
      <c r="AS270" s="1" t="s">
        <v>3716</v>
      </c>
      <c r="AT270" s="1" t="s">
        <v>277</v>
      </c>
      <c r="AU270" s="1" t="n">
        <v>2023</v>
      </c>
      <c r="AV270" s="1" t="n">
        <v>197</v>
      </c>
      <c r="AW270" s="1"/>
      <c r="AX270" s="1"/>
      <c r="AY270" s="1"/>
      <c r="AZ270" s="1"/>
      <c r="BA270" s="1"/>
      <c r="BB270" s="1"/>
      <c r="BC270" s="1"/>
      <c r="BD270" s="1" t="n">
        <v>111572</v>
      </c>
      <c r="BE270" s="1" t="s">
        <v>5060</v>
      </c>
      <c r="BF270" s="1" t="str">
        <f aca="false">HYPERLINK("http://dx.doi.org/10.1016/j.jss.2022.111572","http://dx.doi.org/10.1016/j.jss.2022.111572")</f>
        <v>http://dx.doi.org/10.1016/j.jss.2022.111572</v>
      </c>
      <c r="BG270" s="1"/>
      <c r="BH270" s="1" t="s">
        <v>3236</v>
      </c>
      <c r="BI270" s="1" t="n">
        <v>17</v>
      </c>
      <c r="BJ270" s="1" t="s">
        <v>994</v>
      </c>
      <c r="BK270" s="1" t="s">
        <v>204</v>
      </c>
      <c r="BL270" s="1" t="s">
        <v>101</v>
      </c>
      <c r="BM270" s="1" t="s">
        <v>5061</v>
      </c>
      <c r="BN270" s="1"/>
      <c r="BO270" s="1" t="s">
        <v>612</v>
      </c>
      <c r="BP270" s="1"/>
      <c r="BQ270" s="1"/>
      <c r="BR270" s="1" t="s">
        <v>103</v>
      </c>
      <c r="BS270" s="1" t="s">
        <v>5062</v>
      </c>
      <c r="BT270" s="1" t="str">
        <f aca="false">HYPERLINK("https%3A%2F%2Fwww.webofscience.com%2Fwos%2Fwoscc%2Ffull-record%2FWOS:000903909200003","View Full Record in Web of Science")</f>
        <v>View Full Record in Web of Science</v>
      </c>
    </row>
    <row r="271" customFormat="false" ht="12.75" hidden="false" customHeight="false" outlineLevel="0" collapsed="false">
      <c r="A271" s="1" t="s">
        <v>181</v>
      </c>
      <c r="B271" s="1" t="s">
        <v>5063</v>
      </c>
      <c r="C271" s="1"/>
      <c r="D271" s="1"/>
      <c r="E271" s="1"/>
      <c r="F271" s="1" t="s">
        <v>5064</v>
      </c>
      <c r="G271" s="1"/>
      <c r="H271" s="1"/>
      <c r="I271" s="1" t="s">
        <v>5065</v>
      </c>
      <c r="J271" s="1" t="s">
        <v>1921</v>
      </c>
      <c r="K271" s="1"/>
      <c r="L271" s="1"/>
      <c r="M271" s="1" t="s">
        <v>78</v>
      </c>
      <c r="N271" s="1" t="s">
        <v>5066</v>
      </c>
      <c r="O271" s="1"/>
      <c r="P271" s="1"/>
      <c r="Q271" s="1"/>
      <c r="R271" s="1"/>
      <c r="S271" s="1"/>
      <c r="T271" s="1"/>
      <c r="U271" s="1"/>
      <c r="V271" s="1"/>
      <c r="W271" s="1" t="s">
        <v>5067</v>
      </c>
      <c r="X271" s="1" t="s">
        <v>5068</v>
      </c>
      <c r="Y271" s="1" t="s">
        <v>5069</v>
      </c>
      <c r="Z271" s="1" t="s">
        <v>5070</v>
      </c>
      <c r="AA271" s="1" t="s">
        <v>2491</v>
      </c>
      <c r="AB271" s="1"/>
      <c r="AC271" s="1"/>
      <c r="AD271" s="1"/>
      <c r="AE271" s="1"/>
      <c r="AF271" s="1"/>
      <c r="AG271" s="1" t="n">
        <v>1</v>
      </c>
      <c r="AH271" s="1" t="n">
        <v>0</v>
      </c>
      <c r="AI271" s="1" t="n">
        <v>0</v>
      </c>
      <c r="AJ271" s="1" t="n">
        <v>0</v>
      </c>
      <c r="AK271" s="1" t="n">
        <v>1</v>
      </c>
      <c r="AL271" s="1" t="s">
        <v>679</v>
      </c>
      <c r="AM271" s="1" t="s">
        <v>95</v>
      </c>
      <c r="AN271" s="1" t="s">
        <v>803</v>
      </c>
      <c r="AO271" s="1" t="s">
        <v>1929</v>
      </c>
      <c r="AP271" s="1" t="s">
        <v>1930</v>
      </c>
      <c r="AQ271" s="1"/>
      <c r="AR271" s="1" t="s">
        <v>1931</v>
      </c>
      <c r="AS271" s="1" t="s">
        <v>1932</v>
      </c>
      <c r="AT271" s="1" t="s">
        <v>474</v>
      </c>
      <c r="AU271" s="1" t="n">
        <v>2022</v>
      </c>
      <c r="AV271" s="1" t="n">
        <v>27</v>
      </c>
      <c r="AW271" s="1" t="n">
        <v>3</v>
      </c>
      <c r="AX271" s="1"/>
      <c r="AY271" s="1"/>
      <c r="AZ271" s="1" t="s">
        <v>1698</v>
      </c>
      <c r="BA271" s="1"/>
      <c r="BB271" s="1" t="n">
        <v>401</v>
      </c>
      <c r="BC271" s="1" t="n">
        <v>401</v>
      </c>
      <c r="BD271" s="1"/>
      <c r="BE271" s="1" t="s">
        <v>5071</v>
      </c>
      <c r="BF271" s="1" t="str">
        <f aca="false">HYPERLINK("http://dx.doi.org/10.1007/s00766-022-00378-4","http://dx.doi.org/10.1007/s00766-022-00378-4")</f>
        <v>http://dx.doi.org/10.1007/s00766-022-00378-4</v>
      </c>
      <c r="BG271" s="1"/>
      <c r="BH271" s="1" t="s">
        <v>1934</v>
      </c>
      <c r="BI271" s="1" t="n">
        <v>1</v>
      </c>
      <c r="BJ271" s="1" t="s">
        <v>1394</v>
      </c>
      <c r="BK271" s="1" t="s">
        <v>204</v>
      </c>
      <c r="BL271" s="1" t="s">
        <v>101</v>
      </c>
      <c r="BM271" s="1" t="s">
        <v>5072</v>
      </c>
      <c r="BN271" s="1"/>
      <c r="BO271" s="1" t="s">
        <v>282</v>
      </c>
      <c r="BP271" s="1"/>
      <c r="BQ271" s="1"/>
      <c r="BR271" s="1" t="s">
        <v>103</v>
      </c>
      <c r="BS271" s="1" t="s">
        <v>5073</v>
      </c>
      <c r="BT271" s="1" t="str">
        <f aca="false">HYPERLINK("https%3A%2F%2Fwww.webofscience.com%2Fwos%2Fwoscc%2Ffull-record%2FWOS:000778045200001","View Full Record in Web of Science")</f>
        <v>View Full Record in Web of Science</v>
      </c>
    </row>
    <row r="272" customFormat="false" ht="12.75" hidden="false" customHeight="false" outlineLevel="0" collapsed="false">
      <c r="A272" s="1" t="s">
        <v>181</v>
      </c>
      <c r="B272" s="1" t="s">
        <v>5074</v>
      </c>
      <c r="C272" s="1"/>
      <c r="D272" s="1"/>
      <c r="E272" s="1"/>
      <c r="F272" s="1" t="s">
        <v>5075</v>
      </c>
      <c r="G272" s="1"/>
      <c r="H272" s="1"/>
      <c r="I272" s="1" t="s">
        <v>5076</v>
      </c>
      <c r="J272" s="1" t="s">
        <v>5077</v>
      </c>
      <c r="K272" s="1"/>
      <c r="L272" s="1"/>
      <c r="M272" s="1" t="s">
        <v>78</v>
      </c>
      <c r="N272" s="1" t="s">
        <v>186</v>
      </c>
      <c r="O272" s="1"/>
      <c r="P272" s="1"/>
      <c r="Q272" s="1"/>
      <c r="R272" s="1"/>
      <c r="S272" s="1"/>
      <c r="T272" s="1" t="s">
        <v>5078</v>
      </c>
      <c r="U272" s="1"/>
      <c r="V272" s="1" t="s">
        <v>5079</v>
      </c>
      <c r="W272" s="1" t="s">
        <v>5080</v>
      </c>
      <c r="X272" s="1" t="s">
        <v>4809</v>
      </c>
      <c r="Y272" s="1" t="s">
        <v>5081</v>
      </c>
      <c r="Z272" s="1" t="s">
        <v>5082</v>
      </c>
      <c r="AA272" s="1" t="s">
        <v>5083</v>
      </c>
      <c r="AB272" s="1" t="s">
        <v>5084</v>
      </c>
      <c r="AC272" s="1" t="s">
        <v>1617</v>
      </c>
      <c r="AD272" s="1" t="s">
        <v>677</v>
      </c>
      <c r="AE272" s="1" t="s">
        <v>5085</v>
      </c>
      <c r="AF272" s="1"/>
      <c r="AG272" s="1" t="n">
        <v>17</v>
      </c>
      <c r="AH272" s="1" t="n">
        <v>5</v>
      </c>
      <c r="AI272" s="1" t="n">
        <v>6</v>
      </c>
      <c r="AJ272" s="1" t="n">
        <v>0</v>
      </c>
      <c r="AK272" s="1" t="n">
        <v>8</v>
      </c>
      <c r="AL272" s="1" t="s">
        <v>195</v>
      </c>
      <c r="AM272" s="1" t="s">
        <v>196</v>
      </c>
      <c r="AN272" s="1" t="s">
        <v>197</v>
      </c>
      <c r="AO272" s="1" t="s">
        <v>5086</v>
      </c>
      <c r="AP272" s="1"/>
      <c r="AQ272" s="1"/>
      <c r="AR272" s="1" t="s">
        <v>5087</v>
      </c>
      <c r="AS272" s="1" t="s">
        <v>5088</v>
      </c>
      <c r="AT272" s="1" t="s">
        <v>2698</v>
      </c>
      <c r="AU272" s="1" t="n">
        <v>2021</v>
      </c>
      <c r="AV272" s="1" t="n">
        <v>18</v>
      </c>
      <c r="AW272" s="1" t="n">
        <v>2</v>
      </c>
      <c r="AX272" s="1"/>
      <c r="AY272" s="1"/>
      <c r="AZ272" s="1"/>
      <c r="BA272" s="1"/>
      <c r="BB272" s="1" t="n">
        <v>1925</v>
      </c>
      <c r="BC272" s="1" t="n">
        <v>1933</v>
      </c>
      <c r="BD272" s="1"/>
      <c r="BE272" s="1" t="s">
        <v>5089</v>
      </c>
      <c r="BF272" s="1" t="str">
        <f aca="false">HYPERLINK("http://dx.doi.org/10.1109/TNSM.2021.3052093","http://dx.doi.org/10.1109/TNSM.2021.3052093")</f>
        <v>http://dx.doi.org/10.1109/TNSM.2021.3052093</v>
      </c>
      <c r="BG272" s="1"/>
      <c r="BH272" s="1"/>
      <c r="BI272" s="1" t="n">
        <v>9</v>
      </c>
      <c r="BJ272" s="1" t="s">
        <v>4212</v>
      </c>
      <c r="BK272" s="1" t="s">
        <v>204</v>
      </c>
      <c r="BL272" s="1" t="s">
        <v>101</v>
      </c>
      <c r="BM272" s="1" t="s">
        <v>5090</v>
      </c>
      <c r="BN272" s="1"/>
      <c r="BO272" s="1"/>
      <c r="BP272" s="1"/>
      <c r="BQ272" s="1"/>
      <c r="BR272" s="1" t="s">
        <v>103</v>
      </c>
      <c r="BS272" s="1" t="s">
        <v>5091</v>
      </c>
      <c r="BT272" s="1" t="str">
        <f aca="false">HYPERLINK("https%3A%2F%2Fwww.webofscience.com%2Fwos%2Fwoscc%2Ffull-record%2FWOS:000660636700057","View Full Record in Web of Science")</f>
        <v>View Full Record in Web of Science</v>
      </c>
    </row>
    <row r="273" customFormat="false" ht="12.75" hidden="false" customHeight="false" outlineLevel="0" collapsed="false">
      <c r="A273" s="1" t="s">
        <v>181</v>
      </c>
      <c r="B273" s="1" t="s">
        <v>5092</v>
      </c>
      <c r="C273" s="1"/>
      <c r="D273" s="1"/>
      <c r="E273" s="1"/>
      <c r="F273" s="1" t="s">
        <v>5093</v>
      </c>
      <c r="G273" s="1"/>
      <c r="H273" s="1"/>
      <c r="I273" s="1" t="s">
        <v>5094</v>
      </c>
      <c r="J273" s="1" t="s">
        <v>3700</v>
      </c>
      <c r="K273" s="1"/>
      <c r="L273" s="1"/>
      <c r="M273" s="1" t="s">
        <v>78</v>
      </c>
      <c r="N273" s="1" t="s">
        <v>186</v>
      </c>
      <c r="O273" s="1"/>
      <c r="P273" s="1"/>
      <c r="Q273" s="1"/>
      <c r="R273" s="1"/>
      <c r="S273" s="1"/>
      <c r="T273" s="1" t="s">
        <v>5095</v>
      </c>
      <c r="U273" s="1" t="s">
        <v>5096</v>
      </c>
      <c r="V273" s="1" t="s">
        <v>5097</v>
      </c>
      <c r="W273" s="1" t="s">
        <v>5098</v>
      </c>
      <c r="X273" s="1" t="s">
        <v>5099</v>
      </c>
      <c r="Y273" s="1" t="s">
        <v>5100</v>
      </c>
      <c r="Z273" s="1" t="s">
        <v>5101</v>
      </c>
      <c r="AA273" s="1"/>
      <c r="AB273" s="1"/>
      <c r="AC273" s="1"/>
      <c r="AD273" s="1"/>
      <c r="AE273" s="1"/>
      <c r="AF273" s="1"/>
      <c r="AG273" s="1" t="n">
        <v>78</v>
      </c>
      <c r="AH273" s="1" t="n">
        <v>10</v>
      </c>
      <c r="AI273" s="1" t="n">
        <v>10</v>
      </c>
      <c r="AJ273" s="1" t="n">
        <v>1</v>
      </c>
      <c r="AK273" s="1" t="n">
        <v>13</v>
      </c>
      <c r="AL273" s="1" t="s">
        <v>3711</v>
      </c>
      <c r="AM273" s="1" t="s">
        <v>95</v>
      </c>
      <c r="AN273" s="1" t="s">
        <v>3712</v>
      </c>
      <c r="AO273" s="1" t="s">
        <v>3713</v>
      </c>
      <c r="AP273" s="1" t="s">
        <v>3714</v>
      </c>
      <c r="AQ273" s="1"/>
      <c r="AR273" s="1" t="s">
        <v>3715</v>
      </c>
      <c r="AS273" s="1" t="s">
        <v>3716</v>
      </c>
      <c r="AT273" s="1" t="s">
        <v>808</v>
      </c>
      <c r="AU273" s="1" t="n">
        <v>2021</v>
      </c>
      <c r="AV273" s="1" t="n">
        <v>177</v>
      </c>
      <c r="AW273" s="1"/>
      <c r="AX273" s="1"/>
      <c r="AY273" s="1"/>
      <c r="AZ273" s="1"/>
      <c r="BA273" s="1"/>
      <c r="BB273" s="1"/>
      <c r="BC273" s="1"/>
      <c r="BD273" s="1" t="n">
        <v>110944</v>
      </c>
      <c r="BE273" s="1" t="s">
        <v>5102</v>
      </c>
      <c r="BF273" s="1" t="str">
        <f aca="false">HYPERLINK("http://dx.doi.org/10.1016/j.jss.2021.110944","http://dx.doi.org/10.1016/j.jss.2021.110944")</f>
        <v>http://dx.doi.org/10.1016/j.jss.2021.110944</v>
      </c>
      <c r="BG273" s="1"/>
      <c r="BH273" s="1" t="s">
        <v>1749</v>
      </c>
      <c r="BI273" s="1" t="n">
        <v>20</v>
      </c>
      <c r="BJ273" s="1" t="s">
        <v>994</v>
      </c>
      <c r="BK273" s="1" t="s">
        <v>204</v>
      </c>
      <c r="BL273" s="1" t="s">
        <v>101</v>
      </c>
      <c r="BM273" s="1" t="s">
        <v>5103</v>
      </c>
      <c r="BN273" s="1"/>
      <c r="BO273" s="1" t="s">
        <v>207</v>
      </c>
      <c r="BP273" s="1"/>
      <c r="BQ273" s="1"/>
      <c r="BR273" s="1" t="s">
        <v>103</v>
      </c>
      <c r="BS273" s="1" t="s">
        <v>5104</v>
      </c>
      <c r="BT273" s="1" t="str">
        <f aca="false">HYPERLINK("https%3A%2F%2Fwww.webofscience.com%2Fwos%2Fwoscc%2Ffull-record%2FWOS:000641355800005","View Full Record in Web of Science")</f>
        <v>View Full Record in Web of Science</v>
      </c>
    </row>
    <row r="274" customFormat="false" ht="12.75" hidden="false" customHeight="false" outlineLevel="0" collapsed="false">
      <c r="A274" s="1" t="s">
        <v>181</v>
      </c>
      <c r="B274" s="1" t="s">
        <v>5105</v>
      </c>
      <c r="C274" s="1"/>
      <c r="D274" s="1"/>
      <c r="E274" s="1"/>
      <c r="F274" s="1" t="s">
        <v>5106</v>
      </c>
      <c r="G274" s="1"/>
      <c r="H274" s="1"/>
      <c r="I274" s="1" t="s">
        <v>5107</v>
      </c>
      <c r="J274" s="1" t="s">
        <v>232</v>
      </c>
      <c r="K274" s="1"/>
      <c r="L274" s="1"/>
      <c r="M274" s="1" t="s">
        <v>78</v>
      </c>
      <c r="N274" s="1" t="s">
        <v>186</v>
      </c>
      <c r="O274" s="1"/>
      <c r="P274" s="1"/>
      <c r="Q274" s="1"/>
      <c r="R274" s="1"/>
      <c r="S274" s="1"/>
      <c r="T274" s="1" t="s">
        <v>5108</v>
      </c>
      <c r="U274" s="1" t="s">
        <v>5109</v>
      </c>
      <c r="V274" s="1" t="s">
        <v>5110</v>
      </c>
      <c r="W274" s="1" t="s">
        <v>5111</v>
      </c>
      <c r="X274" s="1" t="s">
        <v>86</v>
      </c>
      <c r="Y274" s="1" t="s">
        <v>5112</v>
      </c>
      <c r="Z274" s="1" t="s">
        <v>5113</v>
      </c>
      <c r="AA274" s="1"/>
      <c r="AB274" s="1"/>
      <c r="AC274" s="1"/>
      <c r="AD274" s="1"/>
      <c r="AE274" s="1"/>
      <c r="AF274" s="1"/>
      <c r="AG274" s="1" t="n">
        <v>88</v>
      </c>
      <c r="AH274" s="1" t="n">
        <v>0</v>
      </c>
      <c r="AI274" s="1" t="n">
        <v>0</v>
      </c>
      <c r="AJ274" s="1" t="n">
        <v>1</v>
      </c>
      <c r="AK274" s="1" t="n">
        <v>3</v>
      </c>
      <c r="AL274" s="1" t="s">
        <v>244</v>
      </c>
      <c r="AM274" s="1" t="s">
        <v>245</v>
      </c>
      <c r="AN274" s="1" t="s">
        <v>246</v>
      </c>
      <c r="AO274" s="1" t="s">
        <v>247</v>
      </c>
      <c r="AP274" s="1" t="s">
        <v>248</v>
      </c>
      <c r="AQ274" s="1"/>
      <c r="AR274" s="1" t="s">
        <v>249</v>
      </c>
      <c r="AS274" s="1" t="s">
        <v>250</v>
      </c>
      <c r="AT274" s="1"/>
      <c r="AU274" s="1" t="n">
        <v>2021</v>
      </c>
      <c r="AV274" s="1" t="n">
        <v>15</v>
      </c>
      <c r="AW274" s="1" t="n">
        <v>1</v>
      </c>
      <c r="AX274" s="1"/>
      <c r="AY274" s="1"/>
      <c r="AZ274" s="1"/>
      <c r="BA274" s="1"/>
      <c r="BB274" s="1" t="n">
        <v>133</v>
      </c>
      <c r="BC274" s="1" t="n">
        <v>162</v>
      </c>
      <c r="BD274" s="1"/>
      <c r="BE274" s="1" t="s">
        <v>5114</v>
      </c>
      <c r="BF274" s="1" t="str">
        <f aca="false">HYPERLINK("http://dx.doi.org/10.37190/e-Inf210107","http://dx.doi.org/10.37190/e-Inf210107")</f>
        <v>http://dx.doi.org/10.37190/e-Inf210107</v>
      </c>
      <c r="BG274" s="1"/>
      <c r="BH274" s="1"/>
      <c r="BI274" s="1" t="n">
        <v>30</v>
      </c>
      <c r="BJ274" s="1" t="s">
        <v>252</v>
      </c>
      <c r="BK274" s="1" t="s">
        <v>253</v>
      </c>
      <c r="BL274" s="1" t="s">
        <v>101</v>
      </c>
      <c r="BM274" s="1" t="s">
        <v>5115</v>
      </c>
      <c r="BN274" s="1"/>
      <c r="BO274" s="1" t="s">
        <v>227</v>
      </c>
      <c r="BP274" s="1"/>
      <c r="BQ274" s="1"/>
      <c r="BR274" s="1" t="s">
        <v>103</v>
      </c>
      <c r="BS274" s="1" t="s">
        <v>5116</v>
      </c>
      <c r="BT274" s="1" t="str">
        <f aca="false">HYPERLINK("https%3A%2F%2Fwww.webofscience.com%2Fwos%2Fwoscc%2Ffull-record%2FWOS:000711485700001","View Full Record in Web of Science")</f>
        <v>View Full Record in Web of Science</v>
      </c>
    </row>
    <row r="275" customFormat="false" ht="12.75" hidden="false" customHeight="false" outlineLevel="0" collapsed="false">
      <c r="A275" s="1" t="s">
        <v>181</v>
      </c>
      <c r="B275" s="1" t="s">
        <v>5117</v>
      </c>
      <c r="C275" s="1"/>
      <c r="D275" s="1"/>
      <c r="E275" s="1"/>
      <c r="F275" s="1" t="s">
        <v>5118</v>
      </c>
      <c r="G275" s="1"/>
      <c r="H275" s="1"/>
      <c r="I275" s="1" t="s">
        <v>5119</v>
      </c>
      <c r="J275" s="1" t="s">
        <v>5120</v>
      </c>
      <c r="K275" s="1"/>
      <c r="L275" s="1"/>
      <c r="M275" s="1" t="s">
        <v>78</v>
      </c>
      <c r="N275" s="1" t="s">
        <v>186</v>
      </c>
      <c r="O275" s="1"/>
      <c r="P275" s="1"/>
      <c r="Q275" s="1"/>
      <c r="R275" s="1"/>
      <c r="S275" s="1"/>
      <c r="T275" s="1" t="s">
        <v>5121</v>
      </c>
      <c r="U275" s="1"/>
      <c r="V275" s="1" t="s">
        <v>5122</v>
      </c>
      <c r="W275" s="1" t="s">
        <v>5123</v>
      </c>
      <c r="X275" s="1" t="s">
        <v>5124</v>
      </c>
      <c r="Y275" s="1" t="s">
        <v>5125</v>
      </c>
      <c r="Z275" s="1" t="s">
        <v>5126</v>
      </c>
      <c r="AA275" s="1"/>
      <c r="AB275" s="1"/>
      <c r="AC275" s="1"/>
      <c r="AD275" s="1"/>
      <c r="AE275" s="1"/>
      <c r="AF275" s="1"/>
      <c r="AG275" s="1" t="n">
        <v>6</v>
      </c>
      <c r="AH275" s="1" t="n">
        <v>0</v>
      </c>
      <c r="AI275" s="1" t="n">
        <v>0</v>
      </c>
      <c r="AJ275" s="1" t="n">
        <v>3</v>
      </c>
      <c r="AK275" s="1" t="n">
        <v>3</v>
      </c>
      <c r="AL275" s="1" t="s">
        <v>5127</v>
      </c>
      <c r="AM275" s="1" t="s">
        <v>5128</v>
      </c>
      <c r="AN275" s="1" t="s">
        <v>5129</v>
      </c>
      <c r="AO275" s="1" t="s">
        <v>5130</v>
      </c>
      <c r="AP275" s="1" t="s">
        <v>5131</v>
      </c>
      <c r="AQ275" s="1"/>
      <c r="AR275" s="1" t="s">
        <v>5132</v>
      </c>
      <c r="AS275" s="1" t="s">
        <v>5133</v>
      </c>
      <c r="AT275" s="1"/>
      <c r="AU275" s="1" t="n">
        <v>2024</v>
      </c>
      <c r="AV275" s="1" t="n">
        <v>176</v>
      </c>
      <c r="AW275" s="1" t="n">
        <v>1</v>
      </c>
      <c r="AX275" s="1"/>
      <c r="AY275" s="1"/>
      <c r="AZ275" s="1"/>
      <c r="BA275" s="1"/>
      <c r="BB275" s="1"/>
      <c r="BC275" s="1"/>
      <c r="BD275" s="1"/>
      <c r="BE275" s="1" t="s">
        <v>5134</v>
      </c>
      <c r="BF275" s="1" t="str">
        <f aca="false">HYPERLINK("http://dx.doi.org/10.4064/cm9419-9-2024","http://dx.doi.org/10.4064/cm9419-9-2024")</f>
        <v>http://dx.doi.org/10.4064/cm9419-9-2024</v>
      </c>
      <c r="BG275" s="1"/>
      <c r="BH275" s="1" t="s">
        <v>5135</v>
      </c>
      <c r="BI275" s="1" t="n">
        <v>12</v>
      </c>
      <c r="BJ275" s="1" t="s">
        <v>280</v>
      </c>
      <c r="BK275" s="1" t="s">
        <v>204</v>
      </c>
      <c r="BL275" s="1" t="s">
        <v>280</v>
      </c>
      <c r="BM275" s="1" t="s">
        <v>5136</v>
      </c>
      <c r="BN275" s="1"/>
      <c r="BO275" s="1" t="s">
        <v>227</v>
      </c>
      <c r="BP275" s="1"/>
      <c r="BQ275" s="1"/>
      <c r="BR275" s="1" t="s">
        <v>103</v>
      </c>
      <c r="BS275" s="1" t="s">
        <v>5137</v>
      </c>
      <c r="BT275" s="1" t="str">
        <f aca="false">HYPERLINK("https%3A%2F%2Fwww.webofscience.com%2Fwos%2Fwoscc%2Ffull-record%2FWOS:001338114000001","View Full Record in Web of Science")</f>
        <v>View Full Record in Web of Science</v>
      </c>
    </row>
    <row r="276" customFormat="false" ht="12.75" hidden="false" customHeight="false" outlineLevel="0" collapsed="false">
      <c r="A276" s="1" t="s">
        <v>72</v>
      </c>
      <c r="B276" s="1" t="s">
        <v>5138</v>
      </c>
      <c r="C276" s="1"/>
      <c r="D276" s="1" t="s">
        <v>4598</v>
      </c>
      <c r="E276" s="1"/>
      <c r="F276" s="1" t="s">
        <v>5139</v>
      </c>
      <c r="G276" s="1"/>
      <c r="H276" s="1"/>
      <c r="I276" s="1" t="s">
        <v>5140</v>
      </c>
      <c r="J276" s="1" t="s">
        <v>4601</v>
      </c>
      <c r="K276" s="1" t="s">
        <v>3043</v>
      </c>
      <c r="L276" s="1"/>
      <c r="M276" s="1" t="s">
        <v>78</v>
      </c>
      <c r="N276" s="1" t="s">
        <v>79</v>
      </c>
      <c r="O276" s="1" t="s">
        <v>4602</v>
      </c>
      <c r="P276" s="1" t="s">
        <v>4603</v>
      </c>
      <c r="Q276" s="1" t="s">
        <v>4604</v>
      </c>
      <c r="R276" s="1" t="s">
        <v>1086</v>
      </c>
      <c r="S276" s="1"/>
      <c r="T276" s="1" t="s">
        <v>5141</v>
      </c>
      <c r="U276" s="1"/>
      <c r="V276" s="1" t="s">
        <v>5142</v>
      </c>
      <c r="W276" s="1" t="s">
        <v>5143</v>
      </c>
      <c r="X276" s="1" t="s">
        <v>4628</v>
      </c>
      <c r="Y276" s="1" t="s">
        <v>5144</v>
      </c>
      <c r="Z276" s="1" t="s">
        <v>5145</v>
      </c>
      <c r="AA276" s="1"/>
      <c r="AB276" s="1"/>
      <c r="AC276" s="1"/>
      <c r="AD276" s="1"/>
      <c r="AE276" s="1"/>
      <c r="AF276" s="1"/>
      <c r="AG276" s="1" t="n">
        <v>13</v>
      </c>
      <c r="AH276" s="1" t="n">
        <v>0</v>
      </c>
      <c r="AI276" s="1" t="n">
        <v>0</v>
      </c>
      <c r="AJ276" s="1" t="n">
        <v>0</v>
      </c>
      <c r="AK276" s="1" t="n">
        <v>0</v>
      </c>
      <c r="AL276" s="1" t="s">
        <v>172</v>
      </c>
      <c r="AM276" s="1" t="s">
        <v>173</v>
      </c>
      <c r="AN276" s="1" t="s">
        <v>174</v>
      </c>
      <c r="AO276" s="1" t="s">
        <v>3054</v>
      </c>
      <c r="AP276" s="1"/>
      <c r="AQ276" s="1" t="s">
        <v>4611</v>
      </c>
      <c r="AR276" s="1" t="s">
        <v>3056</v>
      </c>
      <c r="AS276" s="1"/>
      <c r="AT276" s="1"/>
      <c r="AU276" s="1" t="n">
        <v>2024</v>
      </c>
      <c r="AV276" s="1"/>
      <c r="AW276" s="1"/>
      <c r="AX276" s="1"/>
      <c r="AY276" s="1"/>
      <c r="AZ276" s="1"/>
      <c r="BA276" s="1"/>
      <c r="BB276" s="1" t="n">
        <v>520</v>
      </c>
      <c r="BC276" s="1" t="n">
        <v>524</v>
      </c>
      <c r="BD276" s="1"/>
      <c r="BE276" s="1" t="s">
        <v>5146</v>
      </c>
      <c r="BF276" s="1" t="str">
        <f aca="false">HYPERLINK("http://dx.doi.org/10.1109/RE59067.2024.00067","http://dx.doi.org/10.1109/RE59067.2024.00067")</f>
        <v>http://dx.doi.org/10.1109/RE59067.2024.00067</v>
      </c>
      <c r="BG276" s="1"/>
      <c r="BH276" s="1"/>
      <c r="BI276" s="1" t="n">
        <v>5</v>
      </c>
      <c r="BJ276" s="1" t="s">
        <v>4613</v>
      </c>
      <c r="BK276" s="1" t="s">
        <v>100</v>
      </c>
      <c r="BL276" s="1" t="s">
        <v>1255</v>
      </c>
      <c r="BM276" s="1" t="s">
        <v>4614</v>
      </c>
      <c r="BN276" s="1"/>
      <c r="BO276" s="1"/>
      <c r="BP276" s="1"/>
      <c r="BQ276" s="1"/>
      <c r="BR276" s="1" t="s">
        <v>103</v>
      </c>
      <c r="BS276" s="1" t="s">
        <v>5147</v>
      </c>
      <c r="BT276" s="1" t="str">
        <f aca="false">HYPERLINK("https%3A%2F%2Fwww.webofscience.com%2Fwos%2Fwoscc%2Ffull-record%2FWOS:001300544600060","View Full Record in Web of Science")</f>
        <v>View Full Record in Web of Science</v>
      </c>
    </row>
    <row r="277" customFormat="false" ht="12.75" hidden="false" customHeight="false" outlineLevel="0" collapsed="false">
      <c r="A277" s="1" t="s">
        <v>72</v>
      </c>
      <c r="B277" s="1" t="s">
        <v>5148</v>
      </c>
      <c r="C277" s="1"/>
      <c r="D277" s="1" t="s">
        <v>5149</v>
      </c>
      <c r="E277" s="1"/>
      <c r="F277" s="1" t="s">
        <v>5150</v>
      </c>
      <c r="G277" s="1"/>
      <c r="H277" s="1"/>
      <c r="I277" s="1" t="s">
        <v>5151</v>
      </c>
      <c r="J277" s="1" t="s">
        <v>5152</v>
      </c>
      <c r="K277" s="1" t="s">
        <v>5153</v>
      </c>
      <c r="L277" s="1"/>
      <c r="M277" s="1" t="s">
        <v>78</v>
      </c>
      <c r="N277" s="1" t="s">
        <v>79</v>
      </c>
      <c r="O277" s="1" t="s">
        <v>5154</v>
      </c>
      <c r="P277" s="1" t="s">
        <v>5155</v>
      </c>
      <c r="Q277" s="1" t="s">
        <v>5156</v>
      </c>
      <c r="R277" s="1" t="s">
        <v>5157</v>
      </c>
      <c r="S277" s="1"/>
      <c r="T277" s="1"/>
      <c r="U277" s="1" t="s">
        <v>5158</v>
      </c>
      <c r="V277" s="1" t="s">
        <v>5159</v>
      </c>
      <c r="W277" s="1" t="s">
        <v>5160</v>
      </c>
      <c r="X277" s="1" t="s">
        <v>5161</v>
      </c>
      <c r="Y277" s="1" t="s">
        <v>5162</v>
      </c>
      <c r="Z277" s="1" t="s">
        <v>5163</v>
      </c>
      <c r="AA277" s="1" t="s">
        <v>5164</v>
      </c>
      <c r="AB277" s="1" t="s">
        <v>5165</v>
      </c>
      <c r="AC277" s="1" t="s">
        <v>5166</v>
      </c>
      <c r="AD277" s="1" t="s">
        <v>5167</v>
      </c>
      <c r="AE277" s="1" t="s">
        <v>5168</v>
      </c>
      <c r="AF277" s="1"/>
      <c r="AG277" s="1" t="n">
        <v>12</v>
      </c>
      <c r="AH277" s="1" t="n">
        <v>0</v>
      </c>
      <c r="AI277" s="1" t="n">
        <v>0</v>
      </c>
      <c r="AJ277" s="1" t="n">
        <v>0</v>
      </c>
      <c r="AK277" s="1" t="n">
        <v>2</v>
      </c>
      <c r="AL277" s="1" t="s">
        <v>5169</v>
      </c>
      <c r="AM277" s="1" t="s">
        <v>5170</v>
      </c>
      <c r="AN277" s="1" t="s">
        <v>5171</v>
      </c>
      <c r="AO277" s="1" t="s">
        <v>5172</v>
      </c>
      <c r="AP277" s="1"/>
      <c r="AQ277" s="1"/>
      <c r="AR277" s="1" t="s">
        <v>5173</v>
      </c>
      <c r="AS277" s="1"/>
      <c r="AT277" s="1"/>
      <c r="AU277" s="1" t="n">
        <v>2023</v>
      </c>
      <c r="AV277" s="1" t="n">
        <v>1284</v>
      </c>
      <c r="AW277" s="1"/>
      <c r="AX277" s="1"/>
      <c r="AY277" s="1"/>
      <c r="AZ277" s="1"/>
      <c r="BA277" s="1"/>
      <c r="BB277" s="1"/>
      <c r="BC277" s="1"/>
      <c r="BD277" s="1" t="n">
        <v>12020</v>
      </c>
      <c r="BE277" s="1" t="s">
        <v>5174</v>
      </c>
      <c r="BF277" s="1" t="str">
        <f aca="false">HYPERLINK("http://dx.doi.org/10.1088/1757-899X/1284/1/012020","http://dx.doi.org/10.1088/1757-899X/1284/1/012020")</f>
        <v>http://dx.doi.org/10.1088/1757-899X/1284/1/012020</v>
      </c>
      <c r="BG277" s="1"/>
      <c r="BH277" s="1"/>
      <c r="BI277" s="1" t="n">
        <v>7</v>
      </c>
      <c r="BJ277" s="1" t="s">
        <v>5175</v>
      </c>
      <c r="BK277" s="1" t="s">
        <v>100</v>
      </c>
      <c r="BL277" s="1" t="s">
        <v>5176</v>
      </c>
      <c r="BM277" s="1" t="s">
        <v>5177</v>
      </c>
      <c r="BN277" s="1"/>
      <c r="BO277" s="1" t="s">
        <v>376</v>
      </c>
      <c r="BP277" s="1"/>
      <c r="BQ277" s="1"/>
      <c r="BR277" s="1" t="s">
        <v>103</v>
      </c>
      <c r="BS277" s="1" t="s">
        <v>5178</v>
      </c>
      <c r="BT277" s="1" t="str">
        <f aca="false">HYPERLINK("https%3A%2F%2Fwww.webofscience.com%2Fwos%2Fwoscc%2Ffull-record%2FWOS:001017824300020","View Full Record in Web of Science")</f>
        <v>View Full Record in Web of Science</v>
      </c>
    </row>
    <row r="278" customFormat="false" ht="12.75" hidden="false" customHeight="false" outlineLevel="0" collapsed="false">
      <c r="A278" s="1" t="s">
        <v>181</v>
      </c>
      <c r="B278" s="1" t="s">
        <v>5179</v>
      </c>
      <c r="C278" s="1"/>
      <c r="D278" s="1"/>
      <c r="E278" s="1"/>
      <c r="F278" s="1" t="s">
        <v>5180</v>
      </c>
      <c r="G278" s="1"/>
      <c r="H278" s="1"/>
      <c r="I278" s="1" t="s">
        <v>5181</v>
      </c>
      <c r="J278" s="1" t="s">
        <v>5182</v>
      </c>
      <c r="K278" s="1"/>
      <c r="L278" s="1"/>
      <c r="M278" s="1" t="s">
        <v>78</v>
      </c>
      <c r="N278" s="1" t="s">
        <v>186</v>
      </c>
      <c r="O278" s="1"/>
      <c r="P278" s="1"/>
      <c r="Q278" s="1"/>
      <c r="R278" s="1"/>
      <c r="S278" s="1"/>
      <c r="T278" s="1" t="s">
        <v>5183</v>
      </c>
      <c r="U278" s="1" t="s">
        <v>5184</v>
      </c>
      <c r="V278" s="1" t="s">
        <v>5185</v>
      </c>
      <c r="W278" s="1" t="s">
        <v>5186</v>
      </c>
      <c r="X278" s="1" t="s">
        <v>5124</v>
      </c>
      <c r="Y278" s="1" t="s">
        <v>5187</v>
      </c>
      <c r="Z278" s="1" t="s">
        <v>5188</v>
      </c>
      <c r="AA278" s="1" t="s">
        <v>5189</v>
      </c>
      <c r="AB278" s="1" t="s">
        <v>5190</v>
      </c>
      <c r="AC278" s="1"/>
      <c r="AD278" s="1"/>
      <c r="AE278" s="1"/>
      <c r="AF278" s="1"/>
      <c r="AG278" s="1" t="n">
        <v>23</v>
      </c>
      <c r="AH278" s="1" t="n">
        <v>0</v>
      </c>
      <c r="AI278" s="1" t="n">
        <v>0</v>
      </c>
      <c r="AJ278" s="1" t="n">
        <v>0</v>
      </c>
      <c r="AK278" s="1" t="n">
        <v>2</v>
      </c>
      <c r="AL278" s="1" t="s">
        <v>5191</v>
      </c>
      <c r="AM278" s="1" t="s">
        <v>5192</v>
      </c>
      <c r="AN278" s="1" t="s">
        <v>5193</v>
      </c>
      <c r="AO278" s="1" t="s">
        <v>5194</v>
      </c>
      <c r="AP278" s="1"/>
      <c r="AQ278" s="1"/>
      <c r="AR278" s="1" t="s">
        <v>5195</v>
      </c>
      <c r="AS278" s="1" t="s">
        <v>5196</v>
      </c>
      <c r="AT278" s="1"/>
      <c r="AU278" s="1" t="n">
        <v>2022</v>
      </c>
      <c r="AV278" s="1" t="n">
        <v>31</v>
      </c>
      <c r="AW278" s="1"/>
      <c r="AX278" s="1"/>
      <c r="AY278" s="1"/>
      <c r="AZ278" s="1"/>
      <c r="BA278" s="1"/>
      <c r="BB278" s="1" t="n">
        <v>203</v>
      </c>
      <c r="BC278" s="1" t="n">
        <v>229</v>
      </c>
      <c r="BD278" s="1"/>
      <c r="BE278" s="1" t="s">
        <v>5197</v>
      </c>
      <c r="BF278" s="1" t="str">
        <f aca="false">HYPERLINK("http://dx.doi.org/10.24330/ieja.1058430","http://dx.doi.org/10.24330/ieja.1058430")</f>
        <v>http://dx.doi.org/10.24330/ieja.1058430</v>
      </c>
      <c r="BG278" s="1"/>
      <c r="BH278" s="1"/>
      <c r="BI278" s="1" t="n">
        <v>27</v>
      </c>
      <c r="BJ278" s="1" t="s">
        <v>280</v>
      </c>
      <c r="BK278" s="1" t="s">
        <v>253</v>
      </c>
      <c r="BL278" s="1" t="s">
        <v>280</v>
      </c>
      <c r="BM278" s="1" t="s">
        <v>5198</v>
      </c>
      <c r="BN278" s="1"/>
      <c r="BO278" s="1" t="s">
        <v>376</v>
      </c>
      <c r="BP278" s="1"/>
      <c r="BQ278" s="1"/>
      <c r="BR278" s="1" t="s">
        <v>103</v>
      </c>
      <c r="BS278" s="1" t="s">
        <v>5199</v>
      </c>
      <c r="BT278" s="1" t="str">
        <f aca="false">HYPERLINK("https%3A%2F%2Fwww.webofscience.com%2Fwos%2Fwoscc%2Ffull-record%2FWOS:000747123800013","View Full Record in Web of Science")</f>
        <v>View Full Record in Web of Science</v>
      </c>
    </row>
    <row r="279" customFormat="false" ht="12.75" hidden="false" customHeight="false" outlineLevel="0" collapsed="false">
      <c r="A279" s="1" t="s">
        <v>72</v>
      </c>
      <c r="B279" s="1" t="s">
        <v>5200</v>
      </c>
      <c r="C279" s="1"/>
      <c r="D279" s="1" t="s">
        <v>972</v>
      </c>
      <c r="E279" s="1"/>
      <c r="F279" s="1" t="s">
        <v>5201</v>
      </c>
      <c r="G279" s="1"/>
      <c r="H279" s="1"/>
      <c r="I279" s="1" t="s">
        <v>5202</v>
      </c>
      <c r="J279" s="1" t="s">
        <v>975</v>
      </c>
      <c r="K279" s="1" t="s">
        <v>976</v>
      </c>
      <c r="L279" s="1"/>
      <c r="M279" s="1" t="s">
        <v>78</v>
      </c>
      <c r="N279" s="1" t="s">
        <v>79</v>
      </c>
      <c r="O279" s="1" t="s">
        <v>977</v>
      </c>
      <c r="P279" s="1" t="s">
        <v>978</v>
      </c>
      <c r="Q279" s="1" t="s">
        <v>979</v>
      </c>
      <c r="R279" s="1"/>
      <c r="S279" s="1"/>
      <c r="T279" s="1" t="s">
        <v>5203</v>
      </c>
      <c r="U279" s="1"/>
      <c r="V279" s="1" t="s">
        <v>5204</v>
      </c>
      <c r="W279" s="1" t="s">
        <v>5205</v>
      </c>
      <c r="X279" s="1" t="s">
        <v>5206</v>
      </c>
      <c r="Y279" s="1" t="s">
        <v>167</v>
      </c>
      <c r="Z279" s="1" t="s">
        <v>5207</v>
      </c>
      <c r="AA279" s="1" t="s">
        <v>5208</v>
      </c>
      <c r="AB279" s="1" t="s">
        <v>5209</v>
      </c>
      <c r="AC279" s="1" t="s">
        <v>5210</v>
      </c>
      <c r="AD279" s="1" t="s">
        <v>5210</v>
      </c>
      <c r="AE279" s="1" t="s">
        <v>5211</v>
      </c>
      <c r="AF279" s="1"/>
      <c r="AG279" s="1" t="n">
        <v>19</v>
      </c>
      <c r="AH279" s="1" t="n">
        <v>3</v>
      </c>
      <c r="AI279" s="1" t="n">
        <v>3</v>
      </c>
      <c r="AJ279" s="1" t="n">
        <v>0</v>
      </c>
      <c r="AK279" s="1" t="n">
        <v>1</v>
      </c>
      <c r="AL279" s="1" t="s">
        <v>302</v>
      </c>
      <c r="AM279" s="1" t="s">
        <v>303</v>
      </c>
      <c r="AN279" s="1" t="s">
        <v>304</v>
      </c>
      <c r="AO279" s="1" t="s">
        <v>989</v>
      </c>
      <c r="AP279" s="1" t="s">
        <v>990</v>
      </c>
      <c r="AQ279" s="1" t="s">
        <v>991</v>
      </c>
      <c r="AR279" s="1" t="s">
        <v>992</v>
      </c>
      <c r="AS279" s="1"/>
      <c r="AT279" s="1"/>
      <c r="AU279" s="1" t="n">
        <v>2022</v>
      </c>
      <c r="AV279" s="1" t="n">
        <v>13709</v>
      </c>
      <c r="AW279" s="1"/>
      <c r="AX279" s="1"/>
      <c r="AY279" s="1"/>
      <c r="AZ279" s="1"/>
      <c r="BA279" s="1"/>
      <c r="BB279" s="1" t="n">
        <v>497</v>
      </c>
      <c r="BC279" s="1" t="n">
        <v>507</v>
      </c>
      <c r="BD279" s="1"/>
      <c r="BE279" s="1" t="s">
        <v>5212</v>
      </c>
      <c r="BF279" s="1" t="str">
        <f aca="false">HYPERLINK("http://dx.doi.org/10.1007/978-3-031-21388-5_34","http://dx.doi.org/10.1007/978-3-031-21388-5_34")</f>
        <v>http://dx.doi.org/10.1007/978-3-031-21388-5_34</v>
      </c>
      <c r="BG279" s="1"/>
      <c r="BH279" s="1"/>
      <c r="BI279" s="1" t="n">
        <v>11</v>
      </c>
      <c r="BJ279" s="1" t="s">
        <v>994</v>
      </c>
      <c r="BK279" s="1" t="s">
        <v>100</v>
      </c>
      <c r="BL279" s="1" t="s">
        <v>101</v>
      </c>
      <c r="BM279" s="1" t="s">
        <v>995</v>
      </c>
      <c r="BN279" s="1"/>
      <c r="BO279" s="1"/>
      <c r="BP279" s="1"/>
      <c r="BQ279" s="1"/>
      <c r="BR279" s="1" t="s">
        <v>103</v>
      </c>
      <c r="BS279" s="1" t="s">
        <v>5213</v>
      </c>
      <c r="BT279" s="1" t="str">
        <f aca="false">HYPERLINK("https%3A%2F%2Fwww.webofscience.com%2Fwos%2Fwoscc%2Ffull-record%2FWOS:000897035000034","View Full Record in Web of Science")</f>
        <v>View Full Record in Web of Science</v>
      </c>
    </row>
    <row r="280" customFormat="false" ht="12.75" hidden="false" customHeight="false" outlineLevel="0" collapsed="false">
      <c r="A280" s="1" t="s">
        <v>72</v>
      </c>
      <c r="B280" s="1" t="s">
        <v>5214</v>
      </c>
      <c r="C280" s="1"/>
      <c r="D280" s="1" t="s">
        <v>5215</v>
      </c>
      <c r="E280" s="1"/>
      <c r="F280" s="1" t="s">
        <v>5216</v>
      </c>
      <c r="G280" s="1"/>
      <c r="H280" s="1"/>
      <c r="I280" s="1" t="s">
        <v>5217</v>
      </c>
      <c r="J280" s="1" t="s">
        <v>5218</v>
      </c>
      <c r="K280" s="1" t="s">
        <v>5219</v>
      </c>
      <c r="L280" s="1"/>
      <c r="M280" s="1" t="s">
        <v>78</v>
      </c>
      <c r="N280" s="1" t="s">
        <v>79</v>
      </c>
      <c r="O280" s="1" t="s">
        <v>5220</v>
      </c>
      <c r="P280" s="1" t="s">
        <v>5221</v>
      </c>
      <c r="Q280" s="1" t="s">
        <v>5222</v>
      </c>
      <c r="R280" s="1" t="s">
        <v>5223</v>
      </c>
      <c r="S280" s="1" t="s">
        <v>5224</v>
      </c>
      <c r="T280" s="1" t="s">
        <v>5225</v>
      </c>
      <c r="U280" s="1"/>
      <c r="V280" s="1" t="s">
        <v>5226</v>
      </c>
      <c r="W280" s="1" t="s">
        <v>5227</v>
      </c>
      <c r="X280" s="1" t="s">
        <v>5161</v>
      </c>
      <c r="Y280" s="1" t="s">
        <v>5228</v>
      </c>
      <c r="Z280" s="1" t="s">
        <v>5229</v>
      </c>
      <c r="AA280" s="1" t="s">
        <v>5230</v>
      </c>
      <c r="AB280" s="1" t="s">
        <v>5231</v>
      </c>
      <c r="AC280" s="1"/>
      <c r="AD280" s="1"/>
      <c r="AE280" s="1"/>
      <c r="AF280" s="1"/>
      <c r="AG280" s="1" t="n">
        <v>28</v>
      </c>
      <c r="AH280" s="1" t="n">
        <v>1</v>
      </c>
      <c r="AI280" s="1" t="n">
        <v>1</v>
      </c>
      <c r="AJ280" s="1" t="n">
        <v>0</v>
      </c>
      <c r="AK280" s="1" t="n">
        <v>0</v>
      </c>
      <c r="AL280" s="1" t="s">
        <v>5232</v>
      </c>
      <c r="AM280" s="1" t="s">
        <v>894</v>
      </c>
      <c r="AN280" s="1" t="s">
        <v>5233</v>
      </c>
      <c r="AO280" s="1" t="s">
        <v>5234</v>
      </c>
      <c r="AP280" s="1"/>
      <c r="AQ280" s="1" t="s">
        <v>5235</v>
      </c>
      <c r="AR280" s="1" t="s">
        <v>5236</v>
      </c>
      <c r="AS280" s="1"/>
      <c r="AT280" s="1"/>
      <c r="AU280" s="1" t="n">
        <v>2020</v>
      </c>
      <c r="AV280" s="1" t="n">
        <v>13</v>
      </c>
      <c r="AW280" s="1"/>
      <c r="AX280" s="1"/>
      <c r="AY280" s="1"/>
      <c r="AZ280" s="1"/>
      <c r="BA280" s="1"/>
      <c r="BB280" s="1" t="n">
        <v>367</v>
      </c>
      <c r="BC280" s="1" t="n">
        <v>377</v>
      </c>
      <c r="BD280" s="1"/>
      <c r="BE280" s="1" t="s">
        <v>5237</v>
      </c>
      <c r="BF280" s="1" t="str">
        <f aca="false">HYPERLINK("http://dx.doi.org/10.3233/ATDE200174","http://dx.doi.org/10.3233/ATDE200174")</f>
        <v>http://dx.doi.org/10.3233/ATDE200174</v>
      </c>
      <c r="BG280" s="1"/>
      <c r="BH280" s="1"/>
      <c r="BI280" s="1" t="n">
        <v>11</v>
      </c>
      <c r="BJ280" s="1" t="s">
        <v>5238</v>
      </c>
      <c r="BK280" s="1" t="s">
        <v>100</v>
      </c>
      <c r="BL280" s="1" t="s">
        <v>5239</v>
      </c>
      <c r="BM280" s="1" t="s">
        <v>5240</v>
      </c>
      <c r="BN280" s="1"/>
      <c r="BO280" s="1" t="s">
        <v>1209</v>
      </c>
      <c r="BP280" s="1"/>
      <c r="BQ280" s="1"/>
      <c r="BR280" s="1" t="s">
        <v>103</v>
      </c>
      <c r="BS280" s="1" t="s">
        <v>5241</v>
      </c>
      <c r="BT280" s="1" t="str">
        <f aca="false">HYPERLINK("https%3A%2F%2Fwww.webofscience.com%2Fwos%2Fwoscc%2Ffull-record%2FWOS:001180173900032","View Full Record in Web of Science")</f>
        <v>View Full Record in Web of Science</v>
      </c>
    </row>
    <row r="281" customFormat="false" ht="12.75" hidden="false" customHeight="false" outlineLevel="0" collapsed="false">
      <c r="A281" s="1" t="s">
        <v>72</v>
      </c>
      <c r="B281" s="1" t="s">
        <v>5242</v>
      </c>
      <c r="C281" s="1"/>
      <c r="D281" s="1" t="s">
        <v>5243</v>
      </c>
      <c r="E281" s="1"/>
      <c r="F281" s="1" t="s">
        <v>5244</v>
      </c>
      <c r="G281" s="1"/>
      <c r="H281" s="1"/>
      <c r="I281" s="1" t="s">
        <v>5245</v>
      </c>
      <c r="J281" s="1" t="s">
        <v>5246</v>
      </c>
      <c r="K281" s="1" t="s">
        <v>5153</v>
      </c>
      <c r="L281" s="1"/>
      <c r="M281" s="1" t="s">
        <v>78</v>
      </c>
      <c r="N281" s="1" t="s">
        <v>79</v>
      </c>
      <c r="O281" s="1" t="s">
        <v>5247</v>
      </c>
      <c r="P281" s="1" t="s">
        <v>5248</v>
      </c>
      <c r="Q281" s="1" t="s">
        <v>82</v>
      </c>
      <c r="R281" s="1" t="s">
        <v>5249</v>
      </c>
      <c r="S281" s="1"/>
      <c r="T281" s="1"/>
      <c r="U281" s="1"/>
      <c r="V281" s="1" t="s">
        <v>5250</v>
      </c>
      <c r="W281" s="1" t="s">
        <v>5251</v>
      </c>
      <c r="X281" s="1" t="s">
        <v>86</v>
      </c>
      <c r="Y281" s="1" t="s">
        <v>5252</v>
      </c>
      <c r="Z281" s="1" t="s">
        <v>5253</v>
      </c>
      <c r="AA281" s="1" t="s">
        <v>5254</v>
      </c>
      <c r="AB281" s="1"/>
      <c r="AC281" s="1" t="s">
        <v>5255</v>
      </c>
      <c r="AD281" s="1" t="s">
        <v>5256</v>
      </c>
      <c r="AE281" s="1" t="s">
        <v>5257</v>
      </c>
      <c r="AF281" s="1"/>
      <c r="AG281" s="1" t="n">
        <v>8</v>
      </c>
      <c r="AH281" s="1" t="n">
        <v>0</v>
      </c>
      <c r="AI281" s="1" t="n">
        <v>0</v>
      </c>
      <c r="AJ281" s="1" t="n">
        <v>0</v>
      </c>
      <c r="AK281" s="1" t="n">
        <v>0</v>
      </c>
      <c r="AL281" s="1" t="s">
        <v>5169</v>
      </c>
      <c r="AM281" s="1" t="s">
        <v>5170</v>
      </c>
      <c r="AN281" s="1" t="s">
        <v>5171</v>
      </c>
      <c r="AO281" s="1" t="s">
        <v>5172</v>
      </c>
      <c r="AP281" s="1"/>
      <c r="AQ281" s="1"/>
      <c r="AR281" s="1" t="s">
        <v>5173</v>
      </c>
      <c r="AS281" s="1"/>
      <c r="AT281" s="1"/>
      <c r="AU281" s="1" t="n">
        <v>2024</v>
      </c>
      <c r="AV281" s="1" t="n">
        <v>1307</v>
      </c>
      <c r="AW281" s="1"/>
      <c r="AX281" s="1"/>
      <c r="AY281" s="1"/>
      <c r="AZ281" s="1"/>
      <c r="BA281" s="1"/>
      <c r="BB281" s="1"/>
      <c r="BC281" s="1"/>
      <c r="BD281" s="1" t="n">
        <v>12004</v>
      </c>
      <c r="BE281" s="1" t="s">
        <v>5258</v>
      </c>
      <c r="BF281" s="1" t="str">
        <f aca="false">HYPERLINK("http://dx.doi.org/10.1088/1757-899X/1307/1/012004","http://dx.doi.org/10.1088/1757-899X/1307/1/012004")</f>
        <v>http://dx.doi.org/10.1088/1757-899X/1307/1/012004</v>
      </c>
      <c r="BG281" s="1"/>
      <c r="BH281" s="1"/>
      <c r="BI281" s="1" t="n">
        <v>8</v>
      </c>
      <c r="BJ281" s="1" t="s">
        <v>5175</v>
      </c>
      <c r="BK281" s="1" t="s">
        <v>100</v>
      </c>
      <c r="BL281" s="1" t="s">
        <v>5176</v>
      </c>
      <c r="BM281" s="1" t="s">
        <v>5259</v>
      </c>
      <c r="BN281" s="1"/>
      <c r="BO281" s="1" t="s">
        <v>376</v>
      </c>
      <c r="BP281" s="1"/>
      <c r="BQ281" s="1"/>
      <c r="BR281" s="1" t="s">
        <v>103</v>
      </c>
      <c r="BS281" s="1" t="s">
        <v>5260</v>
      </c>
      <c r="BT281" s="1" t="str">
        <f aca="false">HYPERLINK("https%3A%2F%2Fwww.webofscience.com%2Fwos%2Fwoscc%2Ffull-record%2FWOS:001245186500004","View Full Record in Web of Science")</f>
        <v>View Full Record in Web of Science</v>
      </c>
    </row>
    <row r="282" customFormat="false" ht="12.75" hidden="false" customHeight="false" outlineLevel="0" collapsed="false">
      <c r="A282" s="1" t="s">
        <v>72</v>
      </c>
      <c r="B282" s="1" t="s">
        <v>5261</v>
      </c>
      <c r="C282" s="1"/>
      <c r="D282" s="1" t="s">
        <v>5262</v>
      </c>
      <c r="E282" s="1"/>
      <c r="F282" s="1" t="s">
        <v>5263</v>
      </c>
      <c r="G282" s="1"/>
      <c r="H282" s="1"/>
      <c r="I282" s="1" t="s">
        <v>5264</v>
      </c>
      <c r="J282" s="1" t="s">
        <v>5265</v>
      </c>
      <c r="K282" s="1" t="s">
        <v>5266</v>
      </c>
      <c r="L282" s="1"/>
      <c r="M282" s="1" t="s">
        <v>78</v>
      </c>
      <c r="N282" s="1" t="s">
        <v>79</v>
      </c>
      <c r="O282" s="1" t="s">
        <v>5267</v>
      </c>
      <c r="P282" s="1" t="s">
        <v>5268</v>
      </c>
      <c r="Q282" s="1" t="s">
        <v>5269</v>
      </c>
      <c r="R282" s="1" t="s">
        <v>5270</v>
      </c>
      <c r="S282" s="1"/>
      <c r="T282" s="1" t="s">
        <v>5271</v>
      </c>
      <c r="U282" s="1"/>
      <c r="V282" s="1" t="s">
        <v>5272</v>
      </c>
      <c r="W282" s="1" t="s">
        <v>5273</v>
      </c>
      <c r="X282" s="1" t="s">
        <v>5274</v>
      </c>
      <c r="Y282" s="1" t="s">
        <v>5275</v>
      </c>
      <c r="Z282" s="1" t="s">
        <v>5276</v>
      </c>
      <c r="AA282" s="1" t="s">
        <v>5277</v>
      </c>
      <c r="AB282" s="1" t="s">
        <v>5278</v>
      </c>
      <c r="AC282" s="1" t="s">
        <v>5279</v>
      </c>
      <c r="AD282" s="1" t="s">
        <v>5280</v>
      </c>
      <c r="AE282" s="1" t="s">
        <v>5281</v>
      </c>
      <c r="AF282" s="1"/>
      <c r="AG282" s="1" t="n">
        <v>23</v>
      </c>
      <c r="AH282" s="1" t="n">
        <v>3</v>
      </c>
      <c r="AI282" s="1" t="n">
        <v>3</v>
      </c>
      <c r="AJ282" s="1" t="n">
        <v>0</v>
      </c>
      <c r="AK282" s="1" t="n">
        <v>1</v>
      </c>
      <c r="AL282" s="1" t="s">
        <v>94</v>
      </c>
      <c r="AM282" s="1" t="s">
        <v>95</v>
      </c>
      <c r="AN282" s="1" t="s">
        <v>96</v>
      </c>
      <c r="AO282" s="1" t="s">
        <v>5282</v>
      </c>
      <c r="AP282" s="1"/>
      <c r="AQ282" s="1" t="s">
        <v>5283</v>
      </c>
      <c r="AR282" s="1" t="s">
        <v>5284</v>
      </c>
      <c r="AS282" s="1"/>
      <c r="AT282" s="1"/>
      <c r="AU282" s="1" t="n">
        <v>2022</v>
      </c>
      <c r="AV282" s="1"/>
      <c r="AW282" s="1"/>
      <c r="AX282" s="1"/>
      <c r="AY282" s="1"/>
      <c r="AZ282" s="1"/>
      <c r="BA282" s="1"/>
      <c r="BB282" s="1" t="n">
        <v>195</v>
      </c>
      <c r="BC282" s="1" t="n">
        <v>204</v>
      </c>
      <c r="BD282" s="1"/>
      <c r="BE282" s="1" t="s">
        <v>5285</v>
      </c>
      <c r="BF282" s="1" t="str">
        <f aca="false">HYPERLINK("http://dx.doi.org/10.1145/3544902.3546254","http://dx.doi.org/10.1145/3544902.3546254")</f>
        <v>http://dx.doi.org/10.1145/3544902.3546254</v>
      </c>
      <c r="BG282" s="1"/>
      <c r="BH282" s="1"/>
      <c r="BI282" s="1" t="n">
        <v>10</v>
      </c>
      <c r="BJ282" s="1" t="s">
        <v>994</v>
      </c>
      <c r="BK282" s="1" t="s">
        <v>100</v>
      </c>
      <c r="BL282" s="1" t="s">
        <v>101</v>
      </c>
      <c r="BM282" s="1" t="s">
        <v>5286</v>
      </c>
      <c r="BN282" s="1"/>
      <c r="BO282" s="1" t="s">
        <v>5287</v>
      </c>
      <c r="BP282" s="1"/>
      <c r="BQ282" s="1"/>
      <c r="BR282" s="1" t="s">
        <v>103</v>
      </c>
      <c r="BS282" s="1" t="s">
        <v>5288</v>
      </c>
      <c r="BT282" s="1" t="str">
        <f aca="false">HYPERLINK("https%3A%2F%2Fwww.webofscience.com%2Fwos%2Fwoscc%2Ffull-record%2FWOS:001139214400018","View Full Record in Web of Science")</f>
        <v>View Full Record in Web of Science</v>
      </c>
    </row>
    <row r="283" customFormat="false" ht="12.75" hidden="false" customHeight="false" outlineLevel="0" collapsed="false">
      <c r="A283" s="1" t="s">
        <v>181</v>
      </c>
      <c r="B283" s="1" t="s">
        <v>5289</v>
      </c>
      <c r="C283" s="1"/>
      <c r="D283" s="1"/>
      <c r="E283" s="1"/>
      <c r="F283" s="1" t="s">
        <v>5290</v>
      </c>
      <c r="G283" s="1"/>
      <c r="H283" s="1"/>
      <c r="I283" s="1" t="s">
        <v>5291</v>
      </c>
      <c r="J283" s="1" t="s">
        <v>1378</v>
      </c>
      <c r="K283" s="1"/>
      <c r="L283" s="1"/>
      <c r="M283" s="1" t="s">
        <v>78</v>
      </c>
      <c r="N283" s="1" t="s">
        <v>186</v>
      </c>
      <c r="O283" s="1"/>
      <c r="P283" s="1"/>
      <c r="Q283" s="1"/>
      <c r="R283" s="1"/>
      <c r="S283" s="1"/>
      <c r="T283" s="1" t="s">
        <v>5292</v>
      </c>
      <c r="U283" s="1" t="s">
        <v>5293</v>
      </c>
      <c r="V283" s="1" t="s">
        <v>5294</v>
      </c>
      <c r="W283" s="1" t="s">
        <v>5295</v>
      </c>
      <c r="X283" s="1" t="s">
        <v>5206</v>
      </c>
      <c r="Y283" s="1" t="s">
        <v>2726</v>
      </c>
      <c r="Z283" s="1" t="s">
        <v>5296</v>
      </c>
      <c r="AA283" s="1" t="s">
        <v>5297</v>
      </c>
      <c r="AB283" s="1" t="s">
        <v>5298</v>
      </c>
      <c r="AC283" s="1" t="s">
        <v>5299</v>
      </c>
      <c r="AD283" s="1" t="s">
        <v>5299</v>
      </c>
      <c r="AE283" s="1" t="s">
        <v>5300</v>
      </c>
      <c r="AF283" s="1"/>
      <c r="AG283" s="1" t="n">
        <v>93</v>
      </c>
      <c r="AH283" s="1" t="n">
        <v>19</v>
      </c>
      <c r="AI283" s="1" t="n">
        <v>27</v>
      </c>
      <c r="AJ283" s="1" t="n">
        <v>6</v>
      </c>
      <c r="AK283" s="1" t="n">
        <v>27</v>
      </c>
      <c r="AL283" s="1" t="s">
        <v>893</v>
      </c>
      <c r="AM283" s="1" t="s">
        <v>894</v>
      </c>
      <c r="AN283" s="1" t="s">
        <v>895</v>
      </c>
      <c r="AO283" s="1" t="s">
        <v>1387</v>
      </c>
      <c r="AP283" s="1" t="s">
        <v>1388</v>
      </c>
      <c r="AQ283" s="1"/>
      <c r="AR283" s="1" t="s">
        <v>1389</v>
      </c>
      <c r="AS283" s="1" t="s">
        <v>1390</v>
      </c>
      <c r="AT283" s="1" t="s">
        <v>372</v>
      </c>
      <c r="AU283" s="1" t="n">
        <v>2021</v>
      </c>
      <c r="AV283" s="1" t="n">
        <v>140</v>
      </c>
      <c r="AW283" s="1"/>
      <c r="AX283" s="1"/>
      <c r="AY283" s="1"/>
      <c r="AZ283" s="1"/>
      <c r="BA283" s="1"/>
      <c r="BB283" s="1"/>
      <c r="BC283" s="1"/>
      <c r="BD283" s="1" t="n">
        <v>106678</v>
      </c>
      <c r="BE283" s="1" t="s">
        <v>5301</v>
      </c>
      <c r="BF283" s="1" t="str">
        <f aca="false">HYPERLINK("http://dx.doi.org/10.1016/j.infsof.2021.106678","http://dx.doi.org/10.1016/j.infsof.2021.106678")</f>
        <v>http://dx.doi.org/10.1016/j.infsof.2021.106678</v>
      </c>
      <c r="BG283" s="1"/>
      <c r="BH283" s="1" t="s">
        <v>1371</v>
      </c>
      <c r="BI283" s="1" t="n">
        <v>14</v>
      </c>
      <c r="BJ283" s="1" t="s">
        <v>1394</v>
      </c>
      <c r="BK283" s="1" t="s">
        <v>398</v>
      </c>
      <c r="BL283" s="1" t="s">
        <v>101</v>
      </c>
      <c r="BM283" s="1" t="s">
        <v>5302</v>
      </c>
      <c r="BN283" s="1"/>
      <c r="BO283" s="1" t="s">
        <v>207</v>
      </c>
      <c r="BP283" s="1"/>
      <c r="BQ283" s="1"/>
      <c r="BR283" s="1" t="s">
        <v>103</v>
      </c>
      <c r="BS283" s="1" t="s">
        <v>5303</v>
      </c>
      <c r="BT283" s="1" t="str">
        <f aca="false">HYPERLINK("https%3A%2F%2Fwww.webofscience.com%2Fwos%2Fwoscc%2Ffull-record%2FWOS:000701752600002","View Full Record in Web of Science")</f>
        <v>View Full Record in Web of Science</v>
      </c>
    </row>
    <row r="284" customFormat="false" ht="12.75" hidden="false" customHeight="false" outlineLevel="0" collapsed="false">
      <c r="A284" s="1" t="s">
        <v>181</v>
      </c>
      <c r="B284" s="1" t="s">
        <v>5304</v>
      </c>
      <c r="C284" s="1"/>
      <c r="D284" s="1"/>
      <c r="E284" s="1"/>
      <c r="F284" s="1" t="s">
        <v>5305</v>
      </c>
      <c r="G284" s="1"/>
      <c r="H284" s="1"/>
      <c r="I284" s="1" t="s">
        <v>5306</v>
      </c>
      <c r="J284" s="1" t="s">
        <v>5307</v>
      </c>
      <c r="K284" s="1"/>
      <c r="L284" s="1"/>
      <c r="M284" s="1" t="s">
        <v>78</v>
      </c>
      <c r="N284" s="1" t="s">
        <v>186</v>
      </c>
      <c r="O284" s="1"/>
      <c r="P284" s="1"/>
      <c r="Q284" s="1"/>
      <c r="R284" s="1"/>
      <c r="S284" s="1"/>
      <c r="T284" s="1"/>
      <c r="U284" s="1"/>
      <c r="V284" s="1" t="s">
        <v>5308</v>
      </c>
      <c r="W284" s="1" t="s">
        <v>5309</v>
      </c>
      <c r="X284" s="1" t="s">
        <v>5310</v>
      </c>
      <c r="Y284" s="1" t="s">
        <v>5311</v>
      </c>
      <c r="Z284" s="1" t="s">
        <v>5312</v>
      </c>
      <c r="AA284" s="1" t="s">
        <v>1985</v>
      </c>
      <c r="AB284" s="1" t="s">
        <v>5313</v>
      </c>
      <c r="AC284" s="1" t="s">
        <v>5314</v>
      </c>
      <c r="AD284" s="1" t="s">
        <v>5315</v>
      </c>
      <c r="AE284" s="1" t="s">
        <v>5316</v>
      </c>
      <c r="AF284" s="1"/>
      <c r="AG284" s="1" t="n">
        <v>19</v>
      </c>
      <c r="AH284" s="1" t="n">
        <v>3</v>
      </c>
      <c r="AI284" s="1" t="n">
        <v>4</v>
      </c>
      <c r="AJ284" s="1" t="n">
        <v>1</v>
      </c>
      <c r="AK284" s="1" t="n">
        <v>19</v>
      </c>
      <c r="AL284" s="1" t="s">
        <v>1907</v>
      </c>
      <c r="AM284" s="1" t="s">
        <v>1908</v>
      </c>
      <c r="AN284" s="1" t="s">
        <v>1909</v>
      </c>
      <c r="AO284" s="1" t="s">
        <v>5317</v>
      </c>
      <c r="AP284" s="1" t="s">
        <v>5318</v>
      </c>
      <c r="AQ284" s="1"/>
      <c r="AR284" s="1" t="s">
        <v>5319</v>
      </c>
      <c r="AS284" s="1" t="s">
        <v>5320</v>
      </c>
      <c r="AT284" s="1" t="s">
        <v>5321</v>
      </c>
      <c r="AU284" s="1" t="n">
        <v>2021</v>
      </c>
      <c r="AV284" s="1" t="n">
        <v>2021</v>
      </c>
      <c r="AW284" s="1"/>
      <c r="AX284" s="1"/>
      <c r="AY284" s="1"/>
      <c r="AZ284" s="1"/>
      <c r="BA284" s="1"/>
      <c r="BB284" s="1"/>
      <c r="BC284" s="1"/>
      <c r="BD284" s="1" t="n">
        <v>6694084</v>
      </c>
      <c r="BE284" s="1" t="s">
        <v>5322</v>
      </c>
      <c r="BF284" s="1" t="str">
        <f aca="false">HYPERLINK("http://dx.doi.org/10.1155/2021/6694084","http://dx.doi.org/10.1155/2021/6694084")</f>
        <v>http://dx.doi.org/10.1155/2021/6694084</v>
      </c>
      <c r="BG284" s="1"/>
      <c r="BH284" s="1"/>
      <c r="BI284" s="1" t="n">
        <v>8</v>
      </c>
      <c r="BJ284" s="1" t="s">
        <v>5323</v>
      </c>
      <c r="BK284" s="1" t="s">
        <v>204</v>
      </c>
      <c r="BL284" s="1" t="s">
        <v>5324</v>
      </c>
      <c r="BM284" s="1" t="s">
        <v>5325</v>
      </c>
      <c r="BN284" s="1"/>
      <c r="BO284" s="1" t="s">
        <v>542</v>
      </c>
      <c r="BP284" s="1"/>
      <c r="BQ284" s="1"/>
      <c r="BR284" s="1" t="s">
        <v>103</v>
      </c>
      <c r="BS284" s="1" t="s">
        <v>5326</v>
      </c>
      <c r="BT284" s="1" t="str">
        <f aca="false">HYPERLINK("https%3A%2F%2Fwww.webofscience.com%2Fwos%2Fwoscc%2Ffull-record%2FWOS:000613688800004","View Full Record in Web of Science")</f>
        <v>View Full Record in Web of Science</v>
      </c>
    </row>
    <row r="285" customFormat="false" ht="12.75" hidden="false" customHeight="false" outlineLevel="0" collapsed="false">
      <c r="A285" s="1" t="s">
        <v>72</v>
      </c>
      <c r="B285" s="1" t="s">
        <v>5327</v>
      </c>
      <c r="C285" s="1"/>
      <c r="D285" s="1"/>
      <c r="E285" s="1" t="s">
        <v>1080</v>
      </c>
      <c r="F285" s="1" t="s">
        <v>5328</v>
      </c>
      <c r="G285" s="1"/>
      <c r="H285" s="1"/>
      <c r="I285" s="1" t="s">
        <v>5329</v>
      </c>
      <c r="J285" s="1" t="s">
        <v>5330</v>
      </c>
      <c r="K285" s="1" t="s">
        <v>5331</v>
      </c>
      <c r="L285" s="1"/>
      <c r="M285" s="1" t="s">
        <v>78</v>
      </c>
      <c r="N285" s="1" t="s">
        <v>79</v>
      </c>
      <c r="O285" s="1" t="s">
        <v>5332</v>
      </c>
      <c r="P285" s="1" t="s">
        <v>4111</v>
      </c>
      <c r="Q285" s="1" t="s">
        <v>320</v>
      </c>
      <c r="R285" s="1" t="s">
        <v>5333</v>
      </c>
      <c r="S285" s="1"/>
      <c r="T285" s="1" t="s">
        <v>5334</v>
      </c>
      <c r="U285" s="1"/>
      <c r="V285" s="1" t="s">
        <v>5335</v>
      </c>
      <c r="W285" s="1" t="s">
        <v>5336</v>
      </c>
      <c r="X285" s="1" t="s">
        <v>86</v>
      </c>
      <c r="Y285" s="1" t="s">
        <v>5337</v>
      </c>
      <c r="Z285" s="1" t="s">
        <v>5338</v>
      </c>
      <c r="AA285" s="1" t="s">
        <v>5339</v>
      </c>
      <c r="AB285" s="1" t="s">
        <v>5340</v>
      </c>
      <c r="AC285" s="1" t="s">
        <v>1186</v>
      </c>
      <c r="AD285" s="1" t="s">
        <v>1186</v>
      </c>
      <c r="AE285" s="1" t="s">
        <v>5341</v>
      </c>
      <c r="AF285" s="1"/>
      <c r="AG285" s="1" t="n">
        <v>29</v>
      </c>
      <c r="AH285" s="1" t="n">
        <v>3</v>
      </c>
      <c r="AI285" s="1" t="n">
        <v>3</v>
      </c>
      <c r="AJ285" s="1" t="n">
        <v>0</v>
      </c>
      <c r="AK285" s="1" t="n">
        <v>15</v>
      </c>
      <c r="AL285" s="1" t="s">
        <v>172</v>
      </c>
      <c r="AM285" s="1" t="s">
        <v>173</v>
      </c>
      <c r="AN285" s="1" t="s">
        <v>174</v>
      </c>
      <c r="AO285" s="1" t="s">
        <v>5342</v>
      </c>
      <c r="AP285" s="1"/>
      <c r="AQ285" s="1" t="s">
        <v>5343</v>
      </c>
      <c r="AR285" s="1" t="s">
        <v>5344</v>
      </c>
      <c r="AS285" s="1"/>
      <c r="AT285" s="1"/>
      <c r="AU285" s="1" t="n">
        <v>2020</v>
      </c>
      <c r="AV285" s="1"/>
      <c r="AW285" s="1"/>
      <c r="AX285" s="1"/>
      <c r="AY285" s="1"/>
      <c r="AZ285" s="1"/>
      <c r="BA285" s="1"/>
      <c r="BB285" s="1" t="n">
        <v>561</v>
      </c>
      <c r="BC285" s="1" t="n">
        <v>572</v>
      </c>
      <c r="BD285" s="1"/>
      <c r="BE285" s="1" t="s">
        <v>5345</v>
      </c>
      <c r="BF285" s="1" t="str">
        <f aca="false">HYPERLINK("http://dx.doi.org/10.1145/3324884.3416549","http://dx.doi.org/10.1145/3324884.3416549")</f>
        <v>http://dx.doi.org/10.1145/3324884.3416549</v>
      </c>
      <c r="BG285" s="1"/>
      <c r="BH285" s="1"/>
      <c r="BI285" s="1" t="n">
        <v>12</v>
      </c>
      <c r="BJ285" s="1" t="s">
        <v>5346</v>
      </c>
      <c r="BK285" s="1" t="s">
        <v>100</v>
      </c>
      <c r="BL285" s="1" t="s">
        <v>5347</v>
      </c>
      <c r="BM285" s="1" t="s">
        <v>5348</v>
      </c>
      <c r="BN285" s="1"/>
      <c r="BO285" s="1" t="s">
        <v>1009</v>
      </c>
      <c r="BP285" s="1"/>
      <c r="BQ285" s="1"/>
      <c r="BR285" s="1" t="s">
        <v>103</v>
      </c>
      <c r="BS285" s="1" t="s">
        <v>5349</v>
      </c>
      <c r="BT285" s="1" t="str">
        <f aca="false">HYPERLINK("https%3A%2F%2Fwww.webofscience.com%2Fwos%2Fwoscc%2Ffull-record%2FWOS:000651313500048","View Full Record in Web of Science")</f>
        <v>View Full Record in Web of Science</v>
      </c>
    </row>
    <row r="286" customFormat="false" ht="12.75" hidden="false" customHeight="false" outlineLevel="0" collapsed="false">
      <c r="A286" s="1" t="s">
        <v>72</v>
      </c>
      <c r="B286" s="1" t="s">
        <v>5350</v>
      </c>
      <c r="C286" s="1"/>
      <c r="D286" s="1" t="s">
        <v>5351</v>
      </c>
      <c r="E286" s="1"/>
      <c r="F286" s="1" t="s">
        <v>5352</v>
      </c>
      <c r="G286" s="1"/>
      <c r="H286" s="1"/>
      <c r="I286" s="1" t="s">
        <v>5353</v>
      </c>
      <c r="J286" s="1" t="s">
        <v>5354</v>
      </c>
      <c r="K286" s="1" t="s">
        <v>976</v>
      </c>
      <c r="L286" s="1"/>
      <c r="M286" s="1" t="s">
        <v>78</v>
      </c>
      <c r="N286" s="1" t="s">
        <v>79</v>
      </c>
      <c r="O286" s="1" t="s">
        <v>5355</v>
      </c>
      <c r="P286" s="1" t="s">
        <v>5356</v>
      </c>
      <c r="Q286" s="1" t="s">
        <v>320</v>
      </c>
      <c r="R286" s="1" t="s">
        <v>5357</v>
      </c>
      <c r="S286" s="1"/>
      <c r="T286" s="1" t="s">
        <v>5358</v>
      </c>
      <c r="U286" s="1"/>
      <c r="V286" s="1" t="s">
        <v>5359</v>
      </c>
      <c r="W286" s="1" t="s">
        <v>5360</v>
      </c>
      <c r="X286" s="1" t="s">
        <v>5361</v>
      </c>
      <c r="Y286" s="1" t="s">
        <v>5362</v>
      </c>
      <c r="Z286" s="1" t="s">
        <v>5363</v>
      </c>
      <c r="AA286" s="1" t="s">
        <v>5364</v>
      </c>
      <c r="AB286" s="1" t="s">
        <v>5365</v>
      </c>
      <c r="AC286" s="1" t="s">
        <v>1617</v>
      </c>
      <c r="AD286" s="1" t="s">
        <v>677</v>
      </c>
      <c r="AE286" s="1" t="s">
        <v>4031</v>
      </c>
      <c r="AF286" s="1"/>
      <c r="AG286" s="1" t="n">
        <v>29</v>
      </c>
      <c r="AH286" s="1" t="n">
        <v>0</v>
      </c>
      <c r="AI286" s="1" t="n">
        <v>0</v>
      </c>
      <c r="AJ286" s="1" t="n">
        <v>0</v>
      </c>
      <c r="AK286" s="1" t="n">
        <v>0</v>
      </c>
      <c r="AL286" s="1" t="s">
        <v>302</v>
      </c>
      <c r="AM286" s="1" t="s">
        <v>303</v>
      </c>
      <c r="AN286" s="1" t="s">
        <v>304</v>
      </c>
      <c r="AO286" s="1" t="s">
        <v>989</v>
      </c>
      <c r="AP286" s="1" t="s">
        <v>990</v>
      </c>
      <c r="AQ286" s="1" t="s">
        <v>5366</v>
      </c>
      <c r="AR286" s="1" t="s">
        <v>992</v>
      </c>
      <c r="AS286" s="1"/>
      <c r="AT286" s="1"/>
      <c r="AU286" s="1" t="n">
        <v>2020</v>
      </c>
      <c r="AV286" s="1" t="n">
        <v>12116</v>
      </c>
      <c r="AW286" s="1"/>
      <c r="AX286" s="1"/>
      <c r="AY286" s="1"/>
      <c r="AZ286" s="1"/>
      <c r="BA286" s="1"/>
      <c r="BB286" s="1" t="n">
        <v>383</v>
      </c>
      <c r="BC286" s="1" t="n">
        <v>397</v>
      </c>
      <c r="BD286" s="1"/>
      <c r="BE286" s="1" t="s">
        <v>5367</v>
      </c>
      <c r="BF286" s="1" t="str">
        <f aca="false">HYPERLINK("http://dx.doi.org/10.1007/978-3-030-57058-3_27","http://dx.doi.org/10.1007/978-3-030-57058-3_27")</f>
        <v>http://dx.doi.org/10.1007/978-3-030-57058-3_27</v>
      </c>
      <c r="BG286" s="1"/>
      <c r="BH286" s="1"/>
      <c r="BI286" s="1" t="n">
        <v>15</v>
      </c>
      <c r="BJ286" s="1" t="s">
        <v>5368</v>
      </c>
      <c r="BK286" s="1" t="s">
        <v>100</v>
      </c>
      <c r="BL286" s="1" t="s">
        <v>1341</v>
      </c>
      <c r="BM286" s="1" t="s">
        <v>5369</v>
      </c>
      <c r="BN286" s="1"/>
      <c r="BO286" s="1"/>
      <c r="BP286" s="1"/>
      <c r="BQ286" s="1"/>
      <c r="BR286" s="1" t="s">
        <v>103</v>
      </c>
      <c r="BS286" s="1" t="s">
        <v>5370</v>
      </c>
      <c r="BT286" s="1" t="str">
        <f aca="false">HYPERLINK("https%3A%2F%2Fwww.webofscience.com%2Fwos%2Fwoscc%2Ffull-record%2FWOS:000885905800027","View Full Record in Web of Science")</f>
        <v>View Full Record in Web of Science</v>
      </c>
    </row>
    <row r="287" customFormat="false" ht="12.75" hidden="false" customHeight="false" outlineLevel="0" collapsed="false">
      <c r="A287" s="1" t="s">
        <v>181</v>
      </c>
      <c r="B287" s="1" t="s">
        <v>5371</v>
      </c>
      <c r="C287" s="1"/>
      <c r="D287" s="1"/>
      <c r="E287" s="1"/>
      <c r="F287" s="1" t="s">
        <v>5372</v>
      </c>
      <c r="G287" s="1"/>
      <c r="H287" s="1"/>
      <c r="I287" s="1" t="s">
        <v>5373</v>
      </c>
      <c r="J287" s="1" t="s">
        <v>5374</v>
      </c>
      <c r="K287" s="1"/>
      <c r="L287" s="1"/>
      <c r="M287" s="1" t="s">
        <v>78</v>
      </c>
      <c r="N287" s="1" t="s">
        <v>618</v>
      </c>
      <c r="O287" s="1"/>
      <c r="P287" s="1"/>
      <c r="Q287" s="1"/>
      <c r="R287" s="1"/>
      <c r="S287" s="1"/>
      <c r="T287" s="1" t="s">
        <v>5375</v>
      </c>
      <c r="U287" s="1" t="s">
        <v>5376</v>
      </c>
      <c r="V287" s="1" t="s">
        <v>5377</v>
      </c>
      <c r="W287" s="1" t="s">
        <v>5378</v>
      </c>
      <c r="X287" s="1" t="s">
        <v>5379</v>
      </c>
      <c r="Y287" s="1" t="s">
        <v>5380</v>
      </c>
      <c r="Z287" s="1" t="s">
        <v>5381</v>
      </c>
      <c r="AA287" s="1"/>
      <c r="AB287" s="1" t="s">
        <v>5382</v>
      </c>
      <c r="AC287" s="1"/>
      <c r="AD287" s="1"/>
      <c r="AE287" s="1"/>
      <c r="AF287" s="1"/>
      <c r="AG287" s="1" t="n">
        <v>137</v>
      </c>
      <c r="AH287" s="1" t="n">
        <v>0</v>
      </c>
      <c r="AI287" s="1" t="n">
        <v>0</v>
      </c>
      <c r="AJ287" s="1" t="n">
        <v>13</v>
      </c>
      <c r="AK287" s="1" t="n">
        <v>13</v>
      </c>
      <c r="AL287" s="1" t="s">
        <v>2710</v>
      </c>
      <c r="AM287" s="1" t="s">
        <v>1221</v>
      </c>
      <c r="AN287" s="1" t="s">
        <v>2711</v>
      </c>
      <c r="AO287" s="1" t="s">
        <v>5383</v>
      </c>
      <c r="AP287" s="1"/>
      <c r="AQ287" s="1"/>
      <c r="AR287" s="1" t="s">
        <v>5384</v>
      </c>
      <c r="AS287" s="1" t="s">
        <v>5385</v>
      </c>
      <c r="AT287" s="1" t="s">
        <v>5386</v>
      </c>
      <c r="AU287" s="1" t="n">
        <v>2024</v>
      </c>
      <c r="AV287" s="1" t="n">
        <v>11</v>
      </c>
      <c r="AW287" s="1" t="n">
        <v>1</v>
      </c>
      <c r="AX287" s="1"/>
      <c r="AY287" s="1"/>
      <c r="AZ287" s="1"/>
      <c r="BA287" s="1"/>
      <c r="BB287" s="1"/>
      <c r="BC287" s="1"/>
      <c r="BD287" s="1" t="n">
        <v>2399951</v>
      </c>
      <c r="BE287" s="1" t="s">
        <v>5387</v>
      </c>
      <c r="BF287" s="1" t="str">
        <f aca="false">HYPERLINK("http://dx.doi.org/10.1080/23311975.2024.2399951","http://dx.doi.org/10.1080/23311975.2024.2399951")</f>
        <v>http://dx.doi.org/10.1080/23311975.2024.2399951</v>
      </c>
      <c r="BG287" s="1"/>
      <c r="BH287" s="1"/>
      <c r="BI287" s="1" t="n">
        <v>24</v>
      </c>
      <c r="BJ287" s="1" t="s">
        <v>2298</v>
      </c>
      <c r="BK287" s="1" t="s">
        <v>253</v>
      </c>
      <c r="BL287" s="1" t="s">
        <v>715</v>
      </c>
      <c r="BM287" s="1" t="s">
        <v>5388</v>
      </c>
      <c r="BN287" s="1"/>
      <c r="BO287" s="1" t="s">
        <v>642</v>
      </c>
      <c r="BP287" s="1"/>
      <c r="BQ287" s="1"/>
      <c r="BR287" s="1" t="s">
        <v>103</v>
      </c>
      <c r="BS287" s="1" t="s">
        <v>5389</v>
      </c>
      <c r="BT287" s="1" t="str">
        <f aca="false">HYPERLINK("https%3A%2F%2Fwww.webofscience.com%2Fwos%2Fwoscc%2Ffull-record%2FWOS:001309919900001","View Full Record in Web of Science")</f>
        <v>View Full Record in Web of Science</v>
      </c>
    </row>
    <row r="288" customFormat="false" ht="12.75" hidden="false" customHeight="false" outlineLevel="0" collapsed="false">
      <c r="A288" s="1" t="s">
        <v>181</v>
      </c>
      <c r="B288" s="1" t="s">
        <v>5390</v>
      </c>
      <c r="C288" s="1"/>
      <c r="D288" s="1"/>
      <c r="E288" s="1"/>
      <c r="F288" s="1" t="s">
        <v>5391</v>
      </c>
      <c r="G288" s="1"/>
      <c r="H288" s="1"/>
      <c r="I288" s="1" t="s">
        <v>5392</v>
      </c>
      <c r="J288" s="1" t="s">
        <v>4875</v>
      </c>
      <c r="K288" s="1"/>
      <c r="L288" s="1"/>
      <c r="M288" s="1" t="s">
        <v>78</v>
      </c>
      <c r="N288" s="1" t="s">
        <v>186</v>
      </c>
      <c r="O288" s="1"/>
      <c r="P288" s="1"/>
      <c r="Q288" s="1"/>
      <c r="R288" s="1"/>
      <c r="S288" s="1"/>
      <c r="T288" s="1"/>
      <c r="U288" s="1"/>
      <c r="V288" s="1" t="s">
        <v>5393</v>
      </c>
      <c r="W288" s="1" t="s">
        <v>5394</v>
      </c>
      <c r="X288" s="1" t="s">
        <v>4809</v>
      </c>
      <c r="Y288" s="1" t="s">
        <v>5395</v>
      </c>
      <c r="Z288" s="1" t="s">
        <v>5396</v>
      </c>
      <c r="AA288" s="1"/>
      <c r="AB288" s="1"/>
      <c r="AC288" s="1" t="s">
        <v>5397</v>
      </c>
      <c r="AD288" s="1" t="s">
        <v>5398</v>
      </c>
      <c r="AE288" s="1" t="s">
        <v>5399</v>
      </c>
      <c r="AF288" s="1"/>
      <c r="AG288" s="1" t="n">
        <v>10</v>
      </c>
      <c r="AH288" s="1" t="n">
        <v>5</v>
      </c>
      <c r="AI288" s="1" t="n">
        <v>5</v>
      </c>
      <c r="AJ288" s="1" t="n">
        <v>0</v>
      </c>
      <c r="AK288" s="1" t="n">
        <v>10</v>
      </c>
      <c r="AL288" s="1" t="s">
        <v>172</v>
      </c>
      <c r="AM288" s="1" t="s">
        <v>173</v>
      </c>
      <c r="AN288" s="1" t="s">
        <v>4882</v>
      </c>
      <c r="AO288" s="1" t="s">
        <v>4883</v>
      </c>
      <c r="AP288" s="1" t="s">
        <v>4884</v>
      </c>
      <c r="AQ288" s="1"/>
      <c r="AR288" s="1" t="s">
        <v>4875</v>
      </c>
      <c r="AS288" s="1" t="s">
        <v>4885</v>
      </c>
      <c r="AT288" s="1" t="s">
        <v>474</v>
      </c>
      <c r="AU288" s="1" t="n">
        <v>2022</v>
      </c>
      <c r="AV288" s="1" t="n">
        <v>39</v>
      </c>
      <c r="AW288" s="1" t="n">
        <v>5</v>
      </c>
      <c r="AX288" s="1"/>
      <c r="AY288" s="1"/>
      <c r="AZ288" s="1"/>
      <c r="BA288" s="1"/>
      <c r="BB288" s="1" t="n">
        <v>68</v>
      </c>
      <c r="BC288" s="1" t="n">
        <v>75</v>
      </c>
      <c r="BD288" s="1"/>
      <c r="BE288" s="1" t="s">
        <v>5400</v>
      </c>
      <c r="BF288" s="1" t="str">
        <f aca="false">HYPERLINK("http://dx.doi.org/10.1109/MS.2022.3167447","http://dx.doi.org/10.1109/MS.2022.3167447")</f>
        <v>http://dx.doi.org/10.1109/MS.2022.3167447</v>
      </c>
      <c r="BG288" s="1"/>
      <c r="BH288" s="1"/>
      <c r="BI288" s="1" t="n">
        <v>8</v>
      </c>
      <c r="BJ288" s="1" t="s">
        <v>252</v>
      </c>
      <c r="BK288" s="1" t="s">
        <v>204</v>
      </c>
      <c r="BL288" s="1" t="s">
        <v>101</v>
      </c>
      <c r="BM288" s="1" t="s">
        <v>5401</v>
      </c>
      <c r="BN288" s="1"/>
      <c r="BO288" s="1" t="s">
        <v>1373</v>
      </c>
      <c r="BP288" s="1"/>
      <c r="BQ288" s="1"/>
      <c r="BR288" s="1" t="s">
        <v>103</v>
      </c>
      <c r="BS288" s="1" t="s">
        <v>5402</v>
      </c>
      <c r="BT288" s="1" t="str">
        <f aca="false">HYPERLINK("https%3A%2F%2Fwww.webofscience.com%2Fwos%2Fwoscc%2Ffull-record%2FWOS:000844129400012","View Full Record in Web of Science")</f>
        <v>View Full Record in Web of Science</v>
      </c>
    </row>
    <row r="289" customFormat="false" ht="12.75" hidden="false" customHeight="false" outlineLevel="0" collapsed="false">
      <c r="A289" s="1" t="s">
        <v>72</v>
      </c>
      <c r="B289" s="1" t="s">
        <v>5403</v>
      </c>
      <c r="C289" s="1"/>
      <c r="D289" s="1"/>
      <c r="E289" s="1" t="s">
        <v>428</v>
      </c>
      <c r="F289" s="1" t="s">
        <v>5404</v>
      </c>
      <c r="G289" s="1"/>
      <c r="H289" s="1"/>
      <c r="I289" s="1" t="s">
        <v>5405</v>
      </c>
      <c r="J289" s="1" t="s">
        <v>5406</v>
      </c>
      <c r="K289" s="1"/>
      <c r="L289" s="1"/>
      <c r="M289" s="1" t="s">
        <v>78</v>
      </c>
      <c r="N289" s="1" t="s">
        <v>79</v>
      </c>
      <c r="O289" s="1" t="s">
        <v>5407</v>
      </c>
      <c r="P289" s="1" t="s">
        <v>5408</v>
      </c>
      <c r="Q289" s="1" t="s">
        <v>292</v>
      </c>
      <c r="R289" s="1" t="s">
        <v>2485</v>
      </c>
      <c r="S289" s="1"/>
      <c r="T289" s="1" t="s">
        <v>5409</v>
      </c>
      <c r="U289" s="1"/>
      <c r="V289" s="1" t="s">
        <v>5410</v>
      </c>
      <c r="W289" s="1" t="s">
        <v>5411</v>
      </c>
      <c r="X289" s="1" t="s">
        <v>4809</v>
      </c>
      <c r="Y289" s="1" t="s">
        <v>5412</v>
      </c>
      <c r="Z289" s="1" t="s">
        <v>5413</v>
      </c>
      <c r="AA289" s="1" t="s">
        <v>239</v>
      </c>
      <c r="AB289" s="1"/>
      <c r="AC289" s="1" t="s">
        <v>5414</v>
      </c>
      <c r="AD289" s="1" t="s">
        <v>5415</v>
      </c>
      <c r="AE289" s="1" t="s">
        <v>5416</v>
      </c>
      <c r="AF289" s="1"/>
      <c r="AG289" s="1" t="n">
        <v>41</v>
      </c>
      <c r="AH289" s="1" t="n">
        <v>0</v>
      </c>
      <c r="AI289" s="1" t="n">
        <v>0</v>
      </c>
      <c r="AJ289" s="1" t="n">
        <v>0</v>
      </c>
      <c r="AK289" s="1" t="n">
        <v>0</v>
      </c>
      <c r="AL289" s="1" t="s">
        <v>94</v>
      </c>
      <c r="AM289" s="1" t="s">
        <v>95</v>
      </c>
      <c r="AN289" s="1" t="s">
        <v>96</v>
      </c>
      <c r="AO289" s="1"/>
      <c r="AP289" s="1"/>
      <c r="AQ289" s="1" t="s">
        <v>5417</v>
      </c>
      <c r="AR289" s="1"/>
      <c r="AS289" s="1"/>
      <c r="AT289" s="1"/>
      <c r="AU289" s="1" t="n">
        <v>2024</v>
      </c>
      <c r="AV289" s="1"/>
      <c r="AW289" s="1"/>
      <c r="AX289" s="1"/>
      <c r="AY289" s="1"/>
      <c r="AZ289" s="1"/>
      <c r="BA289" s="1"/>
      <c r="BB289" s="1" t="n">
        <v>18</v>
      </c>
      <c r="BC289" s="1" t="n">
        <v>23</v>
      </c>
      <c r="BD289" s="1"/>
      <c r="BE289" s="1" t="s">
        <v>5418</v>
      </c>
      <c r="BF289" s="1" t="str">
        <f aca="false">HYPERLINK("http://dx.doi.org/10.1145/3643796.3648447","http://dx.doi.org/10.1145/3643796.3648447")</f>
        <v>http://dx.doi.org/10.1145/3643796.3648447</v>
      </c>
      <c r="BG289" s="1"/>
      <c r="BH289" s="1"/>
      <c r="BI289" s="1" t="n">
        <v>6</v>
      </c>
      <c r="BJ289" s="1" t="s">
        <v>252</v>
      </c>
      <c r="BK289" s="1" t="s">
        <v>100</v>
      </c>
      <c r="BL289" s="1" t="s">
        <v>101</v>
      </c>
      <c r="BM289" s="1" t="s">
        <v>5419</v>
      </c>
      <c r="BN289" s="1"/>
      <c r="BO289" s="1"/>
      <c r="BP289" s="1"/>
      <c r="BQ289" s="1"/>
      <c r="BR289" s="1" t="s">
        <v>103</v>
      </c>
      <c r="BS289" s="1" t="s">
        <v>5420</v>
      </c>
      <c r="BT289" s="1" t="str">
        <f aca="false">HYPERLINK("https%3A%2F%2Fwww.webofscience.com%2Fwos%2Fwoscc%2Ffull-record%2FWOS:001297920700005","View Full Record in Web of Science")</f>
        <v>View Full Record in Web of Science</v>
      </c>
    </row>
    <row r="290" customFormat="false" ht="12.75" hidden="false" customHeight="false" outlineLevel="0" collapsed="false">
      <c r="A290" s="1" t="s">
        <v>181</v>
      </c>
      <c r="B290" s="1" t="s">
        <v>5421</v>
      </c>
      <c r="C290" s="1"/>
      <c r="D290" s="1"/>
      <c r="E290" s="1"/>
      <c r="F290" s="1" t="s">
        <v>5422</v>
      </c>
      <c r="G290" s="1"/>
      <c r="H290" s="1"/>
      <c r="I290" s="1" t="s">
        <v>5423</v>
      </c>
      <c r="J290" s="1" t="s">
        <v>3700</v>
      </c>
      <c r="K290" s="1"/>
      <c r="L290" s="1"/>
      <c r="M290" s="1" t="s">
        <v>78</v>
      </c>
      <c r="N290" s="1" t="s">
        <v>186</v>
      </c>
      <c r="O290" s="1"/>
      <c r="P290" s="1"/>
      <c r="Q290" s="1"/>
      <c r="R290" s="1"/>
      <c r="S290" s="1"/>
      <c r="T290" s="1" t="s">
        <v>5424</v>
      </c>
      <c r="U290" s="1" t="s">
        <v>5425</v>
      </c>
      <c r="V290" s="1" t="s">
        <v>5426</v>
      </c>
      <c r="W290" s="1" t="s">
        <v>5427</v>
      </c>
      <c r="X290" s="1" t="s">
        <v>5428</v>
      </c>
      <c r="Y290" s="1" t="s">
        <v>5429</v>
      </c>
      <c r="Z290" s="1" t="s">
        <v>5430</v>
      </c>
      <c r="AA290" s="1"/>
      <c r="AB290" s="1" t="s">
        <v>2000</v>
      </c>
      <c r="AC290" s="1"/>
      <c r="AD290" s="1"/>
      <c r="AE290" s="1"/>
      <c r="AF290" s="1"/>
      <c r="AG290" s="1" t="n">
        <v>58</v>
      </c>
      <c r="AH290" s="1" t="n">
        <v>17</v>
      </c>
      <c r="AI290" s="1" t="n">
        <v>19</v>
      </c>
      <c r="AJ290" s="1" t="n">
        <v>7</v>
      </c>
      <c r="AK290" s="1" t="n">
        <v>42</v>
      </c>
      <c r="AL290" s="1" t="s">
        <v>3711</v>
      </c>
      <c r="AM290" s="1" t="s">
        <v>95</v>
      </c>
      <c r="AN290" s="1" t="s">
        <v>3712</v>
      </c>
      <c r="AO290" s="1" t="s">
        <v>3713</v>
      </c>
      <c r="AP290" s="1" t="s">
        <v>3714</v>
      </c>
      <c r="AQ290" s="1"/>
      <c r="AR290" s="1" t="s">
        <v>3715</v>
      </c>
      <c r="AS290" s="1" t="s">
        <v>3716</v>
      </c>
      <c r="AT290" s="1" t="s">
        <v>1362</v>
      </c>
      <c r="AU290" s="1" t="n">
        <v>2022</v>
      </c>
      <c r="AV290" s="1" t="n">
        <v>192</v>
      </c>
      <c r="AW290" s="1"/>
      <c r="AX290" s="1"/>
      <c r="AY290" s="1"/>
      <c r="AZ290" s="1"/>
      <c r="BA290" s="1"/>
      <c r="BB290" s="1"/>
      <c r="BC290" s="1"/>
      <c r="BD290" s="1" t="n">
        <v>111395</v>
      </c>
      <c r="BE290" s="1" t="s">
        <v>5431</v>
      </c>
      <c r="BF290" s="1" t="str">
        <f aca="false">HYPERLINK("http://dx.doi.org/10.1016/j.jss.2022.111395","http://dx.doi.org/10.1016/j.jss.2022.111395")</f>
        <v>http://dx.doi.org/10.1016/j.jss.2022.111395</v>
      </c>
      <c r="BG290" s="1"/>
      <c r="BH290" s="1"/>
      <c r="BI290" s="1" t="n">
        <v>15</v>
      </c>
      <c r="BJ290" s="1" t="s">
        <v>994</v>
      </c>
      <c r="BK290" s="1" t="s">
        <v>204</v>
      </c>
      <c r="BL290" s="1" t="s">
        <v>101</v>
      </c>
      <c r="BM290" s="1" t="s">
        <v>5432</v>
      </c>
      <c r="BN290" s="1"/>
      <c r="BO290" s="1" t="s">
        <v>612</v>
      </c>
      <c r="BP290" s="1"/>
      <c r="BQ290" s="1"/>
      <c r="BR290" s="1" t="s">
        <v>103</v>
      </c>
      <c r="BS290" s="1" t="s">
        <v>5433</v>
      </c>
      <c r="BT290" s="1" t="str">
        <f aca="false">HYPERLINK("https%3A%2F%2Fwww.webofscience.com%2Fwos%2Fwoscc%2Ffull-record%2FWOS:000829490300010","View Full Record in Web of Science")</f>
        <v>View Full Record in Web of Science</v>
      </c>
    </row>
    <row r="291" customFormat="false" ht="12.75" hidden="false" customHeight="false" outlineLevel="0" collapsed="false">
      <c r="A291" s="1" t="s">
        <v>181</v>
      </c>
      <c r="B291" s="1" t="s">
        <v>5434</v>
      </c>
      <c r="C291" s="1"/>
      <c r="D291" s="1"/>
      <c r="E291" s="1"/>
      <c r="F291" s="1" t="s">
        <v>5435</v>
      </c>
      <c r="G291" s="1"/>
      <c r="H291" s="1"/>
      <c r="I291" s="1" t="s">
        <v>5436</v>
      </c>
      <c r="J291" s="1" t="s">
        <v>2322</v>
      </c>
      <c r="K291" s="1"/>
      <c r="L291" s="1"/>
      <c r="M291" s="1" t="s">
        <v>78</v>
      </c>
      <c r="N291" s="1" t="s">
        <v>5437</v>
      </c>
      <c r="O291" s="1"/>
      <c r="P291" s="1"/>
      <c r="Q291" s="1"/>
      <c r="R291" s="1"/>
      <c r="S291" s="1"/>
      <c r="T291" s="1"/>
      <c r="U291" s="1"/>
      <c r="V291" s="1" t="s">
        <v>5438</v>
      </c>
      <c r="W291" s="1" t="s">
        <v>5439</v>
      </c>
      <c r="X291" s="1" t="s">
        <v>5440</v>
      </c>
      <c r="Y291" s="1" t="s">
        <v>2218</v>
      </c>
      <c r="Z291" s="1" t="s">
        <v>5441</v>
      </c>
      <c r="AA291" s="1" t="s">
        <v>5442</v>
      </c>
      <c r="AB291" s="1" t="s">
        <v>5443</v>
      </c>
      <c r="AC291" s="1" t="s">
        <v>5444</v>
      </c>
      <c r="AD291" s="1" t="s">
        <v>5445</v>
      </c>
      <c r="AE291" s="1" t="s">
        <v>5446</v>
      </c>
      <c r="AF291" s="1"/>
      <c r="AG291" s="1" t="n">
        <v>19</v>
      </c>
      <c r="AH291" s="1" t="n">
        <v>2</v>
      </c>
      <c r="AI291" s="1" t="n">
        <v>2</v>
      </c>
      <c r="AJ291" s="1" t="n">
        <v>0</v>
      </c>
      <c r="AK291" s="1" t="n">
        <v>11</v>
      </c>
      <c r="AL291" s="1" t="s">
        <v>195</v>
      </c>
      <c r="AM291" s="1" t="s">
        <v>196</v>
      </c>
      <c r="AN291" s="1" t="s">
        <v>197</v>
      </c>
      <c r="AO291" s="1" t="s">
        <v>2328</v>
      </c>
      <c r="AP291" s="1" t="s">
        <v>2329</v>
      </c>
      <c r="AQ291" s="1"/>
      <c r="AR291" s="1" t="s">
        <v>2330</v>
      </c>
      <c r="AS291" s="1" t="s">
        <v>2331</v>
      </c>
      <c r="AT291" s="1" t="s">
        <v>2698</v>
      </c>
      <c r="AU291" s="1" t="n">
        <v>2022</v>
      </c>
      <c r="AV291" s="1" t="n">
        <v>58</v>
      </c>
      <c r="AW291" s="1" t="n">
        <v>3</v>
      </c>
      <c r="AX291" s="1"/>
      <c r="AY291" s="1"/>
      <c r="AZ291" s="1"/>
      <c r="BA291" s="1"/>
      <c r="BB291" s="1" t="n">
        <v>2584</v>
      </c>
      <c r="BC291" s="1" t="n">
        <v>2591</v>
      </c>
      <c r="BD291" s="1"/>
      <c r="BE291" s="1" t="s">
        <v>5447</v>
      </c>
      <c r="BF291" s="1" t="str">
        <f aca="false">HYPERLINK("http://dx.doi.org/10.1109/TAES.2021.3134724","http://dx.doi.org/10.1109/TAES.2021.3134724")</f>
        <v>http://dx.doi.org/10.1109/TAES.2021.3134724</v>
      </c>
      <c r="BG291" s="1"/>
      <c r="BH291" s="1"/>
      <c r="BI291" s="1" t="n">
        <v>8</v>
      </c>
      <c r="BJ291" s="1" t="s">
        <v>2333</v>
      </c>
      <c r="BK291" s="1" t="s">
        <v>204</v>
      </c>
      <c r="BL291" s="1" t="s">
        <v>154</v>
      </c>
      <c r="BM291" s="1" t="s">
        <v>5448</v>
      </c>
      <c r="BN291" s="1"/>
      <c r="BO291" s="1" t="s">
        <v>1373</v>
      </c>
      <c r="BP291" s="1"/>
      <c r="BQ291" s="1"/>
      <c r="BR291" s="1" t="s">
        <v>103</v>
      </c>
      <c r="BS291" s="1" t="s">
        <v>5449</v>
      </c>
      <c r="BT291" s="1" t="str">
        <f aca="false">HYPERLINK("https%3A%2F%2Fwww.webofscience.com%2Fwos%2Fwoscc%2Ffull-record%2FWOS:000808099300081","View Full Record in Web of Science")</f>
        <v>View Full Record in Web of Science</v>
      </c>
    </row>
    <row r="292" customFormat="false" ht="12.75" hidden="false" customHeight="false" outlineLevel="0" collapsed="false">
      <c r="A292" s="1" t="s">
        <v>72</v>
      </c>
      <c r="B292" s="1" t="s">
        <v>5450</v>
      </c>
      <c r="C292" s="1"/>
      <c r="D292" s="1"/>
      <c r="E292" s="1" t="s">
        <v>106</v>
      </c>
      <c r="F292" s="1" t="s">
        <v>5451</v>
      </c>
      <c r="G292" s="1"/>
      <c r="H292" s="1"/>
      <c r="I292" s="1" t="s">
        <v>5452</v>
      </c>
      <c r="J292" s="1" t="s">
        <v>5453</v>
      </c>
      <c r="K292" s="1" t="s">
        <v>5454</v>
      </c>
      <c r="L292" s="1"/>
      <c r="M292" s="1" t="s">
        <v>78</v>
      </c>
      <c r="N292" s="1" t="s">
        <v>79</v>
      </c>
      <c r="O292" s="1" t="s">
        <v>5455</v>
      </c>
      <c r="P292" s="1" t="s">
        <v>5456</v>
      </c>
      <c r="Q292" s="1" t="s">
        <v>5457</v>
      </c>
      <c r="R292" s="1" t="s">
        <v>106</v>
      </c>
      <c r="S292" s="1"/>
      <c r="T292" s="1" t="s">
        <v>5458</v>
      </c>
      <c r="U292" s="1" t="s">
        <v>5459</v>
      </c>
      <c r="V292" s="1" t="s">
        <v>5460</v>
      </c>
      <c r="W292" s="1" t="s">
        <v>5461</v>
      </c>
      <c r="X292" s="1" t="s">
        <v>5428</v>
      </c>
      <c r="Y292" s="1" t="s">
        <v>143</v>
      </c>
      <c r="Z292" s="1" t="s">
        <v>5462</v>
      </c>
      <c r="AA292" s="1" t="s">
        <v>5463</v>
      </c>
      <c r="AB292" s="1"/>
      <c r="AC292" s="1"/>
      <c r="AD292" s="1"/>
      <c r="AE292" s="1"/>
      <c r="AF292" s="1"/>
      <c r="AG292" s="1" t="n">
        <v>18</v>
      </c>
      <c r="AH292" s="1" t="n">
        <v>3</v>
      </c>
      <c r="AI292" s="1" t="n">
        <v>3</v>
      </c>
      <c r="AJ292" s="1" t="n">
        <v>0</v>
      </c>
      <c r="AK292" s="1" t="n">
        <v>2</v>
      </c>
      <c r="AL292" s="1" t="s">
        <v>106</v>
      </c>
      <c r="AM292" s="1" t="s">
        <v>95</v>
      </c>
      <c r="AN292" s="1" t="s">
        <v>122</v>
      </c>
      <c r="AO292" s="1" t="s">
        <v>5464</v>
      </c>
      <c r="AP292" s="1"/>
      <c r="AQ292" s="1" t="s">
        <v>5465</v>
      </c>
      <c r="AR292" s="1" t="s">
        <v>5466</v>
      </c>
      <c r="AS292" s="1"/>
      <c r="AT292" s="1"/>
      <c r="AU292" s="1" t="n">
        <v>2022</v>
      </c>
      <c r="AV292" s="1"/>
      <c r="AW292" s="1"/>
      <c r="AX292" s="1"/>
      <c r="AY292" s="1"/>
      <c r="AZ292" s="1"/>
      <c r="BA292" s="1"/>
      <c r="BB292" s="1"/>
      <c r="BC292" s="1"/>
      <c r="BD292" s="1"/>
      <c r="BE292" s="1" t="s">
        <v>5467</v>
      </c>
      <c r="BF292" s="1" t="str">
        <f aca="false">HYPERLINK("http://dx.doi.org/10.1109/VTC2022-Fall57202.2022.10012723","http://dx.doi.org/10.1109/VTC2022-Fall57202.2022.10012723")</f>
        <v>http://dx.doi.org/10.1109/VTC2022-Fall57202.2022.10012723</v>
      </c>
      <c r="BG292" s="1"/>
      <c r="BH292" s="1"/>
      <c r="BI292" s="1" t="n">
        <v>7</v>
      </c>
      <c r="BJ292" s="1" t="s">
        <v>5468</v>
      </c>
      <c r="BK292" s="1" t="s">
        <v>100</v>
      </c>
      <c r="BL292" s="1" t="s">
        <v>5469</v>
      </c>
      <c r="BM292" s="1" t="s">
        <v>5470</v>
      </c>
      <c r="BN292" s="1"/>
      <c r="BO292" s="1"/>
      <c r="BP292" s="1"/>
      <c r="BQ292" s="1"/>
      <c r="BR292" s="1" t="s">
        <v>103</v>
      </c>
      <c r="BS292" s="1" t="s">
        <v>5471</v>
      </c>
      <c r="BT292" s="1" t="str">
        <f aca="false">HYPERLINK("https%3A%2F%2Fwww.webofscience.com%2Fwos%2Fwoscc%2Ffull-record%2FWOS:000927580600031","View Full Record in Web of Science")</f>
        <v>View Full Record in Web of Science</v>
      </c>
    </row>
    <row r="293" customFormat="false" ht="12.75" hidden="false" customHeight="false" outlineLevel="0" collapsed="false">
      <c r="A293" s="1" t="s">
        <v>72</v>
      </c>
      <c r="B293" s="1" t="s">
        <v>5472</v>
      </c>
      <c r="C293" s="1"/>
      <c r="D293" s="1" t="s">
        <v>5473</v>
      </c>
      <c r="E293" s="1"/>
      <c r="F293" s="1" t="s">
        <v>5474</v>
      </c>
      <c r="G293" s="1"/>
      <c r="H293" s="1"/>
      <c r="I293" s="1" t="s">
        <v>5475</v>
      </c>
      <c r="J293" s="1" t="s">
        <v>5476</v>
      </c>
      <c r="K293" s="1"/>
      <c r="L293" s="1"/>
      <c r="M293" s="1" t="s">
        <v>78</v>
      </c>
      <c r="N293" s="1" t="s">
        <v>79</v>
      </c>
      <c r="O293" s="1" t="s">
        <v>5477</v>
      </c>
      <c r="P293" s="1" t="s">
        <v>5478</v>
      </c>
      <c r="Q293" s="1" t="s">
        <v>320</v>
      </c>
      <c r="R293" s="1" t="s">
        <v>4165</v>
      </c>
      <c r="S293" s="1"/>
      <c r="T293" s="1" t="s">
        <v>5479</v>
      </c>
      <c r="U293" s="1"/>
      <c r="V293" s="1" t="s">
        <v>5480</v>
      </c>
      <c r="W293" s="1" t="s">
        <v>5481</v>
      </c>
      <c r="X293" s="1" t="s">
        <v>86</v>
      </c>
      <c r="Y293" s="1" t="s">
        <v>4147</v>
      </c>
      <c r="Z293" s="1"/>
      <c r="AA293" s="1" t="s">
        <v>5482</v>
      </c>
      <c r="AB293" s="1" t="s">
        <v>5483</v>
      </c>
      <c r="AC293" s="1"/>
      <c r="AD293" s="1"/>
      <c r="AE293" s="1"/>
      <c r="AF293" s="1"/>
      <c r="AG293" s="1" t="n">
        <v>13</v>
      </c>
      <c r="AH293" s="1" t="n">
        <v>2</v>
      </c>
      <c r="AI293" s="1" t="n">
        <v>2</v>
      </c>
      <c r="AJ293" s="1" t="n">
        <v>0</v>
      </c>
      <c r="AK293" s="1" t="n">
        <v>0</v>
      </c>
      <c r="AL293" s="1" t="s">
        <v>1721</v>
      </c>
      <c r="AM293" s="1" t="s">
        <v>1722</v>
      </c>
      <c r="AN293" s="1" t="s">
        <v>1723</v>
      </c>
      <c r="AO293" s="1"/>
      <c r="AP293" s="1"/>
      <c r="AQ293" s="1" t="s">
        <v>5484</v>
      </c>
      <c r="AR293" s="1"/>
      <c r="AS293" s="1"/>
      <c r="AT293" s="1"/>
      <c r="AU293" s="1" t="n">
        <v>2021</v>
      </c>
      <c r="AV293" s="1"/>
      <c r="AW293" s="1"/>
      <c r="AX293" s="1"/>
      <c r="AY293" s="1"/>
      <c r="AZ293" s="1"/>
      <c r="BA293" s="1"/>
      <c r="BB293" s="1" t="n">
        <v>437</v>
      </c>
      <c r="BC293" s="1" t="n">
        <v>444</v>
      </c>
      <c r="BD293" s="1"/>
      <c r="BE293" s="1" t="s">
        <v>5485</v>
      </c>
      <c r="BF293" s="1" t="str">
        <f aca="false">HYPERLINK("http://dx.doi.org/10.5220/0010496204370444","http://dx.doi.org/10.5220/0010496204370444")</f>
        <v>http://dx.doi.org/10.5220/0010496204370444</v>
      </c>
      <c r="BG293" s="1"/>
      <c r="BH293" s="1"/>
      <c r="BI293" s="1" t="n">
        <v>8</v>
      </c>
      <c r="BJ293" s="1" t="s">
        <v>994</v>
      </c>
      <c r="BK293" s="1" t="s">
        <v>100</v>
      </c>
      <c r="BL293" s="1" t="s">
        <v>101</v>
      </c>
      <c r="BM293" s="1" t="s">
        <v>5486</v>
      </c>
      <c r="BN293" s="1"/>
      <c r="BO293" s="1" t="s">
        <v>282</v>
      </c>
      <c r="BP293" s="1"/>
      <c r="BQ293" s="1"/>
      <c r="BR293" s="1" t="s">
        <v>103</v>
      </c>
      <c r="BS293" s="1" t="s">
        <v>5487</v>
      </c>
      <c r="BT293" s="1" t="str">
        <f aca="false">HYPERLINK("https%3A%2F%2Fwww.webofscience.com%2Fwos%2Fwoscc%2Ffull-record%2FWOS:000783843700046","View Full Record in Web of Science")</f>
        <v>View Full Record in Web of Science</v>
      </c>
    </row>
    <row r="294" customFormat="false" ht="12.75" hidden="false" customHeight="false" outlineLevel="0" collapsed="false">
      <c r="A294" s="1" t="s">
        <v>72</v>
      </c>
      <c r="B294" s="1" t="s">
        <v>5488</v>
      </c>
      <c r="C294" s="1"/>
      <c r="D294" s="1"/>
      <c r="E294" s="1" t="s">
        <v>106</v>
      </c>
      <c r="F294" s="1" t="s">
        <v>5489</v>
      </c>
      <c r="G294" s="1"/>
      <c r="H294" s="1"/>
      <c r="I294" s="1" t="s">
        <v>5490</v>
      </c>
      <c r="J294" s="1" t="s">
        <v>5491</v>
      </c>
      <c r="K294" s="1" t="s">
        <v>3108</v>
      </c>
      <c r="L294" s="1"/>
      <c r="M294" s="1" t="s">
        <v>78</v>
      </c>
      <c r="N294" s="1" t="s">
        <v>79</v>
      </c>
      <c r="O294" s="1" t="s">
        <v>3109</v>
      </c>
      <c r="P294" s="1" t="s">
        <v>5492</v>
      </c>
      <c r="Q294" s="1" t="s">
        <v>320</v>
      </c>
      <c r="R294" s="1" t="s">
        <v>5493</v>
      </c>
      <c r="S294" s="1"/>
      <c r="T294" s="1"/>
      <c r="U294" s="1"/>
      <c r="V294" s="1" t="s">
        <v>5494</v>
      </c>
      <c r="W294" s="1" t="s">
        <v>5495</v>
      </c>
      <c r="X294" s="1" t="s">
        <v>5496</v>
      </c>
      <c r="Y294" s="1" t="s">
        <v>191</v>
      </c>
      <c r="Z294" s="1"/>
      <c r="AA294" s="1" t="s">
        <v>193</v>
      </c>
      <c r="AB294" s="1" t="s">
        <v>194</v>
      </c>
      <c r="AC294" s="1"/>
      <c r="AD294" s="1"/>
      <c r="AE294" s="1"/>
      <c r="AF294" s="1"/>
      <c r="AG294" s="1" t="n">
        <v>4</v>
      </c>
      <c r="AH294" s="1" t="n">
        <v>1</v>
      </c>
      <c r="AI294" s="1" t="n">
        <v>1</v>
      </c>
      <c r="AJ294" s="1" t="n">
        <v>0</v>
      </c>
      <c r="AK294" s="1" t="n">
        <v>4</v>
      </c>
      <c r="AL294" s="1" t="s">
        <v>106</v>
      </c>
      <c r="AM294" s="1" t="s">
        <v>95</v>
      </c>
      <c r="AN294" s="1" t="s">
        <v>122</v>
      </c>
      <c r="AO294" s="1" t="s">
        <v>3119</v>
      </c>
      <c r="AP294" s="1"/>
      <c r="AQ294" s="1" t="s">
        <v>5497</v>
      </c>
      <c r="AR294" s="1" t="s">
        <v>3121</v>
      </c>
      <c r="AS294" s="1"/>
      <c r="AT294" s="1"/>
      <c r="AU294" s="1" t="n">
        <v>2020</v>
      </c>
      <c r="AV294" s="1"/>
      <c r="AW294" s="1"/>
      <c r="AX294" s="1"/>
      <c r="AY294" s="1"/>
      <c r="AZ294" s="1"/>
      <c r="BA294" s="1"/>
      <c r="BB294" s="1" t="n">
        <v>1997</v>
      </c>
      <c r="BC294" s="1" t="n">
        <v>2000</v>
      </c>
      <c r="BD294" s="1"/>
      <c r="BE294" s="1" t="s">
        <v>5498</v>
      </c>
      <c r="BF294" s="1" t="str">
        <f aca="false">HYPERLINK("http://dx.doi.org/10.1109/IGARSS39084.2020.9323320","http://dx.doi.org/10.1109/IGARSS39084.2020.9323320")</f>
        <v>http://dx.doi.org/10.1109/IGARSS39084.2020.9323320</v>
      </c>
      <c r="BG294" s="1"/>
      <c r="BH294" s="1"/>
      <c r="BI294" s="1" t="n">
        <v>4</v>
      </c>
      <c r="BJ294" s="1" t="s">
        <v>5499</v>
      </c>
      <c r="BK294" s="1" t="s">
        <v>100</v>
      </c>
      <c r="BL294" s="1" t="s">
        <v>5500</v>
      </c>
      <c r="BM294" s="1" t="s">
        <v>5501</v>
      </c>
      <c r="BN294" s="1"/>
      <c r="BO294" s="1"/>
      <c r="BP294" s="1"/>
      <c r="BQ294" s="1"/>
      <c r="BR294" s="1" t="s">
        <v>103</v>
      </c>
      <c r="BS294" s="1" t="s">
        <v>5502</v>
      </c>
      <c r="BT294" s="1" t="str">
        <f aca="false">HYPERLINK("https%3A%2F%2Fwww.webofscience.com%2Fwos%2Fwoscc%2Ffull-record%2FWOS:000664335302013","View Full Record in Web of Science")</f>
        <v>View Full Record in Web of Science</v>
      </c>
    </row>
    <row r="295" customFormat="false" ht="12.75" hidden="false" customHeight="false" outlineLevel="0" collapsed="false">
      <c r="A295" s="1" t="s">
        <v>181</v>
      </c>
      <c r="B295" s="1" t="s">
        <v>5503</v>
      </c>
      <c r="C295" s="1"/>
      <c r="D295" s="1"/>
      <c r="E295" s="1"/>
      <c r="F295" s="1" t="s">
        <v>5504</v>
      </c>
      <c r="G295" s="1"/>
      <c r="H295" s="1"/>
      <c r="I295" s="1" t="s">
        <v>5505</v>
      </c>
      <c r="J295" s="1" t="s">
        <v>1378</v>
      </c>
      <c r="K295" s="1"/>
      <c r="L295" s="1"/>
      <c r="M295" s="1" t="s">
        <v>78</v>
      </c>
      <c r="N295" s="1" t="s">
        <v>186</v>
      </c>
      <c r="O295" s="1"/>
      <c r="P295" s="1"/>
      <c r="Q295" s="1"/>
      <c r="R295" s="1"/>
      <c r="S295" s="1"/>
      <c r="T295" s="1" t="s">
        <v>5506</v>
      </c>
      <c r="U295" s="1"/>
      <c r="V295" s="1" t="s">
        <v>5507</v>
      </c>
      <c r="W295" s="1" t="s">
        <v>5508</v>
      </c>
      <c r="X295" s="1" t="s">
        <v>5509</v>
      </c>
      <c r="Y295" s="1" t="s">
        <v>5429</v>
      </c>
      <c r="Z295" s="1" t="s">
        <v>1999</v>
      </c>
      <c r="AA295" s="1"/>
      <c r="AB295" s="1" t="s">
        <v>2000</v>
      </c>
      <c r="AC295" s="1"/>
      <c r="AD295" s="1"/>
      <c r="AE295" s="1"/>
      <c r="AF295" s="1"/>
      <c r="AG295" s="1" t="n">
        <v>10</v>
      </c>
      <c r="AH295" s="1" t="n">
        <v>1</v>
      </c>
      <c r="AI295" s="1" t="n">
        <v>1</v>
      </c>
      <c r="AJ295" s="1" t="n">
        <v>0</v>
      </c>
      <c r="AK295" s="1" t="n">
        <v>0</v>
      </c>
      <c r="AL295" s="1" t="s">
        <v>893</v>
      </c>
      <c r="AM295" s="1" t="s">
        <v>894</v>
      </c>
      <c r="AN295" s="1" t="s">
        <v>895</v>
      </c>
      <c r="AO295" s="1" t="s">
        <v>1387</v>
      </c>
      <c r="AP295" s="1" t="s">
        <v>1388</v>
      </c>
      <c r="AQ295" s="1"/>
      <c r="AR295" s="1" t="s">
        <v>1389</v>
      </c>
      <c r="AS295" s="1" t="s">
        <v>1390</v>
      </c>
      <c r="AT295" s="1" t="s">
        <v>474</v>
      </c>
      <c r="AU295" s="1" t="n">
        <v>2023</v>
      </c>
      <c r="AV295" s="1" t="n">
        <v>161</v>
      </c>
      <c r="AW295" s="1"/>
      <c r="AX295" s="1"/>
      <c r="AY295" s="1"/>
      <c r="AZ295" s="1"/>
      <c r="BA295" s="1"/>
      <c r="BB295" s="1"/>
      <c r="BC295" s="1"/>
      <c r="BD295" s="1" t="n">
        <v>107252</v>
      </c>
      <c r="BE295" s="1" t="s">
        <v>5510</v>
      </c>
      <c r="BF295" s="1" t="str">
        <f aca="false">HYPERLINK("http://dx.doi.org/10.1016/j.infsof.2023.107252","http://dx.doi.org/10.1016/j.infsof.2023.107252")</f>
        <v>http://dx.doi.org/10.1016/j.infsof.2023.107252</v>
      </c>
      <c r="BG295" s="1"/>
      <c r="BH295" s="1" t="s">
        <v>5511</v>
      </c>
      <c r="BI295" s="1" t="n">
        <v>4</v>
      </c>
      <c r="BJ295" s="1" t="s">
        <v>1394</v>
      </c>
      <c r="BK295" s="1" t="s">
        <v>204</v>
      </c>
      <c r="BL295" s="1" t="s">
        <v>101</v>
      </c>
      <c r="BM295" s="1" t="s">
        <v>5512</v>
      </c>
      <c r="BN295" s="1"/>
      <c r="BO295" s="1" t="s">
        <v>207</v>
      </c>
      <c r="BP295" s="1"/>
      <c r="BQ295" s="1"/>
      <c r="BR295" s="1" t="s">
        <v>103</v>
      </c>
      <c r="BS295" s="1" t="s">
        <v>5513</v>
      </c>
      <c r="BT295" s="1" t="str">
        <f aca="false">HYPERLINK("https%3A%2F%2Fwww.webofscience.com%2Fwos%2Fwoscc%2Ffull-record%2FWOS:001052976000001","View Full Record in Web of Science")</f>
        <v>View Full Record in Web of Science</v>
      </c>
    </row>
    <row r="296" customFormat="false" ht="12.75" hidden="false" customHeight="false" outlineLevel="0" collapsed="false">
      <c r="A296" s="1" t="s">
        <v>72</v>
      </c>
      <c r="B296" s="1" t="s">
        <v>5514</v>
      </c>
      <c r="C296" s="1"/>
      <c r="D296" s="1" t="s">
        <v>5515</v>
      </c>
      <c r="E296" s="1"/>
      <c r="F296" s="1" t="s">
        <v>5516</v>
      </c>
      <c r="G296" s="1"/>
      <c r="H296" s="1"/>
      <c r="I296" s="1" t="s">
        <v>5517</v>
      </c>
      <c r="J296" s="1" t="s">
        <v>5518</v>
      </c>
      <c r="K296" s="1" t="s">
        <v>5519</v>
      </c>
      <c r="L296" s="1"/>
      <c r="M296" s="1" t="s">
        <v>78</v>
      </c>
      <c r="N296" s="1" t="s">
        <v>79</v>
      </c>
      <c r="O296" s="1" t="s">
        <v>5520</v>
      </c>
      <c r="P296" s="1" t="s">
        <v>5521</v>
      </c>
      <c r="Q296" s="1" t="s">
        <v>5522</v>
      </c>
      <c r="R296" s="1" t="s">
        <v>5523</v>
      </c>
      <c r="S296" s="1" t="s">
        <v>5524</v>
      </c>
      <c r="T296" s="1" t="s">
        <v>5525</v>
      </c>
      <c r="U296" s="1"/>
      <c r="V296" s="1" t="s">
        <v>5526</v>
      </c>
      <c r="W296" s="1" t="s">
        <v>5527</v>
      </c>
      <c r="X296" s="1" t="s">
        <v>4809</v>
      </c>
      <c r="Y296" s="1" t="s">
        <v>5528</v>
      </c>
      <c r="Z296" s="1" t="s">
        <v>5529</v>
      </c>
      <c r="AA296" s="1" t="s">
        <v>5530</v>
      </c>
      <c r="AB296" s="1" t="s">
        <v>5531</v>
      </c>
      <c r="AC296" s="1" t="s">
        <v>5532</v>
      </c>
      <c r="AD296" s="1" t="s">
        <v>5533</v>
      </c>
      <c r="AE296" s="1" t="s">
        <v>5534</v>
      </c>
      <c r="AF296" s="1"/>
      <c r="AG296" s="1" t="n">
        <v>26</v>
      </c>
      <c r="AH296" s="1" t="n">
        <v>3</v>
      </c>
      <c r="AI296" s="1" t="n">
        <v>3</v>
      </c>
      <c r="AJ296" s="1" t="n">
        <v>0</v>
      </c>
      <c r="AK296" s="1" t="n">
        <v>1</v>
      </c>
      <c r="AL296" s="1" t="s">
        <v>106</v>
      </c>
      <c r="AM296" s="1" t="s">
        <v>95</v>
      </c>
      <c r="AN296" s="1" t="s">
        <v>122</v>
      </c>
      <c r="AO296" s="1" t="s">
        <v>5535</v>
      </c>
      <c r="AP296" s="1"/>
      <c r="AQ296" s="1" t="s">
        <v>5536</v>
      </c>
      <c r="AR296" s="1" t="s">
        <v>5537</v>
      </c>
      <c r="AS296" s="1"/>
      <c r="AT296" s="1"/>
      <c r="AU296" s="1" t="n">
        <v>2023</v>
      </c>
      <c r="AV296" s="1"/>
      <c r="AW296" s="1"/>
      <c r="AX296" s="1"/>
      <c r="AY296" s="1"/>
      <c r="AZ296" s="1"/>
      <c r="BA296" s="1"/>
      <c r="BB296" s="1"/>
      <c r="BC296" s="1"/>
      <c r="BD296" s="1"/>
      <c r="BE296" s="1" t="s">
        <v>5538</v>
      </c>
      <c r="BF296" s="1" t="str">
        <f aca="false">HYPERLINK("http://dx.doi.org/10.1109/ICIN56760.2023.10073510","http://dx.doi.org/10.1109/ICIN56760.2023.10073510")</f>
        <v>http://dx.doi.org/10.1109/ICIN56760.2023.10073510</v>
      </c>
      <c r="BG296" s="1"/>
      <c r="BH296" s="1"/>
      <c r="BI296" s="1" t="n">
        <v>8</v>
      </c>
      <c r="BJ296" s="1" t="s">
        <v>5539</v>
      </c>
      <c r="BK296" s="1" t="s">
        <v>100</v>
      </c>
      <c r="BL296" s="1" t="s">
        <v>311</v>
      </c>
      <c r="BM296" s="1" t="s">
        <v>5540</v>
      </c>
      <c r="BN296" s="1"/>
      <c r="BO296" s="1"/>
      <c r="BP296" s="1"/>
      <c r="BQ296" s="1"/>
      <c r="BR296" s="1" t="s">
        <v>103</v>
      </c>
      <c r="BS296" s="1" t="s">
        <v>5541</v>
      </c>
      <c r="BT296" s="1" t="str">
        <f aca="false">HYPERLINK("https%3A%2F%2Fwww.webofscience.com%2Fwos%2Fwoscc%2Ffull-record%2FWOS:001006975300031","View Full Record in Web of Science")</f>
        <v>View Full Record in Web of Science</v>
      </c>
    </row>
    <row r="297" customFormat="false" ht="12.75" hidden="false" customHeight="false" outlineLevel="0" collapsed="false">
      <c r="A297" s="1" t="s">
        <v>181</v>
      </c>
      <c r="B297" s="1" t="s">
        <v>5542</v>
      </c>
      <c r="C297" s="1"/>
      <c r="D297" s="1"/>
      <c r="E297" s="1"/>
      <c r="F297" s="1" t="s">
        <v>5543</v>
      </c>
      <c r="G297" s="1"/>
      <c r="H297" s="1"/>
      <c r="I297" s="1" t="s">
        <v>5544</v>
      </c>
      <c r="J297" s="1" t="s">
        <v>5545</v>
      </c>
      <c r="K297" s="1"/>
      <c r="L297" s="1"/>
      <c r="M297" s="1" t="s">
        <v>78</v>
      </c>
      <c r="N297" s="1" t="s">
        <v>186</v>
      </c>
      <c r="O297" s="1"/>
      <c r="P297" s="1"/>
      <c r="Q297" s="1"/>
      <c r="R297" s="1"/>
      <c r="S297" s="1"/>
      <c r="T297" s="1" t="s">
        <v>5546</v>
      </c>
      <c r="U297" s="1" t="s">
        <v>5547</v>
      </c>
      <c r="V297" s="1" t="s">
        <v>5548</v>
      </c>
      <c r="W297" s="1" t="s">
        <v>5549</v>
      </c>
      <c r="X297" s="1" t="s">
        <v>5550</v>
      </c>
      <c r="Y297" s="1" t="s">
        <v>5551</v>
      </c>
      <c r="Z297" s="1" t="s">
        <v>5552</v>
      </c>
      <c r="AA297" s="1"/>
      <c r="AB297" s="1"/>
      <c r="AC297" s="1" t="s">
        <v>5553</v>
      </c>
      <c r="AD297" s="1" t="s">
        <v>5554</v>
      </c>
      <c r="AE297" s="1" t="s">
        <v>5555</v>
      </c>
      <c r="AF297" s="1"/>
      <c r="AG297" s="1" t="n">
        <v>99</v>
      </c>
      <c r="AH297" s="1" t="n">
        <v>17</v>
      </c>
      <c r="AI297" s="1" t="n">
        <v>18</v>
      </c>
      <c r="AJ297" s="1" t="n">
        <v>3</v>
      </c>
      <c r="AK297" s="1" t="n">
        <v>33</v>
      </c>
      <c r="AL297" s="1" t="s">
        <v>679</v>
      </c>
      <c r="AM297" s="1" t="s">
        <v>680</v>
      </c>
      <c r="AN297" s="1" t="s">
        <v>681</v>
      </c>
      <c r="AO297" s="1" t="s">
        <v>5556</v>
      </c>
      <c r="AP297" s="1" t="s">
        <v>5557</v>
      </c>
      <c r="AQ297" s="1"/>
      <c r="AR297" s="1" t="s">
        <v>5558</v>
      </c>
      <c r="AS297" s="1" t="s">
        <v>5559</v>
      </c>
      <c r="AT297" s="1" t="s">
        <v>537</v>
      </c>
      <c r="AU297" s="1" t="n">
        <v>2022</v>
      </c>
      <c r="AV297" s="1" t="n">
        <v>58</v>
      </c>
      <c r="AW297" s="1" t="n">
        <v>2</v>
      </c>
      <c r="AX297" s="1"/>
      <c r="AY297" s="1"/>
      <c r="AZ297" s="1" t="s">
        <v>1698</v>
      </c>
      <c r="BA297" s="1"/>
      <c r="BB297" s="1" t="n">
        <v>963</v>
      </c>
      <c r="BC297" s="1" t="n">
        <v>983</v>
      </c>
      <c r="BD297" s="1"/>
      <c r="BE297" s="1" t="s">
        <v>5560</v>
      </c>
      <c r="BF297" s="1" t="str">
        <f aca="false">HYPERLINK("http://dx.doi.org/10.1007/s11187-021-00520-6","http://dx.doi.org/10.1007/s11187-021-00520-6")</f>
        <v>http://dx.doi.org/10.1007/s11187-021-00520-6</v>
      </c>
      <c r="BG297" s="1"/>
      <c r="BH297" s="1" t="s">
        <v>5561</v>
      </c>
      <c r="BI297" s="1" t="n">
        <v>21</v>
      </c>
      <c r="BJ297" s="1" t="s">
        <v>5562</v>
      </c>
      <c r="BK297" s="1" t="s">
        <v>610</v>
      </c>
      <c r="BL297" s="1" t="s">
        <v>715</v>
      </c>
      <c r="BM297" s="1" t="s">
        <v>5563</v>
      </c>
      <c r="BN297" s="1" t="n">
        <v>38624907</v>
      </c>
      <c r="BO297" s="1" t="s">
        <v>612</v>
      </c>
      <c r="BP297" s="1"/>
      <c r="BQ297" s="1"/>
      <c r="BR297" s="1" t="s">
        <v>103</v>
      </c>
      <c r="BS297" s="1" t="s">
        <v>5564</v>
      </c>
      <c r="BT297" s="1" t="str">
        <f aca="false">HYPERLINK("https%3A%2F%2Fwww.webofscience.com%2Fwos%2Fwoscc%2Ffull-record%2FWOS:000680780300001","View Full Record in Web of Science")</f>
        <v>View Full Record in Web of Science</v>
      </c>
    </row>
    <row r="298" customFormat="false" ht="12.75" hidden="false" customHeight="false" outlineLevel="0" collapsed="false">
      <c r="A298" s="1" t="s">
        <v>72</v>
      </c>
      <c r="B298" s="1" t="s">
        <v>5565</v>
      </c>
      <c r="C298" s="1"/>
      <c r="D298" s="1"/>
      <c r="E298" s="1" t="s">
        <v>106</v>
      </c>
      <c r="F298" s="1" t="s">
        <v>5566</v>
      </c>
      <c r="G298" s="1"/>
      <c r="H298" s="1"/>
      <c r="I298" s="1" t="s">
        <v>5567</v>
      </c>
      <c r="J298" s="1" t="s">
        <v>5568</v>
      </c>
      <c r="K298" s="1" t="s">
        <v>5569</v>
      </c>
      <c r="L298" s="1"/>
      <c r="M298" s="1" t="s">
        <v>78</v>
      </c>
      <c r="N298" s="1" t="s">
        <v>79</v>
      </c>
      <c r="O298" s="1" t="s">
        <v>5570</v>
      </c>
      <c r="P298" s="1" t="s">
        <v>5571</v>
      </c>
      <c r="Q298" s="1" t="s">
        <v>320</v>
      </c>
      <c r="R298" s="1" t="s">
        <v>106</v>
      </c>
      <c r="S298" s="1"/>
      <c r="T298" s="1" t="s">
        <v>5572</v>
      </c>
      <c r="U298" s="1" t="s">
        <v>5573</v>
      </c>
      <c r="V298" s="1" t="s">
        <v>5574</v>
      </c>
      <c r="W298" s="1" t="s">
        <v>5575</v>
      </c>
      <c r="X298" s="1" t="s">
        <v>5576</v>
      </c>
      <c r="Y298" s="1" t="s">
        <v>5577</v>
      </c>
      <c r="Z298" s="1" t="s">
        <v>5578</v>
      </c>
      <c r="AA298" s="1" t="s">
        <v>5579</v>
      </c>
      <c r="AB298" s="1" t="s">
        <v>5580</v>
      </c>
      <c r="AC298" s="1" t="s">
        <v>5581</v>
      </c>
      <c r="AD298" s="1" t="s">
        <v>5581</v>
      </c>
      <c r="AE298" s="1" t="s">
        <v>5582</v>
      </c>
      <c r="AF298" s="1"/>
      <c r="AG298" s="1" t="n">
        <v>12</v>
      </c>
      <c r="AH298" s="1" t="n">
        <v>0</v>
      </c>
      <c r="AI298" s="1" t="n">
        <v>0</v>
      </c>
      <c r="AJ298" s="1" t="n">
        <v>0</v>
      </c>
      <c r="AK298" s="1" t="n">
        <v>2</v>
      </c>
      <c r="AL298" s="1" t="s">
        <v>106</v>
      </c>
      <c r="AM298" s="1" t="s">
        <v>95</v>
      </c>
      <c r="AN298" s="1" t="s">
        <v>122</v>
      </c>
      <c r="AO298" s="1" t="s">
        <v>5583</v>
      </c>
      <c r="AP298" s="1"/>
      <c r="AQ298" s="1" t="s">
        <v>5584</v>
      </c>
      <c r="AR298" s="1" t="s">
        <v>5585</v>
      </c>
      <c r="AS298" s="1"/>
      <c r="AT298" s="1"/>
      <c r="AU298" s="1" t="n">
        <v>2020</v>
      </c>
      <c r="AV298" s="1"/>
      <c r="AW298" s="1"/>
      <c r="AX298" s="1"/>
      <c r="AY298" s="1"/>
      <c r="AZ298" s="1"/>
      <c r="BA298" s="1"/>
      <c r="BB298" s="1"/>
      <c r="BC298" s="1"/>
      <c r="BD298" s="1"/>
      <c r="BE298" s="1" t="s">
        <v>5586</v>
      </c>
      <c r="BF298" s="1" t="str">
        <f aca="false">HYPERLINK("http://dx.doi.org/10.1109/itsc45102.2020.9294400","http://dx.doi.org/10.1109/itsc45102.2020.9294400")</f>
        <v>http://dx.doi.org/10.1109/itsc45102.2020.9294400</v>
      </c>
      <c r="BG298" s="1"/>
      <c r="BH298" s="1"/>
      <c r="BI298" s="1" t="n">
        <v>6</v>
      </c>
      <c r="BJ298" s="1" t="s">
        <v>5587</v>
      </c>
      <c r="BK298" s="1" t="s">
        <v>100</v>
      </c>
      <c r="BL298" s="1" t="s">
        <v>5588</v>
      </c>
      <c r="BM298" s="1" t="s">
        <v>5589</v>
      </c>
      <c r="BN298" s="1"/>
      <c r="BO298" s="1"/>
      <c r="BP298" s="1"/>
      <c r="BQ298" s="1"/>
      <c r="BR298" s="1" t="s">
        <v>103</v>
      </c>
      <c r="BS298" s="1" t="s">
        <v>5590</v>
      </c>
      <c r="BT298" s="1" t="str">
        <f aca="false">HYPERLINK("https%3A%2F%2Fwww.webofscience.com%2Fwos%2Fwoscc%2Ffull-record%2FWOS:000682770701062","View Full Record in Web of Science")</f>
        <v>View Full Record in Web of Science</v>
      </c>
    </row>
    <row r="299" customFormat="false" ht="12.75" hidden="false" customHeight="false" outlineLevel="0" collapsed="false">
      <c r="A299" s="1" t="s">
        <v>72</v>
      </c>
      <c r="B299" s="1" t="s">
        <v>5488</v>
      </c>
      <c r="C299" s="1"/>
      <c r="D299" s="1"/>
      <c r="E299" s="1" t="s">
        <v>106</v>
      </c>
      <c r="F299" s="1" t="s">
        <v>5489</v>
      </c>
      <c r="G299" s="1"/>
      <c r="H299" s="1"/>
      <c r="I299" s="1" t="s">
        <v>5591</v>
      </c>
      <c r="J299" s="1" t="s">
        <v>5592</v>
      </c>
      <c r="K299" s="1"/>
      <c r="L299" s="1"/>
      <c r="M299" s="1" t="s">
        <v>78</v>
      </c>
      <c r="N299" s="1" t="s">
        <v>79</v>
      </c>
      <c r="O299" s="1" t="s">
        <v>5593</v>
      </c>
      <c r="P299" s="1" t="s">
        <v>5594</v>
      </c>
      <c r="Q299" s="1" t="s">
        <v>320</v>
      </c>
      <c r="R299" s="1" t="s">
        <v>5595</v>
      </c>
      <c r="S299" s="1"/>
      <c r="T299" s="1"/>
      <c r="U299" s="1"/>
      <c r="V299" s="1" t="s">
        <v>5596</v>
      </c>
      <c r="W299" s="1" t="s">
        <v>5597</v>
      </c>
      <c r="X299" s="1" t="s">
        <v>5496</v>
      </c>
      <c r="Y299" s="1" t="s">
        <v>191</v>
      </c>
      <c r="Z299" s="1" t="s">
        <v>5598</v>
      </c>
      <c r="AA299" s="1" t="s">
        <v>193</v>
      </c>
      <c r="AB299" s="1" t="s">
        <v>194</v>
      </c>
      <c r="AC299" s="1"/>
      <c r="AD299" s="1"/>
      <c r="AE299" s="1"/>
      <c r="AF299" s="1"/>
      <c r="AG299" s="1" t="n">
        <v>8</v>
      </c>
      <c r="AH299" s="1" t="n">
        <v>1</v>
      </c>
      <c r="AI299" s="1" t="n">
        <v>1</v>
      </c>
      <c r="AJ299" s="1" t="n">
        <v>0</v>
      </c>
      <c r="AK299" s="1" t="n">
        <v>3</v>
      </c>
      <c r="AL299" s="1" t="s">
        <v>106</v>
      </c>
      <c r="AM299" s="1" t="s">
        <v>95</v>
      </c>
      <c r="AN299" s="1" t="s">
        <v>122</v>
      </c>
      <c r="AO299" s="1"/>
      <c r="AP299" s="1"/>
      <c r="AQ299" s="1" t="s">
        <v>5599</v>
      </c>
      <c r="AR299" s="1"/>
      <c r="AS299" s="1"/>
      <c r="AT299" s="1"/>
      <c r="AU299" s="1" t="n">
        <v>2020</v>
      </c>
      <c r="AV299" s="1"/>
      <c r="AW299" s="1"/>
      <c r="AX299" s="1"/>
      <c r="AY299" s="1"/>
      <c r="AZ299" s="1"/>
      <c r="BA299" s="1"/>
      <c r="BB299" s="1" t="n">
        <v>395</v>
      </c>
      <c r="BC299" s="1" t="n">
        <v>400</v>
      </c>
      <c r="BD299" s="1"/>
      <c r="BE299" s="1" t="s">
        <v>5600</v>
      </c>
      <c r="BF299" s="1" t="str">
        <f aca="false">HYPERLINK("http://dx.doi.org/10.1109/radar42522.2020.9114554","http://dx.doi.org/10.1109/radar42522.2020.9114554")</f>
        <v>http://dx.doi.org/10.1109/radar42522.2020.9114554</v>
      </c>
      <c r="BG299" s="1"/>
      <c r="BH299" s="1"/>
      <c r="BI299" s="1" t="n">
        <v>6</v>
      </c>
      <c r="BJ299" s="1" t="s">
        <v>153</v>
      </c>
      <c r="BK299" s="1" t="s">
        <v>100</v>
      </c>
      <c r="BL299" s="1" t="s">
        <v>154</v>
      </c>
      <c r="BM299" s="1" t="s">
        <v>5601</v>
      </c>
      <c r="BN299" s="1"/>
      <c r="BO299" s="1"/>
      <c r="BP299" s="1"/>
      <c r="BQ299" s="1"/>
      <c r="BR299" s="1" t="s">
        <v>103</v>
      </c>
      <c r="BS299" s="1" t="s">
        <v>5602</v>
      </c>
      <c r="BT299" s="1" t="str">
        <f aca="false">HYPERLINK("https%3A%2F%2Fwww.webofscience.com%2Fwos%2Fwoscc%2Ffull-record%2FWOS:000609822500069","View Full Record in Web of Science")</f>
        <v>View Full Record in Web of Science</v>
      </c>
    </row>
    <row r="300" customFormat="false" ht="12.75" hidden="false" customHeight="false" outlineLevel="0" collapsed="false">
      <c r="A300" s="1" t="s">
        <v>72</v>
      </c>
      <c r="B300" s="1" t="s">
        <v>5488</v>
      </c>
      <c r="C300" s="1"/>
      <c r="D300" s="1"/>
      <c r="E300" s="1" t="s">
        <v>106</v>
      </c>
      <c r="F300" s="1" t="s">
        <v>5489</v>
      </c>
      <c r="G300" s="1"/>
      <c r="H300" s="1"/>
      <c r="I300" s="1" t="s">
        <v>5603</v>
      </c>
      <c r="J300" s="1" t="s">
        <v>5491</v>
      </c>
      <c r="K300" s="1" t="s">
        <v>3108</v>
      </c>
      <c r="L300" s="1"/>
      <c r="M300" s="1" t="s">
        <v>78</v>
      </c>
      <c r="N300" s="1" t="s">
        <v>79</v>
      </c>
      <c r="O300" s="1" t="s">
        <v>3109</v>
      </c>
      <c r="P300" s="1" t="s">
        <v>5492</v>
      </c>
      <c r="Q300" s="1" t="s">
        <v>320</v>
      </c>
      <c r="R300" s="1" t="s">
        <v>5493</v>
      </c>
      <c r="S300" s="1"/>
      <c r="T300" s="1" t="s">
        <v>5604</v>
      </c>
      <c r="U300" s="1"/>
      <c r="V300" s="1" t="s">
        <v>5605</v>
      </c>
      <c r="W300" s="1" t="s">
        <v>5495</v>
      </c>
      <c r="X300" s="1" t="s">
        <v>5496</v>
      </c>
      <c r="Y300" s="1" t="s">
        <v>191</v>
      </c>
      <c r="Z300" s="1"/>
      <c r="AA300" s="1" t="s">
        <v>193</v>
      </c>
      <c r="AB300" s="1" t="s">
        <v>194</v>
      </c>
      <c r="AC300" s="1"/>
      <c r="AD300" s="1"/>
      <c r="AE300" s="1"/>
      <c r="AF300" s="1"/>
      <c r="AG300" s="1" t="n">
        <v>4</v>
      </c>
      <c r="AH300" s="1" t="n">
        <v>0</v>
      </c>
      <c r="AI300" s="1" t="n">
        <v>0</v>
      </c>
      <c r="AJ300" s="1" t="n">
        <v>0</v>
      </c>
      <c r="AK300" s="1" t="n">
        <v>11</v>
      </c>
      <c r="AL300" s="1" t="s">
        <v>106</v>
      </c>
      <c r="AM300" s="1" t="s">
        <v>95</v>
      </c>
      <c r="AN300" s="1" t="s">
        <v>122</v>
      </c>
      <c r="AO300" s="1" t="s">
        <v>3119</v>
      </c>
      <c r="AP300" s="1"/>
      <c r="AQ300" s="1" t="s">
        <v>5497</v>
      </c>
      <c r="AR300" s="1" t="s">
        <v>3121</v>
      </c>
      <c r="AS300" s="1"/>
      <c r="AT300" s="1"/>
      <c r="AU300" s="1" t="n">
        <v>2020</v>
      </c>
      <c r="AV300" s="1"/>
      <c r="AW300" s="1"/>
      <c r="AX300" s="1"/>
      <c r="AY300" s="1"/>
      <c r="AZ300" s="1"/>
      <c r="BA300" s="1"/>
      <c r="BB300" s="1" t="n">
        <v>1985</v>
      </c>
      <c r="BC300" s="1" t="n">
        <v>1988</v>
      </c>
      <c r="BD300" s="1"/>
      <c r="BE300" s="1" t="s">
        <v>5606</v>
      </c>
      <c r="BF300" s="1" t="str">
        <f aca="false">HYPERLINK("http://dx.doi.org/10.1109/IGARSS39084.2020.9323427","http://dx.doi.org/10.1109/IGARSS39084.2020.9323427")</f>
        <v>http://dx.doi.org/10.1109/IGARSS39084.2020.9323427</v>
      </c>
      <c r="BG300" s="1"/>
      <c r="BH300" s="1"/>
      <c r="BI300" s="1" t="n">
        <v>4</v>
      </c>
      <c r="BJ300" s="1" t="s">
        <v>5499</v>
      </c>
      <c r="BK300" s="1" t="s">
        <v>100</v>
      </c>
      <c r="BL300" s="1" t="s">
        <v>5500</v>
      </c>
      <c r="BM300" s="1" t="s">
        <v>5501</v>
      </c>
      <c r="BN300" s="1"/>
      <c r="BO300" s="1"/>
      <c r="BP300" s="1"/>
      <c r="BQ300" s="1"/>
      <c r="BR300" s="1" t="s">
        <v>103</v>
      </c>
      <c r="BS300" s="1" t="s">
        <v>5607</v>
      </c>
      <c r="BT300" s="1" t="str">
        <f aca="false">HYPERLINK("https%3A%2F%2Fwww.webofscience.com%2Fwos%2Fwoscc%2Ffull-record%2FWOS:000664335302010","View Full Record in Web of Science")</f>
        <v>View Full Record in Web of Science</v>
      </c>
    </row>
    <row r="301" customFormat="false" ht="12.75" hidden="false" customHeight="false" outlineLevel="0" collapsed="false">
      <c r="A301" s="1" t="s">
        <v>72</v>
      </c>
      <c r="B301" s="1" t="s">
        <v>5608</v>
      </c>
      <c r="C301" s="1"/>
      <c r="D301" s="1"/>
      <c r="E301" s="1" t="s">
        <v>106</v>
      </c>
      <c r="F301" s="1" t="s">
        <v>5609</v>
      </c>
      <c r="G301" s="1"/>
      <c r="H301" s="1"/>
      <c r="I301" s="1" t="s">
        <v>5610</v>
      </c>
      <c r="J301" s="1" t="s">
        <v>5611</v>
      </c>
      <c r="K301" s="1"/>
      <c r="L301" s="1"/>
      <c r="M301" s="1" t="s">
        <v>78</v>
      </c>
      <c r="N301" s="1" t="s">
        <v>79</v>
      </c>
      <c r="O301" s="1" t="s">
        <v>5612</v>
      </c>
      <c r="P301" s="1" t="s">
        <v>4739</v>
      </c>
      <c r="Q301" s="1" t="s">
        <v>82</v>
      </c>
      <c r="R301" s="1" t="s">
        <v>163</v>
      </c>
      <c r="S301" s="1"/>
      <c r="T301" s="1" t="s">
        <v>5613</v>
      </c>
      <c r="U301" s="1"/>
      <c r="V301" s="1" t="s">
        <v>5614</v>
      </c>
      <c r="W301" s="1" t="s">
        <v>5615</v>
      </c>
      <c r="X301" s="1" t="s">
        <v>4809</v>
      </c>
      <c r="Y301" s="1" t="s">
        <v>5616</v>
      </c>
      <c r="Z301" s="1" t="s">
        <v>5617</v>
      </c>
      <c r="AA301" s="1" t="s">
        <v>5618</v>
      </c>
      <c r="AB301" s="1" t="s">
        <v>5619</v>
      </c>
      <c r="AC301" s="1"/>
      <c r="AD301" s="1"/>
      <c r="AE301" s="1"/>
      <c r="AF301" s="1"/>
      <c r="AG301" s="1" t="n">
        <v>35</v>
      </c>
      <c r="AH301" s="1" t="n">
        <v>1</v>
      </c>
      <c r="AI301" s="1" t="n">
        <v>1</v>
      </c>
      <c r="AJ301" s="1" t="n">
        <v>0</v>
      </c>
      <c r="AK301" s="1" t="n">
        <v>3</v>
      </c>
      <c r="AL301" s="1" t="s">
        <v>106</v>
      </c>
      <c r="AM301" s="1" t="s">
        <v>95</v>
      </c>
      <c r="AN301" s="1" t="s">
        <v>122</v>
      </c>
      <c r="AO301" s="1"/>
      <c r="AP301" s="1"/>
      <c r="AQ301" s="1" t="s">
        <v>5620</v>
      </c>
      <c r="AR301" s="1"/>
      <c r="AS301" s="1"/>
      <c r="AT301" s="1"/>
      <c r="AU301" s="1" t="n">
        <v>2023</v>
      </c>
      <c r="AV301" s="1"/>
      <c r="AW301" s="1"/>
      <c r="AX301" s="1"/>
      <c r="AY301" s="1"/>
      <c r="AZ301" s="1"/>
      <c r="BA301" s="1"/>
      <c r="BB301" s="1" t="n">
        <v>72</v>
      </c>
      <c r="BC301" s="1" t="n">
        <v>81</v>
      </c>
      <c r="BD301" s="1"/>
      <c r="BE301" s="1" t="s">
        <v>5621</v>
      </c>
      <c r="BF301" s="1" t="str">
        <f aca="false">HYPERLINK("http://dx.doi.org/10.1109/TechDebt59074.2023.00015","http://dx.doi.org/10.1109/TechDebt59074.2023.00015")</f>
        <v>http://dx.doi.org/10.1109/TechDebt59074.2023.00015</v>
      </c>
      <c r="BG301" s="1"/>
      <c r="BH301" s="1"/>
      <c r="BI301" s="1" t="n">
        <v>10</v>
      </c>
      <c r="BJ301" s="1" t="s">
        <v>2618</v>
      </c>
      <c r="BK301" s="1" t="s">
        <v>100</v>
      </c>
      <c r="BL301" s="1" t="s">
        <v>2619</v>
      </c>
      <c r="BM301" s="1" t="s">
        <v>5622</v>
      </c>
      <c r="BN301" s="1"/>
      <c r="BO301" s="1" t="s">
        <v>1009</v>
      </c>
      <c r="BP301" s="1"/>
      <c r="BQ301" s="1"/>
      <c r="BR301" s="1" t="s">
        <v>103</v>
      </c>
      <c r="BS301" s="1" t="s">
        <v>5623</v>
      </c>
      <c r="BT301" s="1" t="str">
        <f aca="false">HYPERLINK("https%3A%2F%2Fwww.webofscience.com%2Fwos%2Fwoscc%2Ffull-record%2FWOS:001051233000009","View Full Record in Web of Science")</f>
        <v>View Full Record in Web of Science</v>
      </c>
    </row>
    <row r="302" customFormat="false" ht="12.75" hidden="false" customHeight="false" outlineLevel="0" collapsed="false">
      <c r="A302" s="1" t="s">
        <v>181</v>
      </c>
      <c r="B302" s="1" t="s">
        <v>5624</v>
      </c>
      <c r="C302" s="1"/>
      <c r="D302" s="1"/>
      <c r="E302" s="1"/>
      <c r="F302" s="1" t="s">
        <v>5625</v>
      </c>
      <c r="G302" s="1"/>
      <c r="H302" s="1"/>
      <c r="I302" s="1" t="s">
        <v>5626</v>
      </c>
      <c r="J302" s="1" t="s">
        <v>4178</v>
      </c>
      <c r="K302" s="1"/>
      <c r="L302" s="1"/>
      <c r="M302" s="1" t="s">
        <v>78</v>
      </c>
      <c r="N302" s="1" t="s">
        <v>186</v>
      </c>
      <c r="O302" s="1"/>
      <c r="P302" s="1"/>
      <c r="Q302" s="1"/>
      <c r="R302" s="1"/>
      <c r="S302" s="1"/>
      <c r="T302" s="1" t="s">
        <v>5627</v>
      </c>
      <c r="U302" s="1" t="s">
        <v>5628</v>
      </c>
      <c r="V302" s="1" t="s">
        <v>5629</v>
      </c>
      <c r="W302" s="1" t="s">
        <v>5630</v>
      </c>
      <c r="X302" s="1" t="s">
        <v>5631</v>
      </c>
      <c r="Y302" s="1" t="s">
        <v>5632</v>
      </c>
      <c r="Z302" s="1" t="s">
        <v>5633</v>
      </c>
      <c r="AA302" s="1" t="s">
        <v>1091</v>
      </c>
      <c r="AB302" s="1" t="s">
        <v>5634</v>
      </c>
      <c r="AC302" s="1" t="s">
        <v>5635</v>
      </c>
      <c r="AD302" s="1" t="s">
        <v>5636</v>
      </c>
      <c r="AE302" s="1" t="s">
        <v>5637</v>
      </c>
      <c r="AF302" s="1"/>
      <c r="AG302" s="1" t="n">
        <v>46</v>
      </c>
      <c r="AH302" s="1" t="n">
        <v>1</v>
      </c>
      <c r="AI302" s="1" t="n">
        <v>1</v>
      </c>
      <c r="AJ302" s="1" t="n">
        <v>0</v>
      </c>
      <c r="AK302" s="1" t="n">
        <v>6</v>
      </c>
      <c r="AL302" s="1" t="s">
        <v>600</v>
      </c>
      <c r="AM302" s="1" t="s">
        <v>601</v>
      </c>
      <c r="AN302" s="1" t="s">
        <v>602</v>
      </c>
      <c r="AO302" s="1" t="s">
        <v>4190</v>
      </c>
      <c r="AP302" s="1" t="s">
        <v>4191</v>
      </c>
      <c r="AQ302" s="1"/>
      <c r="AR302" s="1" t="s">
        <v>4192</v>
      </c>
      <c r="AS302" s="1" t="s">
        <v>4193</v>
      </c>
      <c r="AT302" s="1" t="s">
        <v>537</v>
      </c>
      <c r="AU302" s="1" t="n">
        <v>2022</v>
      </c>
      <c r="AV302" s="1" t="n">
        <v>34</v>
      </c>
      <c r="AW302" s="1" t="n">
        <v>2</v>
      </c>
      <c r="AX302" s="1"/>
      <c r="AY302" s="1"/>
      <c r="AZ302" s="1"/>
      <c r="BA302" s="1"/>
      <c r="BB302" s="1"/>
      <c r="BC302" s="1"/>
      <c r="BD302" s="1" t="s">
        <v>5638</v>
      </c>
      <c r="BE302" s="1" t="s">
        <v>5639</v>
      </c>
      <c r="BF302" s="1" t="str">
        <f aca="false">HYPERLINK("http://dx.doi.org/10.1002/smr.2425","http://dx.doi.org/10.1002/smr.2425")</f>
        <v>http://dx.doi.org/10.1002/smr.2425</v>
      </c>
      <c r="BG302" s="1"/>
      <c r="BH302" s="1" t="s">
        <v>2540</v>
      </c>
      <c r="BI302" s="1" t="n">
        <v>16</v>
      </c>
      <c r="BJ302" s="1" t="s">
        <v>252</v>
      </c>
      <c r="BK302" s="1" t="s">
        <v>204</v>
      </c>
      <c r="BL302" s="1" t="s">
        <v>101</v>
      </c>
      <c r="BM302" s="1" t="s">
        <v>5640</v>
      </c>
      <c r="BN302" s="1"/>
      <c r="BO302" s="1" t="s">
        <v>1373</v>
      </c>
      <c r="BP302" s="1"/>
      <c r="BQ302" s="1"/>
      <c r="BR302" s="1" t="s">
        <v>103</v>
      </c>
      <c r="BS302" s="1" t="s">
        <v>5641</v>
      </c>
      <c r="BT302" s="1" t="str">
        <f aca="false">HYPERLINK("https%3A%2F%2Fwww.webofscience.com%2Fwos%2Fwoscc%2Ffull-record%2FWOS:000740993400001","View Full Record in Web of Science")</f>
        <v>View Full Record in Web of Science</v>
      </c>
    </row>
    <row r="303" customFormat="false" ht="12.75" hidden="false" customHeight="false" outlineLevel="0" collapsed="false">
      <c r="A303" s="1" t="s">
        <v>181</v>
      </c>
      <c r="B303" s="1" t="s">
        <v>5642</v>
      </c>
      <c r="C303" s="1"/>
      <c r="D303" s="1"/>
      <c r="E303" s="1"/>
      <c r="F303" s="1" t="s">
        <v>5643</v>
      </c>
      <c r="G303" s="1"/>
      <c r="H303" s="1"/>
      <c r="I303" s="1" t="s">
        <v>5644</v>
      </c>
      <c r="J303" s="1" t="s">
        <v>381</v>
      </c>
      <c r="K303" s="1"/>
      <c r="L303" s="1"/>
      <c r="M303" s="1" t="s">
        <v>78</v>
      </c>
      <c r="N303" s="1" t="s">
        <v>186</v>
      </c>
      <c r="O303" s="1"/>
      <c r="P303" s="1"/>
      <c r="Q303" s="1"/>
      <c r="R303" s="1"/>
      <c r="S303" s="1"/>
      <c r="T303" s="1" t="s">
        <v>5645</v>
      </c>
      <c r="U303" s="1" t="s">
        <v>5646</v>
      </c>
      <c r="V303" s="1" t="s">
        <v>5647</v>
      </c>
      <c r="W303" s="1" t="s">
        <v>5648</v>
      </c>
      <c r="X303" s="1" t="s">
        <v>5649</v>
      </c>
      <c r="Y303" s="1" t="s">
        <v>5650</v>
      </c>
      <c r="Z303" s="1" t="s">
        <v>5651</v>
      </c>
      <c r="AA303" s="1" t="s">
        <v>5652</v>
      </c>
      <c r="AB303" s="1" t="s">
        <v>5653</v>
      </c>
      <c r="AC303" s="1" t="s">
        <v>391</v>
      </c>
      <c r="AD303" s="1" t="s">
        <v>391</v>
      </c>
      <c r="AE303" s="1" t="s">
        <v>5654</v>
      </c>
      <c r="AF303" s="1"/>
      <c r="AG303" s="1" t="n">
        <v>93</v>
      </c>
      <c r="AH303" s="1" t="n">
        <v>19</v>
      </c>
      <c r="AI303" s="1" t="n">
        <v>20</v>
      </c>
      <c r="AJ303" s="1" t="n">
        <v>15</v>
      </c>
      <c r="AK303" s="1" t="n">
        <v>191</v>
      </c>
      <c r="AL303" s="1" t="s">
        <v>367</v>
      </c>
      <c r="AM303" s="1" t="s">
        <v>368</v>
      </c>
      <c r="AN303" s="1" t="s">
        <v>369</v>
      </c>
      <c r="AO303" s="1"/>
      <c r="AP303" s="1" t="s">
        <v>393</v>
      </c>
      <c r="AQ303" s="1"/>
      <c r="AR303" s="1" t="s">
        <v>394</v>
      </c>
      <c r="AS303" s="1" t="s">
        <v>395</v>
      </c>
      <c r="AT303" s="1" t="s">
        <v>711</v>
      </c>
      <c r="AU303" s="1" t="n">
        <v>2021</v>
      </c>
      <c r="AV303" s="1" t="n">
        <v>13</v>
      </c>
      <c r="AW303" s="1" t="n">
        <v>15</v>
      </c>
      <c r="AX303" s="1"/>
      <c r="AY303" s="1"/>
      <c r="AZ303" s="1"/>
      <c r="BA303" s="1"/>
      <c r="BB303" s="1"/>
      <c r="BC303" s="1"/>
      <c r="BD303" s="1" t="n">
        <v>8132</v>
      </c>
      <c r="BE303" s="1" t="s">
        <v>5655</v>
      </c>
      <c r="BF303" s="1" t="str">
        <f aca="false">HYPERLINK("http://dx.doi.org/10.3390/su13158132","http://dx.doi.org/10.3390/su13158132")</f>
        <v>http://dx.doi.org/10.3390/su13158132</v>
      </c>
      <c r="BG303" s="1"/>
      <c r="BH303" s="1"/>
      <c r="BI303" s="1" t="n">
        <v>21</v>
      </c>
      <c r="BJ303" s="1" t="s">
        <v>397</v>
      </c>
      <c r="BK303" s="1" t="s">
        <v>398</v>
      </c>
      <c r="BL303" s="1" t="s">
        <v>399</v>
      </c>
      <c r="BM303" s="1" t="s">
        <v>5656</v>
      </c>
      <c r="BN303" s="1"/>
      <c r="BO303" s="1" t="s">
        <v>179</v>
      </c>
      <c r="BP303" s="1"/>
      <c r="BQ303" s="1"/>
      <c r="BR303" s="1" t="s">
        <v>103</v>
      </c>
      <c r="BS303" s="1" t="s">
        <v>5657</v>
      </c>
      <c r="BT303" s="1" t="str">
        <f aca="false">HYPERLINK("https%3A%2F%2Fwww.webofscience.com%2Fwos%2Fwoscc%2Ffull-record%2FWOS:000682220000001","View Full Record in Web of Science")</f>
        <v>View Full Record in Web of Science</v>
      </c>
    </row>
    <row r="304" customFormat="false" ht="12.75" hidden="false" customHeight="false" outlineLevel="0" collapsed="false">
      <c r="A304" s="1" t="s">
        <v>181</v>
      </c>
      <c r="B304" s="1" t="s">
        <v>5658</v>
      </c>
      <c r="C304" s="1"/>
      <c r="D304" s="1"/>
      <c r="E304" s="1"/>
      <c r="F304" s="1" t="s">
        <v>5659</v>
      </c>
      <c r="G304" s="1"/>
      <c r="H304" s="1"/>
      <c r="I304" s="1" t="s">
        <v>5660</v>
      </c>
      <c r="J304" s="1" t="s">
        <v>1378</v>
      </c>
      <c r="K304" s="1"/>
      <c r="L304" s="1"/>
      <c r="M304" s="1" t="s">
        <v>78</v>
      </c>
      <c r="N304" s="1" t="s">
        <v>186</v>
      </c>
      <c r="O304" s="1"/>
      <c r="P304" s="1"/>
      <c r="Q304" s="1"/>
      <c r="R304" s="1"/>
      <c r="S304" s="1"/>
      <c r="T304" s="1" t="s">
        <v>5661</v>
      </c>
      <c r="U304" s="1"/>
      <c r="V304" s="1" t="s">
        <v>5662</v>
      </c>
      <c r="W304" s="1" t="s">
        <v>5663</v>
      </c>
      <c r="X304" s="1" t="s">
        <v>5664</v>
      </c>
      <c r="Y304" s="1" t="s">
        <v>5665</v>
      </c>
      <c r="Z304" s="1" t="s">
        <v>5666</v>
      </c>
      <c r="AA304" s="1"/>
      <c r="AB304" s="1" t="s">
        <v>5667</v>
      </c>
      <c r="AC304" s="1" t="s">
        <v>5668</v>
      </c>
      <c r="AD304" s="1" t="s">
        <v>5668</v>
      </c>
      <c r="AE304" s="1" t="s">
        <v>5059</v>
      </c>
      <c r="AF304" s="1"/>
      <c r="AG304" s="1" t="n">
        <v>69</v>
      </c>
      <c r="AH304" s="1" t="n">
        <v>23</v>
      </c>
      <c r="AI304" s="1" t="n">
        <v>24</v>
      </c>
      <c r="AJ304" s="1" t="n">
        <v>0</v>
      </c>
      <c r="AK304" s="1" t="n">
        <v>13</v>
      </c>
      <c r="AL304" s="1" t="s">
        <v>893</v>
      </c>
      <c r="AM304" s="1" t="s">
        <v>894</v>
      </c>
      <c r="AN304" s="1" t="s">
        <v>895</v>
      </c>
      <c r="AO304" s="1" t="s">
        <v>1387</v>
      </c>
      <c r="AP304" s="1" t="s">
        <v>1388</v>
      </c>
      <c r="AQ304" s="1"/>
      <c r="AR304" s="1" t="s">
        <v>1389</v>
      </c>
      <c r="AS304" s="1" t="s">
        <v>1390</v>
      </c>
      <c r="AT304" s="1" t="s">
        <v>1362</v>
      </c>
      <c r="AU304" s="1" t="n">
        <v>2021</v>
      </c>
      <c r="AV304" s="1" t="n">
        <v>138</v>
      </c>
      <c r="AW304" s="1"/>
      <c r="AX304" s="1"/>
      <c r="AY304" s="1"/>
      <c r="AZ304" s="1"/>
      <c r="BA304" s="1"/>
      <c r="BB304" s="1"/>
      <c r="BC304" s="1"/>
      <c r="BD304" s="1" t="n">
        <v>106625</v>
      </c>
      <c r="BE304" s="1" t="s">
        <v>5669</v>
      </c>
      <c r="BF304" s="1" t="str">
        <f aca="false">HYPERLINK("http://dx.doi.org/10.1016/j.infsof.2021.106625","http://dx.doi.org/10.1016/j.infsof.2021.106625")</f>
        <v>http://dx.doi.org/10.1016/j.infsof.2021.106625</v>
      </c>
      <c r="BG304" s="1"/>
      <c r="BH304" s="1" t="s">
        <v>1970</v>
      </c>
      <c r="BI304" s="1" t="n">
        <v>12</v>
      </c>
      <c r="BJ304" s="1" t="s">
        <v>1394</v>
      </c>
      <c r="BK304" s="1" t="s">
        <v>204</v>
      </c>
      <c r="BL304" s="1" t="s">
        <v>101</v>
      </c>
      <c r="BM304" s="1" t="s">
        <v>5670</v>
      </c>
      <c r="BN304" s="1"/>
      <c r="BO304" s="1"/>
      <c r="BP304" s="1"/>
      <c r="BQ304" s="1"/>
      <c r="BR304" s="1" t="s">
        <v>103</v>
      </c>
      <c r="BS304" s="1" t="s">
        <v>5671</v>
      </c>
      <c r="BT304" s="1" t="str">
        <f aca="false">HYPERLINK("https%3A%2F%2Fwww.webofscience.com%2Fwos%2Fwoscc%2Ffull-record%2FWOS:000672531500005","View Full Record in Web of Science")</f>
        <v>View Full Record in Web of Science</v>
      </c>
    </row>
    <row r="305" customFormat="false" ht="12.75" hidden="false" customHeight="false" outlineLevel="0" collapsed="false">
      <c r="A305" s="1" t="s">
        <v>181</v>
      </c>
      <c r="B305" s="1" t="s">
        <v>5672</v>
      </c>
      <c r="C305" s="1"/>
      <c r="D305" s="1"/>
      <c r="E305" s="1"/>
      <c r="F305" s="1" t="s">
        <v>5673</v>
      </c>
      <c r="G305" s="1"/>
      <c r="H305" s="1"/>
      <c r="I305" s="1" t="s">
        <v>5674</v>
      </c>
      <c r="J305" s="1" t="s">
        <v>5675</v>
      </c>
      <c r="K305" s="1"/>
      <c r="L305" s="1"/>
      <c r="M305" s="1" t="s">
        <v>78</v>
      </c>
      <c r="N305" s="1" t="s">
        <v>186</v>
      </c>
      <c r="O305" s="1"/>
      <c r="P305" s="1"/>
      <c r="Q305" s="1"/>
      <c r="R305" s="1"/>
      <c r="S305" s="1"/>
      <c r="T305" s="1" t="s">
        <v>5676</v>
      </c>
      <c r="U305" s="1" t="s">
        <v>5677</v>
      </c>
      <c r="V305" s="1" t="s">
        <v>5678</v>
      </c>
      <c r="W305" s="1" t="s">
        <v>5679</v>
      </c>
      <c r="X305" s="1" t="s">
        <v>5680</v>
      </c>
      <c r="Y305" s="1" t="s">
        <v>5681</v>
      </c>
      <c r="Z305" s="1" t="s">
        <v>5682</v>
      </c>
      <c r="AA305" s="1" t="s">
        <v>5683</v>
      </c>
      <c r="AB305" s="1" t="s">
        <v>5684</v>
      </c>
      <c r="AC305" s="1"/>
      <c r="AD305" s="1"/>
      <c r="AE305" s="1"/>
      <c r="AF305" s="1"/>
      <c r="AG305" s="1" t="n">
        <v>52</v>
      </c>
      <c r="AH305" s="1" t="n">
        <v>13</v>
      </c>
      <c r="AI305" s="1" t="n">
        <v>13</v>
      </c>
      <c r="AJ305" s="1" t="n">
        <v>4</v>
      </c>
      <c r="AK305" s="1" t="n">
        <v>16</v>
      </c>
      <c r="AL305" s="1" t="s">
        <v>5685</v>
      </c>
      <c r="AM305" s="1" t="s">
        <v>5686</v>
      </c>
      <c r="AN305" s="1" t="s">
        <v>5687</v>
      </c>
      <c r="AO305" s="1" t="s">
        <v>5688</v>
      </c>
      <c r="AP305" s="1" t="s">
        <v>5689</v>
      </c>
      <c r="AQ305" s="1"/>
      <c r="AR305" s="1" t="s">
        <v>5690</v>
      </c>
      <c r="AS305" s="1" t="s">
        <v>5691</v>
      </c>
      <c r="AT305" s="1" t="s">
        <v>5692</v>
      </c>
      <c r="AU305" s="1" t="n">
        <v>2021</v>
      </c>
      <c r="AV305" s="1" t="n">
        <v>32</v>
      </c>
      <c r="AW305" s="1" t="n">
        <v>9</v>
      </c>
      <c r="AX305" s="1"/>
      <c r="AY305" s="1"/>
      <c r="AZ305" s="1"/>
      <c r="BA305" s="1"/>
      <c r="BB305" s="1" t="n">
        <v>122</v>
      </c>
      <c r="BC305" s="1" t="n">
        <v>141</v>
      </c>
      <c r="BD305" s="1"/>
      <c r="BE305" s="1" t="s">
        <v>5693</v>
      </c>
      <c r="BF305" s="1" t="str">
        <f aca="false">HYPERLINK("http://dx.doi.org/10.1108/JMTM-08-2020-0301","http://dx.doi.org/10.1108/JMTM-08-2020-0301")</f>
        <v>http://dx.doi.org/10.1108/JMTM-08-2020-0301</v>
      </c>
      <c r="BG305" s="1"/>
      <c r="BH305" s="1"/>
      <c r="BI305" s="1" t="n">
        <v>20</v>
      </c>
      <c r="BJ305" s="1" t="s">
        <v>5694</v>
      </c>
      <c r="BK305" s="1" t="s">
        <v>398</v>
      </c>
      <c r="BL305" s="1" t="s">
        <v>5695</v>
      </c>
      <c r="BM305" s="1" t="s">
        <v>5696</v>
      </c>
      <c r="BN305" s="1"/>
      <c r="BO305" s="1" t="s">
        <v>2335</v>
      </c>
      <c r="BP305" s="1"/>
      <c r="BQ305" s="1"/>
      <c r="BR305" s="1" t="s">
        <v>103</v>
      </c>
      <c r="BS305" s="1" t="s">
        <v>5697</v>
      </c>
      <c r="BT305" s="1" t="str">
        <f aca="false">HYPERLINK("https%3A%2F%2Fwww.webofscience.com%2Fwos%2Fwoscc%2Ffull-record%2FWOS:000761724400001","View Full Record in Web of Science")</f>
        <v>View Full Record in Web of Science</v>
      </c>
    </row>
    <row r="306" customFormat="false" ht="12.75" hidden="false" customHeight="false" outlineLevel="0" collapsed="false">
      <c r="A306" s="1" t="s">
        <v>181</v>
      </c>
      <c r="B306" s="1" t="s">
        <v>5698</v>
      </c>
      <c r="C306" s="1"/>
      <c r="D306" s="1"/>
      <c r="E306" s="1"/>
      <c r="F306" s="1" t="s">
        <v>5699</v>
      </c>
      <c r="G306" s="1"/>
      <c r="H306" s="1"/>
      <c r="I306" s="1" t="s">
        <v>5700</v>
      </c>
      <c r="J306" s="1" t="s">
        <v>5701</v>
      </c>
      <c r="K306" s="1"/>
      <c r="L306" s="1"/>
      <c r="M306" s="1" t="s">
        <v>78</v>
      </c>
      <c r="N306" s="1" t="s">
        <v>618</v>
      </c>
      <c r="O306" s="1"/>
      <c r="P306" s="1"/>
      <c r="Q306" s="1"/>
      <c r="R306" s="1"/>
      <c r="S306" s="1"/>
      <c r="T306" s="1" t="s">
        <v>5702</v>
      </c>
      <c r="U306" s="1" t="s">
        <v>5703</v>
      </c>
      <c r="V306" s="1" t="s">
        <v>5704</v>
      </c>
      <c r="W306" s="1" t="s">
        <v>5705</v>
      </c>
      <c r="X306" s="1" t="s">
        <v>5706</v>
      </c>
      <c r="Y306" s="1" t="s">
        <v>5707</v>
      </c>
      <c r="Z306" s="1" t="s">
        <v>5708</v>
      </c>
      <c r="AA306" s="1" t="s">
        <v>5709</v>
      </c>
      <c r="AB306" s="1" t="s">
        <v>5710</v>
      </c>
      <c r="AC306" s="1" t="s">
        <v>5711</v>
      </c>
      <c r="AD306" s="1" t="s">
        <v>5711</v>
      </c>
      <c r="AE306" s="1" t="s">
        <v>5712</v>
      </c>
      <c r="AF306" s="1"/>
      <c r="AG306" s="1" t="n">
        <v>65</v>
      </c>
      <c r="AH306" s="1" t="n">
        <v>0</v>
      </c>
      <c r="AI306" s="1" t="n">
        <v>0</v>
      </c>
      <c r="AJ306" s="1" t="n">
        <v>2</v>
      </c>
      <c r="AK306" s="1" t="n">
        <v>7</v>
      </c>
      <c r="AL306" s="1" t="s">
        <v>5713</v>
      </c>
      <c r="AM306" s="1" t="s">
        <v>1908</v>
      </c>
      <c r="AN306" s="1" t="s">
        <v>5714</v>
      </c>
      <c r="AO306" s="1" t="s">
        <v>5715</v>
      </c>
      <c r="AP306" s="1"/>
      <c r="AQ306" s="1"/>
      <c r="AR306" s="1" t="s">
        <v>5716</v>
      </c>
      <c r="AS306" s="1" t="s">
        <v>5717</v>
      </c>
      <c r="AT306" s="1"/>
      <c r="AU306" s="1" t="n">
        <v>2024</v>
      </c>
      <c r="AV306" s="1" t="n">
        <v>10</v>
      </c>
      <c r="AW306" s="1"/>
      <c r="AX306" s="1"/>
      <c r="AY306" s="1"/>
      <c r="AZ306" s="1"/>
      <c r="BA306" s="1"/>
      <c r="BB306" s="1"/>
      <c r="BC306" s="1"/>
      <c r="BD306" s="1" t="n">
        <v>20552076241241200</v>
      </c>
      <c r="BE306" s="1" t="s">
        <v>5718</v>
      </c>
      <c r="BF306" s="1" t="str">
        <f aca="false">HYPERLINK("http://dx.doi.org/10.1177/20552076241241231","http://dx.doi.org/10.1177/20552076241241231")</f>
        <v>http://dx.doi.org/10.1177/20552076241241231</v>
      </c>
      <c r="BG306" s="1"/>
      <c r="BH306" s="1"/>
      <c r="BI306" s="1" t="n">
        <v>9</v>
      </c>
      <c r="BJ306" s="1" t="s">
        <v>5719</v>
      </c>
      <c r="BK306" s="1" t="s">
        <v>398</v>
      </c>
      <c r="BL306" s="1" t="s">
        <v>5720</v>
      </c>
      <c r="BM306" s="1" t="s">
        <v>5721</v>
      </c>
      <c r="BN306" s="1" t="n">
        <v>38510573</v>
      </c>
      <c r="BO306" s="1" t="s">
        <v>401</v>
      </c>
      <c r="BP306" s="1"/>
      <c r="BQ306" s="1"/>
      <c r="BR306" s="1" t="s">
        <v>103</v>
      </c>
      <c r="BS306" s="1" t="s">
        <v>5722</v>
      </c>
      <c r="BT306" s="1" t="str">
        <f aca="false">HYPERLINK("https%3A%2F%2Fwww.webofscience.com%2Fwos%2Fwoscc%2Ffull-record%2FWOS:001187351500001","View Full Record in Web of Science")</f>
        <v>View Full Record in Web of Science</v>
      </c>
    </row>
    <row r="307" customFormat="false" ht="12.75" hidden="false" customHeight="false" outlineLevel="0" collapsed="false">
      <c r="A307" s="1" t="s">
        <v>72</v>
      </c>
      <c r="B307" s="1" t="s">
        <v>5723</v>
      </c>
      <c r="C307" s="1"/>
      <c r="D307" s="1"/>
      <c r="E307" s="1" t="s">
        <v>106</v>
      </c>
      <c r="F307" s="1" t="s">
        <v>5724</v>
      </c>
      <c r="G307" s="1"/>
      <c r="H307" s="1"/>
      <c r="I307" s="1" t="s">
        <v>5725</v>
      </c>
      <c r="J307" s="1" t="s">
        <v>134</v>
      </c>
      <c r="K307" s="1" t="s">
        <v>135</v>
      </c>
      <c r="L307" s="1"/>
      <c r="M307" s="1" t="s">
        <v>78</v>
      </c>
      <c r="N307" s="1" t="s">
        <v>79</v>
      </c>
      <c r="O307" s="1" t="s">
        <v>136</v>
      </c>
      <c r="P307" s="1" t="s">
        <v>137</v>
      </c>
      <c r="Q307" s="1" t="s">
        <v>138</v>
      </c>
      <c r="R307" s="1" t="s">
        <v>139</v>
      </c>
      <c r="S307" s="1"/>
      <c r="T307" s="1" t="s">
        <v>5726</v>
      </c>
      <c r="U307" s="1"/>
      <c r="V307" s="1" t="s">
        <v>5727</v>
      </c>
      <c r="W307" s="1" t="s">
        <v>5728</v>
      </c>
      <c r="X307" s="1" t="s">
        <v>5440</v>
      </c>
      <c r="Y307" s="1" t="s">
        <v>2218</v>
      </c>
      <c r="Z307" s="1" t="s">
        <v>5729</v>
      </c>
      <c r="AA307" s="1"/>
      <c r="AB307" s="1"/>
      <c r="AC307" s="1" t="s">
        <v>5730</v>
      </c>
      <c r="AD307" s="1" t="s">
        <v>5731</v>
      </c>
      <c r="AE307" s="1" t="s">
        <v>5732</v>
      </c>
      <c r="AF307" s="1"/>
      <c r="AG307" s="1" t="n">
        <v>7</v>
      </c>
      <c r="AH307" s="1" t="n">
        <v>0</v>
      </c>
      <c r="AI307" s="1" t="n">
        <v>0</v>
      </c>
      <c r="AJ307" s="1" t="n">
        <v>0</v>
      </c>
      <c r="AK307" s="1" t="n">
        <v>0</v>
      </c>
      <c r="AL307" s="1" t="s">
        <v>106</v>
      </c>
      <c r="AM307" s="1" t="s">
        <v>95</v>
      </c>
      <c r="AN307" s="1" t="s">
        <v>122</v>
      </c>
      <c r="AO307" s="1" t="s">
        <v>149</v>
      </c>
      <c r="AP307" s="1"/>
      <c r="AQ307" s="1" t="s">
        <v>150</v>
      </c>
      <c r="AR307" s="1" t="s">
        <v>151</v>
      </c>
      <c r="AS307" s="1"/>
      <c r="AT307" s="1"/>
      <c r="AU307" s="1" t="n">
        <v>2024</v>
      </c>
      <c r="AV307" s="1"/>
      <c r="AW307" s="1"/>
      <c r="AX307" s="1"/>
      <c r="AY307" s="1"/>
      <c r="AZ307" s="1"/>
      <c r="BA307" s="1"/>
      <c r="BB307" s="1" t="n">
        <v>706</v>
      </c>
      <c r="BC307" s="1" t="n">
        <v>711</v>
      </c>
      <c r="BD307" s="1"/>
      <c r="BE307" s="1" t="s">
        <v>5733</v>
      </c>
      <c r="BF307" s="1" t="str">
        <f aca="false">HYPERLINK("http://dx.doi.org/10.1109/ICCE62051.2024.10634739","http://dx.doi.org/10.1109/ICCE62051.2024.10634739")</f>
        <v>http://dx.doi.org/10.1109/ICCE62051.2024.10634739</v>
      </c>
      <c r="BG307" s="1"/>
      <c r="BH307" s="1"/>
      <c r="BI307" s="1" t="n">
        <v>6</v>
      </c>
      <c r="BJ307" s="1" t="s">
        <v>153</v>
      </c>
      <c r="BK307" s="1" t="s">
        <v>100</v>
      </c>
      <c r="BL307" s="1" t="s">
        <v>154</v>
      </c>
      <c r="BM307" s="1" t="s">
        <v>155</v>
      </c>
      <c r="BN307" s="1"/>
      <c r="BO307" s="1"/>
      <c r="BP307" s="1"/>
      <c r="BQ307" s="1"/>
      <c r="BR307" s="1" t="s">
        <v>103</v>
      </c>
      <c r="BS307" s="1" t="s">
        <v>5734</v>
      </c>
      <c r="BT307" s="1" t="str">
        <f aca="false">HYPERLINK("https%3A%2F%2Fwww.webofscience.com%2Fwos%2Fwoscc%2Ffull-record%2FWOS:001327716100125","View Full Record in Web of Science")</f>
        <v>View Full Record in Web of Science</v>
      </c>
    </row>
    <row r="308" customFormat="false" ht="12.75" hidden="false" customHeight="false" outlineLevel="0" collapsed="false">
      <c r="A308" s="1" t="s">
        <v>181</v>
      </c>
      <c r="B308" s="1" t="s">
        <v>5735</v>
      </c>
      <c r="C308" s="1"/>
      <c r="D308" s="1"/>
      <c r="E308" s="1"/>
      <c r="F308" s="1" t="s">
        <v>5736</v>
      </c>
      <c r="G308" s="1"/>
      <c r="H308" s="1"/>
      <c r="I308" s="1" t="s">
        <v>5737</v>
      </c>
      <c r="J308" s="1" t="s">
        <v>5738</v>
      </c>
      <c r="K308" s="1"/>
      <c r="L308" s="1"/>
      <c r="M308" s="1" t="s">
        <v>78</v>
      </c>
      <c r="N308" s="1" t="s">
        <v>186</v>
      </c>
      <c r="O308" s="1"/>
      <c r="P308" s="1"/>
      <c r="Q308" s="1"/>
      <c r="R308" s="1"/>
      <c r="S308" s="1"/>
      <c r="T308" s="1" t="s">
        <v>5739</v>
      </c>
      <c r="U308" s="1" t="s">
        <v>5740</v>
      </c>
      <c r="V308" s="1" t="s">
        <v>5741</v>
      </c>
      <c r="W308" s="1" t="s">
        <v>5742</v>
      </c>
      <c r="X308" s="1" t="s">
        <v>5743</v>
      </c>
      <c r="Y308" s="1" t="s">
        <v>5744</v>
      </c>
      <c r="Z308" s="1" t="s">
        <v>5745</v>
      </c>
      <c r="AA308" s="1" t="s">
        <v>5746</v>
      </c>
      <c r="AB308" s="1" t="s">
        <v>5747</v>
      </c>
      <c r="AC308" s="1" t="s">
        <v>5748</v>
      </c>
      <c r="AD308" s="1" t="s">
        <v>5749</v>
      </c>
      <c r="AE308" s="1" t="s">
        <v>5750</v>
      </c>
      <c r="AF308" s="1"/>
      <c r="AG308" s="1" t="n">
        <v>75</v>
      </c>
      <c r="AH308" s="1" t="n">
        <v>1</v>
      </c>
      <c r="AI308" s="1" t="n">
        <v>1</v>
      </c>
      <c r="AJ308" s="1" t="n">
        <v>5</v>
      </c>
      <c r="AK308" s="1" t="n">
        <v>17</v>
      </c>
      <c r="AL308" s="1" t="s">
        <v>1220</v>
      </c>
      <c r="AM308" s="1" t="s">
        <v>1221</v>
      </c>
      <c r="AN308" s="1" t="s">
        <v>1222</v>
      </c>
      <c r="AO308" s="1" t="s">
        <v>5751</v>
      </c>
      <c r="AP308" s="1" t="s">
        <v>5752</v>
      </c>
      <c r="AQ308" s="1"/>
      <c r="AR308" s="1" t="s">
        <v>5753</v>
      </c>
      <c r="AS308" s="1" t="s">
        <v>5754</v>
      </c>
      <c r="AT308" s="1" t="s">
        <v>5755</v>
      </c>
      <c r="AU308" s="1" t="n">
        <v>2024</v>
      </c>
      <c r="AV308" s="1" t="n">
        <v>58</v>
      </c>
      <c r="AW308" s="1" t="n">
        <v>5</v>
      </c>
      <c r="AX308" s="1"/>
      <c r="AY308" s="1"/>
      <c r="AZ308" s="1"/>
      <c r="BA308" s="1"/>
      <c r="BB308" s="1" t="n">
        <v>922</v>
      </c>
      <c r="BC308" s="1" t="n">
        <v>937</v>
      </c>
      <c r="BD308" s="1"/>
      <c r="BE308" s="1" t="s">
        <v>5756</v>
      </c>
      <c r="BF308" s="1" t="str">
        <f aca="false">HYPERLINK("http://dx.doi.org/10.1080/00343404.2023.2228347","http://dx.doi.org/10.1080/00343404.2023.2228347")</f>
        <v>http://dx.doi.org/10.1080/00343404.2023.2228347</v>
      </c>
      <c r="BG308" s="1"/>
      <c r="BH308" s="1" t="s">
        <v>3898</v>
      </c>
      <c r="BI308" s="1" t="n">
        <v>16</v>
      </c>
      <c r="BJ308" s="1" t="s">
        <v>5757</v>
      </c>
      <c r="BK308" s="1" t="s">
        <v>610</v>
      </c>
      <c r="BL308" s="1" t="s">
        <v>5758</v>
      </c>
      <c r="BM308" s="1" t="s">
        <v>5759</v>
      </c>
      <c r="BN308" s="1"/>
      <c r="BO308" s="1" t="s">
        <v>2770</v>
      </c>
      <c r="BP308" s="1"/>
      <c r="BQ308" s="1"/>
      <c r="BR308" s="1" t="s">
        <v>103</v>
      </c>
      <c r="BS308" s="1" t="s">
        <v>5760</v>
      </c>
      <c r="BT308" s="1" t="str">
        <f aca="false">HYPERLINK("https%3A%2F%2Fwww.webofscience.com%2Fwos%2Fwoscc%2Ffull-record%2FWOS:001043581800001","View Full Record in Web of Science")</f>
        <v>View Full Record in Web of Science</v>
      </c>
    </row>
    <row r="309" customFormat="false" ht="12.75" hidden="false" customHeight="false" outlineLevel="0" collapsed="false">
      <c r="A309" s="1" t="s">
        <v>181</v>
      </c>
      <c r="B309" s="1" t="s">
        <v>5761</v>
      </c>
      <c r="C309" s="1"/>
      <c r="D309" s="1"/>
      <c r="E309" s="1"/>
      <c r="F309" s="1" t="s">
        <v>5762</v>
      </c>
      <c r="G309" s="1"/>
      <c r="H309" s="1"/>
      <c r="I309" s="1" t="s">
        <v>5763</v>
      </c>
      <c r="J309" s="1" t="s">
        <v>5764</v>
      </c>
      <c r="K309" s="1"/>
      <c r="L309" s="1"/>
      <c r="M309" s="1" t="s">
        <v>78</v>
      </c>
      <c r="N309" s="1" t="s">
        <v>186</v>
      </c>
      <c r="O309" s="1"/>
      <c r="P309" s="1"/>
      <c r="Q309" s="1"/>
      <c r="R309" s="1"/>
      <c r="S309" s="1"/>
      <c r="T309" s="1" t="s">
        <v>5765</v>
      </c>
      <c r="U309" s="1" t="s">
        <v>5766</v>
      </c>
      <c r="V309" s="1" t="s">
        <v>5767</v>
      </c>
      <c r="W309" s="1" t="s">
        <v>5768</v>
      </c>
      <c r="X309" s="1" t="s">
        <v>4897</v>
      </c>
      <c r="Y309" s="1" t="s">
        <v>5769</v>
      </c>
      <c r="Z309" s="1" t="s">
        <v>5770</v>
      </c>
      <c r="AA309" s="1"/>
      <c r="AB309" s="1" t="s">
        <v>5771</v>
      </c>
      <c r="AC309" s="1" t="s">
        <v>5772</v>
      </c>
      <c r="AD309" s="1" t="s">
        <v>5772</v>
      </c>
      <c r="AE309" s="1" t="s">
        <v>5773</v>
      </c>
      <c r="AF309" s="1"/>
      <c r="AG309" s="1" t="n">
        <v>52</v>
      </c>
      <c r="AH309" s="1" t="n">
        <v>0</v>
      </c>
      <c r="AI309" s="1" t="n">
        <v>0</v>
      </c>
      <c r="AJ309" s="1" t="n">
        <v>2</v>
      </c>
      <c r="AK309" s="1" t="n">
        <v>10</v>
      </c>
      <c r="AL309" s="1" t="s">
        <v>5685</v>
      </c>
      <c r="AM309" s="1" t="s">
        <v>5686</v>
      </c>
      <c r="AN309" s="1" t="s">
        <v>5687</v>
      </c>
      <c r="AO309" s="1" t="s">
        <v>5774</v>
      </c>
      <c r="AP309" s="1" t="s">
        <v>5775</v>
      </c>
      <c r="AQ309" s="1"/>
      <c r="AR309" s="1" t="s">
        <v>5776</v>
      </c>
      <c r="AS309" s="1" t="s">
        <v>5777</v>
      </c>
      <c r="AT309" s="1" t="s">
        <v>5778</v>
      </c>
      <c r="AU309" s="1" t="n">
        <v>2023</v>
      </c>
      <c r="AV309" s="1" t="n">
        <v>18</v>
      </c>
      <c r="AW309" s="1" t="n">
        <v>6</v>
      </c>
      <c r="AX309" s="1"/>
      <c r="AY309" s="1"/>
      <c r="AZ309" s="1"/>
      <c r="BA309" s="1"/>
      <c r="BB309" s="1" t="n">
        <v>1</v>
      </c>
      <c r="BC309" s="1" t="n">
        <v>16</v>
      </c>
      <c r="BD309" s="1"/>
      <c r="BE309" s="1" t="s">
        <v>5779</v>
      </c>
      <c r="BF309" s="1" t="str">
        <f aca="false">HYPERLINK("http://dx.doi.org/10.1108/BJM-06-2022-0210","http://dx.doi.org/10.1108/BJM-06-2022-0210")</f>
        <v>http://dx.doi.org/10.1108/BJM-06-2022-0210</v>
      </c>
      <c r="BG309" s="1"/>
      <c r="BH309" s="1"/>
      <c r="BI309" s="1" t="n">
        <v>16</v>
      </c>
      <c r="BJ309" s="1" t="s">
        <v>714</v>
      </c>
      <c r="BK309" s="1" t="s">
        <v>610</v>
      </c>
      <c r="BL309" s="1" t="s">
        <v>715</v>
      </c>
      <c r="BM309" s="1" t="s">
        <v>5780</v>
      </c>
      <c r="BN309" s="1"/>
      <c r="BO309" s="1" t="s">
        <v>2335</v>
      </c>
      <c r="BP309" s="1"/>
      <c r="BQ309" s="1"/>
      <c r="BR309" s="1" t="s">
        <v>103</v>
      </c>
      <c r="BS309" s="1" t="s">
        <v>5781</v>
      </c>
      <c r="BT309" s="1" t="str">
        <f aca="false">HYPERLINK("https%3A%2F%2Fwww.webofscience.com%2Fwos%2Fwoscc%2Ffull-record%2FWOS:000976948900001","View Full Record in Web of Science")</f>
        <v>View Full Record in Web of Science</v>
      </c>
    </row>
    <row r="310" customFormat="false" ht="12.75" hidden="false" customHeight="false" outlineLevel="0" collapsed="false">
      <c r="A310" s="1" t="s">
        <v>181</v>
      </c>
      <c r="B310" s="1" t="s">
        <v>5782</v>
      </c>
      <c r="C310" s="1"/>
      <c r="D310" s="1"/>
      <c r="E310" s="1"/>
      <c r="F310" s="1" t="s">
        <v>5783</v>
      </c>
      <c r="G310" s="1"/>
      <c r="H310" s="1"/>
      <c r="I310" s="1" t="s">
        <v>5784</v>
      </c>
      <c r="J310" s="1" t="s">
        <v>5785</v>
      </c>
      <c r="K310" s="1"/>
      <c r="L310" s="1"/>
      <c r="M310" s="1" t="s">
        <v>78</v>
      </c>
      <c r="N310" s="1" t="s">
        <v>186</v>
      </c>
      <c r="O310" s="1"/>
      <c r="P310" s="1"/>
      <c r="Q310" s="1"/>
      <c r="R310" s="1"/>
      <c r="S310" s="1"/>
      <c r="T310" s="1" t="s">
        <v>5786</v>
      </c>
      <c r="U310" s="1" t="s">
        <v>5787</v>
      </c>
      <c r="V310" s="1" t="s">
        <v>5788</v>
      </c>
      <c r="W310" s="1" t="s">
        <v>5789</v>
      </c>
      <c r="X310" s="1" t="s">
        <v>5790</v>
      </c>
      <c r="Y310" s="1" t="s">
        <v>5791</v>
      </c>
      <c r="Z310" s="1" t="s">
        <v>5792</v>
      </c>
      <c r="AA310" s="1"/>
      <c r="AB310" s="1" t="s">
        <v>487</v>
      </c>
      <c r="AC310" s="1" t="s">
        <v>5793</v>
      </c>
      <c r="AD310" s="1" t="s">
        <v>5793</v>
      </c>
      <c r="AE310" s="1" t="s">
        <v>5793</v>
      </c>
      <c r="AF310" s="1"/>
      <c r="AG310" s="1" t="n">
        <v>46</v>
      </c>
      <c r="AH310" s="1" t="n">
        <v>2</v>
      </c>
      <c r="AI310" s="1" t="n">
        <v>2</v>
      </c>
      <c r="AJ310" s="1" t="n">
        <v>0</v>
      </c>
      <c r="AK310" s="1" t="n">
        <v>2</v>
      </c>
      <c r="AL310" s="1" t="s">
        <v>600</v>
      </c>
      <c r="AM310" s="1" t="s">
        <v>601</v>
      </c>
      <c r="AN310" s="1" t="s">
        <v>602</v>
      </c>
      <c r="AO310" s="1" t="s">
        <v>5794</v>
      </c>
      <c r="AP310" s="1"/>
      <c r="AQ310" s="1"/>
      <c r="AR310" s="1" t="s">
        <v>5795</v>
      </c>
      <c r="AS310" s="1" t="s">
        <v>5796</v>
      </c>
      <c r="AT310" s="1" t="s">
        <v>1453</v>
      </c>
      <c r="AU310" s="1" t="n">
        <v>2023</v>
      </c>
      <c r="AV310" s="1" t="n">
        <v>10</v>
      </c>
      <c r="AW310" s="1" t="n">
        <v>1</v>
      </c>
      <c r="AX310" s="1"/>
      <c r="AY310" s="1"/>
      <c r="AZ310" s="1"/>
      <c r="BA310" s="1"/>
      <c r="BB310" s="1"/>
      <c r="BC310" s="1"/>
      <c r="BD310" s="1" t="s">
        <v>5797</v>
      </c>
      <c r="BE310" s="1" t="s">
        <v>5798</v>
      </c>
      <c r="BF310" s="1" t="str">
        <f aca="false">HYPERLINK("http://dx.doi.org/10.1002/geo2.118","http://dx.doi.org/10.1002/geo2.118")</f>
        <v>http://dx.doi.org/10.1002/geo2.118</v>
      </c>
      <c r="BG310" s="1"/>
      <c r="BH310" s="1"/>
      <c r="BI310" s="1" t="n">
        <v>19</v>
      </c>
      <c r="BJ310" s="1" t="s">
        <v>5799</v>
      </c>
      <c r="BK310" s="1" t="s">
        <v>253</v>
      </c>
      <c r="BL310" s="1" t="s">
        <v>5799</v>
      </c>
      <c r="BM310" s="1" t="s">
        <v>5800</v>
      </c>
      <c r="BN310" s="1"/>
      <c r="BO310" s="1" t="s">
        <v>401</v>
      </c>
      <c r="BP310" s="1"/>
      <c r="BQ310" s="1"/>
      <c r="BR310" s="1" t="s">
        <v>103</v>
      </c>
      <c r="BS310" s="1" t="s">
        <v>5801</v>
      </c>
      <c r="BT310" s="1" t="str">
        <f aca="false">HYPERLINK("https%3A%2F%2Fwww.webofscience.com%2Fwos%2Fwoscc%2Ffull-record%2FWOS:000938138200001","View Full Record in Web of Science")</f>
        <v>View Full Record in Web of Science</v>
      </c>
    </row>
    <row r="311" customFormat="false" ht="12.75" hidden="false" customHeight="false" outlineLevel="0" collapsed="false">
      <c r="A311" s="1" t="s">
        <v>72</v>
      </c>
      <c r="B311" s="1" t="s">
        <v>5802</v>
      </c>
      <c r="C311" s="1"/>
      <c r="D311" s="1" t="s">
        <v>972</v>
      </c>
      <c r="E311" s="1"/>
      <c r="F311" s="1" t="s">
        <v>5803</v>
      </c>
      <c r="G311" s="1"/>
      <c r="H311" s="1"/>
      <c r="I311" s="1" t="s">
        <v>5804</v>
      </c>
      <c r="J311" s="1" t="s">
        <v>975</v>
      </c>
      <c r="K311" s="1" t="s">
        <v>976</v>
      </c>
      <c r="L311" s="1"/>
      <c r="M311" s="1" t="s">
        <v>78</v>
      </c>
      <c r="N311" s="1" t="s">
        <v>79</v>
      </c>
      <c r="O311" s="1" t="s">
        <v>977</v>
      </c>
      <c r="P311" s="1" t="s">
        <v>978</v>
      </c>
      <c r="Q311" s="1" t="s">
        <v>979</v>
      </c>
      <c r="R311" s="1"/>
      <c r="S311" s="1"/>
      <c r="T311" s="1" t="s">
        <v>5805</v>
      </c>
      <c r="U311" s="1"/>
      <c r="V311" s="1" t="s">
        <v>5806</v>
      </c>
      <c r="W311" s="1" t="s">
        <v>5807</v>
      </c>
      <c r="X311" s="1" t="s">
        <v>5808</v>
      </c>
      <c r="Y311" s="1" t="s">
        <v>5809</v>
      </c>
      <c r="Z311" s="1" t="s">
        <v>5810</v>
      </c>
      <c r="AA311" s="1" t="s">
        <v>5811</v>
      </c>
      <c r="AB311" s="1" t="s">
        <v>5812</v>
      </c>
      <c r="AC311" s="1" t="s">
        <v>5813</v>
      </c>
      <c r="AD311" s="1" t="s">
        <v>5814</v>
      </c>
      <c r="AE311" s="1" t="s">
        <v>5815</v>
      </c>
      <c r="AF311" s="1"/>
      <c r="AG311" s="1" t="n">
        <v>16</v>
      </c>
      <c r="AH311" s="1" t="n">
        <v>8</v>
      </c>
      <c r="AI311" s="1" t="n">
        <v>8</v>
      </c>
      <c r="AJ311" s="1" t="n">
        <v>3</v>
      </c>
      <c r="AK311" s="1" t="n">
        <v>27</v>
      </c>
      <c r="AL311" s="1" t="s">
        <v>302</v>
      </c>
      <c r="AM311" s="1" t="s">
        <v>303</v>
      </c>
      <c r="AN311" s="1" t="s">
        <v>304</v>
      </c>
      <c r="AO311" s="1" t="s">
        <v>989</v>
      </c>
      <c r="AP311" s="1" t="s">
        <v>990</v>
      </c>
      <c r="AQ311" s="1" t="s">
        <v>991</v>
      </c>
      <c r="AR311" s="1" t="s">
        <v>992</v>
      </c>
      <c r="AS311" s="1"/>
      <c r="AT311" s="1"/>
      <c r="AU311" s="1" t="n">
        <v>2022</v>
      </c>
      <c r="AV311" s="1" t="n">
        <v>13709</v>
      </c>
      <c r="AW311" s="1"/>
      <c r="AX311" s="1"/>
      <c r="AY311" s="1"/>
      <c r="AZ311" s="1"/>
      <c r="BA311" s="1"/>
      <c r="BB311" s="1" t="n">
        <v>252</v>
      </c>
      <c r="BC311" s="1" t="n">
        <v>261</v>
      </c>
      <c r="BD311" s="1"/>
      <c r="BE311" s="1" t="s">
        <v>5816</v>
      </c>
      <c r="BF311" s="1" t="str">
        <f aca="false">HYPERLINK("http://dx.doi.org/10.1007/978-3-031-21388-5_18","http://dx.doi.org/10.1007/978-3-031-21388-5_18")</f>
        <v>http://dx.doi.org/10.1007/978-3-031-21388-5_18</v>
      </c>
      <c r="BG311" s="1"/>
      <c r="BH311" s="1"/>
      <c r="BI311" s="1" t="n">
        <v>10</v>
      </c>
      <c r="BJ311" s="1" t="s">
        <v>994</v>
      </c>
      <c r="BK311" s="1" t="s">
        <v>100</v>
      </c>
      <c r="BL311" s="1" t="s">
        <v>101</v>
      </c>
      <c r="BM311" s="1" t="s">
        <v>995</v>
      </c>
      <c r="BN311" s="1"/>
      <c r="BO311" s="1"/>
      <c r="BP311" s="1"/>
      <c r="BQ311" s="1"/>
      <c r="BR311" s="1" t="s">
        <v>103</v>
      </c>
      <c r="BS311" s="1" t="s">
        <v>5817</v>
      </c>
      <c r="BT311" s="1" t="str">
        <f aca="false">HYPERLINK("https%3A%2F%2Fwww.webofscience.com%2Fwos%2Fwoscc%2Ffull-record%2FWOS:000897035000018","View Full Record in Web of Science")</f>
        <v>View Full Record in Web of Science</v>
      </c>
    </row>
    <row r="312" customFormat="false" ht="12.75" hidden="false" customHeight="false" outlineLevel="0" collapsed="false">
      <c r="A312" s="1" t="s">
        <v>181</v>
      </c>
      <c r="B312" s="1" t="s">
        <v>5818</v>
      </c>
      <c r="C312" s="1"/>
      <c r="D312" s="1"/>
      <c r="E312" s="1"/>
      <c r="F312" s="1" t="s">
        <v>5819</v>
      </c>
      <c r="G312" s="1"/>
      <c r="H312" s="1"/>
      <c r="I312" s="1" t="s">
        <v>5820</v>
      </c>
      <c r="J312" s="1" t="s">
        <v>5821</v>
      </c>
      <c r="K312" s="1"/>
      <c r="L312" s="1"/>
      <c r="M312" s="1" t="s">
        <v>78</v>
      </c>
      <c r="N312" s="1" t="s">
        <v>186</v>
      </c>
      <c r="O312" s="1"/>
      <c r="P312" s="1"/>
      <c r="Q312" s="1"/>
      <c r="R312" s="1"/>
      <c r="S312" s="1"/>
      <c r="T312" s="1" t="s">
        <v>5822</v>
      </c>
      <c r="U312" s="1" t="s">
        <v>5823</v>
      </c>
      <c r="V312" s="1" t="s">
        <v>5824</v>
      </c>
      <c r="W312" s="1" t="s">
        <v>5825</v>
      </c>
      <c r="X312" s="1" t="s">
        <v>86</v>
      </c>
      <c r="Y312" s="1" t="s">
        <v>5826</v>
      </c>
      <c r="Z312" s="1" t="s">
        <v>5827</v>
      </c>
      <c r="AA312" s="1" t="s">
        <v>5828</v>
      </c>
      <c r="AB312" s="1" t="s">
        <v>5829</v>
      </c>
      <c r="AC312" s="1" t="s">
        <v>5830</v>
      </c>
      <c r="AD312" s="1" t="s">
        <v>5831</v>
      </c>
      <c r="AE312" s="1" t="s">
        <v>5832</v>
      </c>
      <c r="AF312" s="1"/>
      <c r="AG312" s="1" t="n">
        <v>56</v>
      </c>
      <c r="AH312" s="1" t="n">
        <v>5</v>
      </c>
      <c r="AI312" s="1" t="n">
        <v>5</v>
      </c>
      <c r="AJ312" s="1" t="n">
        <v>4</v>
      </c>
      <c r="AK312" s="1" t="n">
        <v>17</v>
      </c>
      <c r="AL312" s="1" t="s">
        <v>195</v>
      </c>
      <c r="AM312" s="1" t="s">
        <v>196</v>
      </c>
      <c r="AN312" s="1" t="s">
        <v>197</v>
      </c>
      <c r="AO312" s="1" t="s">
        <v>5833</v>
      </c>
      <c r="AP312" s="1" t="s">
        <v>5834</v>
      </c>
      <c r="AQ312" s="1"/>
      <c r="AR312" s="1" t="s">
        <v>5835</v>
      </c>
      <c r="AS312" s="1" t="s">
        <v>5836</v>
      </c>
      <c r="AT312" s="1"/>
      <c r="AU312" s="1" t="n">
        <v>2022</v>
      </c>
      <c r="AV312" s="1" t="n">
        <v>60</v>
      </c>
      <c r="AW312" s="1"/>
      <c r="AX312" s="1"/>
      <c r="AY312" s="1"/>
      <c r="AZ312" s="1"/>
      <c r="BA312" s="1"/>
      <c r="BB312" s="1"/>
      <c r="BC312" s="1"/>
      <c r="BD312" s="1" t="n">
        <v>5236414</v>
      </c>
      <c r="BE312" s="1" t="s">
        <v>5837</v>
      </c>
      <c r="BF312" s="1" t="str">
        <f aca="false">HYPERLINK("http://dx.doi.org/10.1109/TGRS.2022.3211010","http://dx.doi.org/10.1109/TGRS.2022.3211010")</f>
        <v>http://dx.doi.org/10.1109/TGRS.2022.3211010</v>
      </c>
      <c r="BG312" s="1"/>
      <c r="BH312" s="1"/>
      <c r="BI312" s="1" t="n">
        <v>14</v>
      </c>
      <c r="BJ312" s="1" t="s">
        <v>203</v>
      </c>
      <c r="BK312" s="1" t="s">
        <v>204</v>
      </c>
      <c r="BL312" s="1" t="s">
        <v>205</v>
      </c>
      <c r="BM312" s="1" t="s">
        <v>5838</v>
      </c>
      <c r="BN312" s="1"/>
      <c r="BO312" s="1" t="s">
        <v>2335</v>
      </c>
      <c r="BP312" s="1"/>
      <c r="BQ312" s="1"/>
      <c r="BR312" s="1" t="s">
        <v>103</v>
      </c>
      <c r="BS312" s="1" t="s">
        <v>5839</v>
      </c>
      <c r="BT312" s="1" t="str">
        <f aca="false">HYPERLINK("https%3A%2F%2Fwww.webofscience.com%2Fwos%2Fwoscc%2Ffull-record%2FWOS:000874066100016","View Full Record in Web of Science")</f>
        <v>View Full Record in Web of Science</v>
      </c>
    </row>
    <row r="313" customFormat="false" ht="12.75" hidden="false" customHeight="false" outlineLevel="0" collapsed="false">
      <c r="A313" s="1" t="s">
        <v>181</v>
      </c>
      <c r="B313" s="1" t="s">
        <v>5840</v>
      </c>
      <c r="C313" s="1"/>
      <c r="D313" s="1"/>
      <c r="E313" s="1"/>
      <c r="F313" s="1" t="s">
        <v>5841</v>
      </c>
      <c r="G313" s="1"/>
      <c r="H313" s="1"/>
      <c r="I313" s="1" t="s">
        <v>5842</v>
      </c>
      <c r="J313" s="1" t="s">
        <v>3607</v>
      </c>
      <c r="K313" s="1"/>
      <c r="L313" s="1"/>
      <c r="M313" s="1" t="s">
        <v>78</v>
      </c>
      <c r="N313" s="1" t="s">
        <v>186</v>
      </c>
      <c r="O313" s="1"/>
      <c r="P313" s="1"/>
      <c r="Q313" s="1"/>
      <c r="R313" s="1"/>
      <c r="S313" s="1"/>
      <c r="T313" s="1" t="s">
        <v>5843</v>
      </c>
      <c r="U313" s="1" t="s">
        <v>5844</v>
      </c>
      <c r="V313" s="1" t="s">
        <v>5845</v>
      </c>
      <c r="W313" s="1" t="s">
        <v>5846</v>
      </c>
      <c r="X313" s="1" t="s">
        <v>5847</v>
      </c>
      <c r="Y313" s="1" t="s">
        <v>5848</v>
      </c>
      <c r="Z313" s="1" t="s">
        <v>5849</v>
      </c>
      <c r="AA313" s="1"/>
      <c r="AB313" s="1" t="s">
        <v>1354</v>
      </c>
      <c r="AC313" s="1"/>
      <c r="AD313" s="1"/>
      <c r="AE313" s="1"/>
      <c r="AF313" s="1"/>
      <c r="AG313" s="1" t="n">
        <v>53</v>
      </c>
      <c r="AH313" s="1" t="n">
        <v>2</v>
      </c>
      <c r="AI313" s="1" t="n">
        <v>2</v>
      </c>
      <c r="AJ313" s="1" t="n">
        <v>1</v>
      </c>
      <c r="AK313" s="1" t="n">
        <v>3</v>
      </c>
      <c r="AL313" s="1" t="s">
        <v>1025</v>
      </c>
      <c r="AM313" s="1" t="s">
        <v>1026</v>
      </c>
      <c r="AN313" s="1" t="s">
        <v>1027</v>
      </c>
      <c r="AO313" s="1" t="s">
        <v>3617</v>
      </c>
      <c r="AP313" s="1" t="s">
        <v>3618</v>
      </c>
      <c r="AQ313" s="1"/>
      <c r="AR313" s="1" t="s">
        <v>3619</v>
      </c>
      <c r="AS313" s="1" t="s">
        <v>3620</v>
      </c>
      <c r="AT313" s="1" t="s">
        <v>1391</v>
      </c>
      <c r="AU313" s="1" t="n">
        <v>2021</v>
      </c>
      <c r="AV313" s="1" t="n">
        <v>57</v>
      </c>
      <c r="AW313" s="1"/>
      <c r="AX313" s="1"/>
      <c r="AY313" s="1"/>
      <c r="AZ313" s="1"/>
      <c r="BA313" s="1"/>
      <c r="BB313" s="1"/>
      <c r="BC313" s="1"/>
      <c r="BD313" s="1" t="n">
        <v>103245</v>
      </c>
      <c r="BE313" s="1" t="s">
        <v>5850</v>
      </c>
      <c r="BF313" s="1" t="str">
        <f aca="false">HYPERLINK("http://dx.doi.org/10.1016/j.nepr.2021.103245","http://dx.doi.org/10.1016/j.nepr.2021.103245")</f>
        <v>http://dx.doi.org/10.1016/j.nepr.2021.103245</v>
      </c>
      <c r="BG313" s="1"/>
      <c r="BH313" s="1" t="s">
        <v>4153</v>
      </c>
      <c r="BI313" s="1" t="n">
        <v>7</v>
      </c>
      <c r="BJ313" s="1" t="s">
        <v>609</v>
      </c>
      <c r="BK313" s="1" t="s">
        <v>398</v>
      </c>
      <c r="BL313" s="1" t="s">
        <v>609</v>
      </c>
      <c r="BM313" s="1" t="s">
        <v>5851</v>
      </c>
      <c r="BN313" s="1" t="n">
        <v>34736080</v>
      </c>
      <c r="BO313" s="1" t="s">
        <v>207</v>
      </c>
      <c r="BP313" s="1"/>
      <c r="BQ313" s="1"/>
      <c r="BR313" s="1" t="s">
        <v>103</v>
      </c>
      <c r="BS313" s="1" t="s">
        <v>5852</v>
      </c>
      <c r="BT313" s="1" t="str">
        <f aca="false">HYPERLINK("https%3A%2F%2Fwww.webofscience.com%2Fwos%2Fwoscc%2Ffull-record%2FWOS:000714565000001","View Full Record in Web of Science")</f>
        <v>View Full Record in Web of Science</v>
      </c>
    </row>
    <row r="314" customFormat="false" ht="12.75" hidden="false" customHeight="false" outlineLevel="0" collapsed="false">
      <c r="A314" s="1" t="s">
        <v>181</v>
      </c>
      <c r="B314" s="1" t="s">
        <v>5853</v>
      </c>
      <c r="C314" s="1"/>
      <c r="D314" s="1"/>
      <c r="E314" s="1"/>
      <c r="F314" s="1" t="s">
        <v>5854</v>
      </c>
      <c r="G314" s="1"/>
      <c r="H314" s="1"/>
      <c r="I314" s="1" t="s">
        <v>5855</v>
      </c>
      <c r="J314" s="1" t="s">
        <v>2226</v>
      </c>
      <c r="K314" s="1"/>
      <c r="L314" s="1"/>
      <c r="M314" s="1" t="s">
        <v>78</v>
      </c>
      <c r="N314" s="1" t="s">
        <v>186</v>
      </c>
      <c r="O314" s="1"/>
      <c r="P314" s="1"/>
      <c r="Q314" s="1"/>
      <c r="R314" s="1"/>
      <c r="S314" s="1"/>
      <c r="T314" s="1" t="s">
        <v>5856</v>
      </c>
      <c r="U314" s="1" t="s">
        <v>5857</v>
      </c>
      <c r="V314" s="1" t="s">
        <v>5858</v>
      </c>
      <c r="W314" s="1" t="s">
        <v>5859</v>
      </c>
      <c r="X314" s="1" t="s">
        <v>86</v>
      </c>
      <c r="Y314" s="1" t="s">
        <v>4983</v>
      </c>
      <c r="Z314" s="1" t="s">
        <v>5860</v>
      </c>
      <c r="AA314" s="1" t="s">
        <v>3921</v>
      </c>
      <c r="AB314" s="1" t="s">
        <v>5861</v>
      </c>
      <c r="AC314" s="1" t="s">
        <v>5862</v>
      </c>
      <c r="AD314" s="1" t="s">
        <v>5862</v>
      </c>
      <c r="AE314" s="1" t="s">
        <v>5863</v>
      </c>
      <c r="AF314" s="1"/>
      <c r="AG314" s="1" t="n">
        <v>65</v>
      </c>
      <c r="AH314" s="1" t="n">
        <v>6</v>
      </c>
      <c r="AI314" s="1" t="n">
        <v>7</v>
      </c>
      <c r="AJ314" s="1" t="n">
        <v>2</v>
      </c>
      <c r="AK314" s="1" t="n">
        <v>14</v>
      </c>
      <c r="AL314" s="1" t="s">
        <v>367</v>
      </c>
      <c r="AM314" s="1" t="s">
        <v>368</v>
      </c>
      <c r="AN314" s="1" t="s">
        <v>369</v>
      </c>
      <c r="AO314" s="1"/>
      <c r="AP314" s="1" t="s">
        <v>2234</v>
      </c>
      <c r="AQ314" s="1"/>
      <c r="AR314" s="1" t="s">
        <v>2235</v>
      </c>
      <c r="AS314" s="1" t="s">
        <v>2236</v>
      </c>
      <c r="AT314" s="1" t="s">
        <v>754</v>
      </c>
      <c r="AU314" s="1" t="n">
        <v>2021</v>
      </c>
      <c r="AV314" s="1" t="n">
        <v>13</v>
      </c>
      <c r="AW314" s="1" t="n">
        <v>9</v>
      </c>
      <c r="AX314" s="1"/>
      <c r="AY314" s="1"/>
      <c r="AZ314" s="1"/>
      <c r="BA314" s="1"/>
      <c r="BB314" s="1"/>
      <c r="BC314" s="1"/>
      <c r="BD314" s="1" t="n">
        <v>1690</v>
      </c>
      <c r="BE314" s="1" t="s">
        <v>5864</v>
      </c>
      <c r="BF314" s="1" t="str">
        <f aca="false">HYPERLINK("http://dx.doi.org/10.3390/rs13091690","http://dx.doi.org/10.3390/rs13091690")</f>
        <v>http://dx.doi.org/10.3390/rs13091690</v>
      </c>
      <c r="BG314" s="1"/>
      <c r="BH314" s="1"/>
      <c r="BI314" s="1" t="n">
        <v>25</v>
      </c>
      <c r="BJ314" s="1" t="s">
        <v>2238</v>
      </c>
      <c r="BK314" s="1" t="s">
        <v>204</v>
      </c>
      <c r="BL314" s="1" t="s">
        <v>2239</v>
      </c>
      <c r="BM314" s="1" t="s">
        <v>5865</v>
      </c>
      <c r="BN314" s="1"/>
      <c r="BO314" s="1" t="s">
        <v>401</v>
      </c>
      <c r="BP314" s="1"/>
      <c r="BQ314" s="1"/>
      <c r="BR314" s="1" t="s">
        <v>103</v>
      </c>
      <c r="BS314" s="1" t="s">
        <v>5866</v>
      </c>
      <c r="BT314" s="1" t="str">
        <f aca="false">HYPERLINK("https%3A%2F%2Fwww.webofscience.com%2Fwos%2Fwoscc%2Ffull-record%2FWOS:000650753100001","View Full Record in Web of Science")</f>
        <v>View Full Record in Web of Science</v>
      </c>
    </row>
    <row r="315" customFormat="false" ht="12.75" hidden="false" customHeight="false" outlineLevel="0" collapsed="false">
      <c r="A315" s="1" t="s">
        <v>181</v>
      </c>
      <c r="B315" s="1" t="s">
        <v>5867</v>
      </c>
      <c r="C315" s="1"/>
      <c r="D315" s="1"/>
      <c r="E315" s="1"/>
      <c r="F315" s="1" t="s">
        <v>5868</v>
      </c>
      <c r="G315" s="1"/>
      <c r="H315" s="1"/>
      <c r="I315" s="1" t="s">
        <v>5869</v>
      </c>
      <c r="J315" s="1" t="s">
        <v>3700</v>
      </c>
      <c r="K315" s="1"/>
      <c r="L315" s="1"/>
      <c r="M315" s="1" t="s">
        <v>78</v>
      </c>
      <c r="N315" s="1" t="s">
        <v>186</v>
      </c>
      <c r="O315" s="1"/>
      <c r="P315" s="1"/>
      <c r="Q315" s="1"/>
      <c r="R315" s="1"/>
      <c r="S315" s="1"/>
      <c r="T315" s="1" t="s">
        <v>5870</v>
      </c>
      <c r="U315" s="1" t="s">
        <v>5871</v>
      </c>
      <c r="V315" s="1" t="s">
        <v>5872</v>
      </c>
      <c r="W315" s="1" t="s">
        <v>5873</v>
      </c>
      <c r="X315" s="1" t="s">
        <v>5099</v>
      </c>
      <c r="Y315" s="1" t="s">
        <v>5874</v>
      </c>
      <c r="Z315" s="1" t="s">
        <v>5875</v>
      </c>
      <c r="AA315" s="1" t="s">
        <v>3908</v>
      </c>
      <c r="AB315" s="1" t="s">
        <v>3187</v>
      </c>
      <c r="AC315" s="1" t="s">
        <v>5876</v>
      </c>
      <c r="AD315" s="1" t="s">
        <v>5877</v>
      </c>
      <c r="AE315" s="1" t="s">
        <v>5878</v>
      </c>
      <c r="AF315" s="1"/>
      <c r="AG315" s="1" t="n">
        <v>76</v>
      </c>
      <c r="AH315" s="1" t="n">
        <v>13</v>
      </c>
      <c r="AI315" s="1" t="n">
        <v>17</v>
      </c>
      <c r="AJ315" s="1" t="n">
        <v>0</v>
      </c>
      <c r="AK315" s="1" t="n">
        <v>30</v>
      </c>
      <c r="AL315" s="1" t="s">
        <v>3711</v>
      </c>
      <c r="AM315" s="1" t="s">
        <v>95</v>
      </c>
      <c r="AN315" s="1" t="s">
        <v>3712</v>
      </c>
      <c r="AO315" s="1" t="s">
        <v>3713</v>
      </c>
      <c r="AP315" s="1" t="s">
        <v>3714</v>
      </c>
      <c r="AQ315" s="1"/>
      <c r="AR315" s="1" t="s">
        <v>3715</v>
      </c>
      <c r="AS315" s="1" t="s">
        <v>3716</v>
      </c>
      <c r="AT315" s="1" t="s">
        <v>1391</v>
      </c>
      <c r="AU315" s="1" t="n">
        <v>2020</v>
      </c>
      <c r="AV315" s="1" t="n">
        <v>169</v>
      </c>
      <c r="AW315" s="1"/>
      <c r="AX315" s="1"/>
      <c r="AY315" s="1"/>
      <c r="AZ315" s="1"/>
      <c r="BA315" s="1"/>
      <c r="BB315" s="1"/>
      <c r="BC315" s="1"/>
      <c r="BD315" s="1" t="n">
        <v>110699</v>
      </c>
      <c r="BE315" s="1" t="s">
        <v>5879</v>
      </c>
      <c r="BF315" s="1" t="str">
        <f aca="false">HYPERLINK("http://dx.doi.org/10.1016/j.jss.2020.110699","http://dx.doi.org/10.1016/j.jss.2020.110699")</f>
        <v>http://dx.doi.org/10.1016/j.jss.2020.110699</v>
      </c>
      <c r="BG315" s="1"/>
      <c r="BH315" s="1"/>
      <c r="BI315" s="1" t="n">
        <v>18</v>
      </c>
      <c r="BJ315" s="1" t="s">
        <v>994</v>
      </c>
      <c r="BK315" s="1" t="s">
        <v>398</v>
      </c>
      <c r="BL315" s="1" t="s">
        <v>101</v>
      </c>
      <c r="BM315" s="1" t="s">
        <v>5880</v>
      </c>
      <c r="BN315" s="1"/>
      <c r="BO315" s="1"/>
      <c r="BP315" s="1"/>
      <c r="BQ315" s="1"/>
      <c r="BR315" s="1" t="s">
        <v>103</v>
      </c>
      <c r="BS315" s="1" t="s">
        <v>5881</v>
      </c>
      <c r="BT315" s="1" t="str">
        <f aca="false">HYPERLINK("https%3A%2F%2Fwww.webofscience.com%2Fwos%2Fwoscc%2Ffull-record%2FWOS:000567509300006","View Full Record in Web of Science")</f>
        <v>View Full Record in Web of Science</v>
      </c>
    </row>
    <row r="316" customFormat="false" ht="12.75" hidden="false" customHeight="false" outlineLevel="0" collapsed="false">
      <c r="A316" s="1" t="s">
        <v>181</v>
      </c>
      <c r="B316" s="1" t="s">
        <v>5882</v>
      </c>
      <c r="C316" s="1"/>
      <c r="D316" s="1"/>
      <c r="E316" s="1"/>
      <c r="F316" s="1" t="s">
        <v>5883</v>
      </c>
      <c r="G316" s="1"/>
      <c r="H316" s="1"/>
      <c r="I316" s="1" t="s">
        <v>5884</v>
      </c>
      <c r="J316" s="1" t="s">
        <v>5885</v>
      </c>
      <c r="K316" s="1"/>
      <c r="L316" s="1"/>
      <c r="M316" s="1" t="s">
        <v>78</v>
      </c>
      <c r="N316" s="1" t="s">
        <v>186</v>
      </c>
      <c r="O316" s="1"/>
      <c r="P316" s="1"/>
      <c r="Q316" s="1"/>
      <c r="R316" s="1"/>
      <c r="S316" s="1"/>
      <c r="T316" s="1" t="s">
        <v>5886</v>
      </c>
      <c r="U316" s="1" t="s">
        <v>5887</v>
      </c>
      <c r="V316" s="1" t="s">
        <v>5888</v>
      </c>
      <c r="W316" s="1" t="s">
        <v>5889</v>
      </c>
      <c r="X316" s="1" t="s">
        <v>5890</v>
      </c>
      <c r="Y316" s="1" t="s">
        <v>5891</v>
      </c>
      <c r="Z316" s="1" t="s">
        <v>5892</v>
      </c>
      <c r="AA316" s="1"/>
      <c r="AB316" s="1" t="s">
        <v>5893</v>
      </c>
      <c r="AC316" s="1" t="s">
        <v>5894</v>
      </c>
      <c r="AD316" s="1" t="s">
        <v>5895</v>
      </c>
      <c r="AE316" s="1" t="s">
        <v>5896</v>
      </c>
      <c r="AF316" s="1"/>
      <c r="AG316" s="1" t="n">
        <v>71</v>
      </c>
      <c r="AH316" s="1" t="n">
        <v>8</v>
      </c>
      <c r="AI316" s="1" t="n">
        <v>8</v>
      </c>
      <c r="AJ316" s="1" t="n">
        <v>1</v>
      </c>
      <c r="AK316" s="1" t="n">
        <v>17</v>
      </c>
      <c r="AL316" s="1" t="s">
        <v>5897</v>
      </c>
      <c r="AM316" s="1" t="s">
        <v>95</v>
      </c>
      <c r="AN316" s="1" t="s">
        <v>5898</v>
      </c>
      <c r="AO316" s="1" t="s">
        <v>5899</v>
      </c>
      <c r="AP316" s="1" t="s">
        <v>5900</v>
      </c>
      <c r="AQ316" s="1"/>
      <c r="AR316" s="1" t="s">
        <v>5901</v>
      </c>
      <c r="AS316" s="1" t="s">
        <v>5902</v>
      </c>
      <c r="AT316" s="1" t="s">
        <v>1362</v>
      </c>
      <c r="AU316" s="1" t="n">
        <v>2021</v>
      </c>
      <c r="AV316" s="1" t="n">
        <v>34</v>
      </c>
      <c r="AW316" s="1" t="n">
        <v>5</v>
      </c>
      <c r="AX316" s="1"/>
      <c r="AY316" s="1"/>
      <c r="AZ316" s="1"/>
      <c r="BA316" s="1"/>
      <c r="BB316" s="1" t="n">
        <v>575</v>
      </c>
      <c r="BC316" s="1" t="n">
        <v>601</v>
      </c>
      <c r="BD316" s="1"/>
      <c r="BE316" s="1" t="s">
        <v>5903</v>
      </c>
      <c r="BF316" s="1" t="str">
        <f aca="false">HYPERLINK("http://dx.doi.org/10.1007/s11213-020-09547-4","http://dx.doi.org/10.1007/s11213-020-09547-4")</f>
        <v>http://dx.doi.org/10.1007/s11213-020-09547-4</v>
      </c>
      <c r="BG316" s="1"/>
      <c r="BH316" s="1" t="s">
        <v>5904</v>
      </c>
      <c r="BI316" s="1" t="n">
        <v>27</v>
      </c>
      <c r="BJ316" s="1" t="s">
        <v>714</v>
      </c>
      <c r="BK316" s="1" t="s">
        <v>610</v>
      </c>
      <c r="BL316" s="1" t="s">
        <v>715</v>
      </c>
      <c r="BM316" s="1" t="s">
        <v>5905</v>
      </c>
      <c r="BN316" s="1"/>
      <c r="BO316" s="1" t="s">
        <v>612</v>
      </c>
      <c r="BP316" s="1"/>
      <c r="BQ316" s="1"/>
      <c r="BR316" s="1" t="s">
        <v>103</v>
      </c>
      <c r="BS316" s="1" t="s">
        <v>5906</v>
      </c>
      <c r="BT316" s="1" t="str">
        <f aca="false">HYPERLINK("https%3A%2F%2Fwww.webofscience.com%2Fwos%2Fwoscc%2Ffull-record%2FWOS:000578591200001","View Full Record in Web of Science")</f>
        <v>View Full Record in Web of Science</v>
      </c>
    </row>
    <row r="317" customFormat="false" ht="12.75" hidden="false" customHeight="false" outlineLevel="0" collapsed="false">
      <c r="A317" s="1" t="s">
        <v>181</v>
      </c>
      <c r="B317" s="1" t="s">
        <v>5907</v>
      </c>
      <c r="C317" s="1"/>
      <c r="D317" s="1"/>
      <c r="E317" s="1"/>
      <c r="F317" s="1" t="s">
        <v>5908</v>
      </c>
      <c r="G317" s="1"/>
      <c r="H317" s="1"/>
      <c r="I317" s="1" t="s">
        <v>5909</v>
      </c>
      <c r="J317" s="1" t="s">
        <v>5910</v>
      </c>
      <c r="K317" s="1"/>
      <c r="L317" s="1"/>
      <c r="M317" s="1" t="s">
        <v>78</v>
      </c>
      <c r="N317" s="1" t="s">
        <v>186</v>
      </c>
      <c r="O317" s="1"/>
      <c r="P317" s="1"/>
      <c r="Q317" s="1"/>
      <c r="R317" s="1"/>
      <c r="S317" s="1"/>
      <c r="T317" s="1" t="s">
        <v>5911</v>
      </c>
      <c r="U317" s="1" t="s">
        <v>5912</v>
      </c>
      <c r="V317" s="1" t="s">
        <v>5913</v>
      </c>
      <c r="W317" s="1" t="s">
        <v>5914</v>
      </c>
      <c r="X317" s="1" t="s">
        <v>5915</v>
      </c>
      <c r="Y317" s="1" t="s">
        <v>5916</v>
      </c>
      <c r="Z317" s="1" t="s">
        <v>5917</v>
      </c>
      <c r="AA317" s="1" t="s">
        <v>5918</v>
      </c>
      <c r="AB317" s="1"/>
      <c r="AC317" s="1" t="s">
        <v>5919</v>
      </c>
      <c r="AD317" s="1" t="s">
        <v>5920</v>
      </c>
      <c r="AE317" s="1" t="s">
        <v>5921</v>
      </c>
      <c r="AF317" s="1"/>
      <c r="AG317" s="1" t="n">
        <v>51</v>
      </c>
      <c r="AH317" s="1" t="n">
        <v>17</v>
      </c>
      <c r="AI317" s="1" t="n">
        <v>18</v>
      </c>
      <c r="AJ317" s="1" t="n">
        <v>0</v>
      </c>
      <c r="AK317" s="1" t="n">
        <v>24</v>
      </c>
      <c r="AL317" s="1" t="s">
        <v>172</v>
      </c>
      <c r="AM317" s="1" t="s">
        <v>173</v>
      </c>
      <c r="AN317" s="1" t="s">
        <v>4882</v>
      </c>
      <c r="AO317" s="1" t="s">
        <v>5922</v>
      </c>
      <c r="AP317" s="1" t="s">
        <v>5923</v>
      </c>
      <c r="AQ317" s="1"/>
      <c r="AR317" s="1" t="s">
        <v>5924</v>
      </c>
      <c r="AS317" s="1" t="s">
        <v>5925</v>
      </c>
      <c r="AT317" s="1" t="s">
        <v>5926</v>
      </c>
      <c r="AU317" s="1" t="n">
        <v>2020</v>
      </c>
      <c r="AV317" s="1" t="n">
        <v>46</v>
      </c>
      <c r="AW317" s="1" t="n">
        <v>4</v>
      </c>
      <c r="AX317" s="1"/>
      <c r="AY317" s="1"/>
      <c r="AZ317" s="1"/>
      <c r="BA317" s="1"/>
      <c r="BB317" s="1" t="n">
        <v>346</v>
      </c>
      <c r="BC317" s="1" t="n">
        <v>361</v>
      </c>
      <c r="BD317" s="1"/>
      <c r="BE317" s="1" t="s">
        <v>5927</v>
      </c>
      <c r="BF317" s="1" t="str">
        <f aca="false">HYPERLINK("http://dx.doi.org/10.1109/TSE.2018.2854716","http://dx.doi.org/10.1109/TSE.2018.2854716")</f>
        <v>http://dx.doi.org/10.1109/TSE.2018.2854716</v>
      </c>
      <c r="BG317" s="1"/>
      <c r="BH317" s="1"/>
      <c r="BI317" s="1" t="n">
        <v>16</v>
      </c>
      <c r="BJ317" s="1" t="s">
        <v>5928</v>
      </c>
      <c r="BK317" s="1" t="s">
        <v>204</v>
      </c>
      <c r="BL317" s="1" t="s">
        <v>1255</v>
      </c>
      <c r="BM317" s="1" t="s">
        <v>5929</v>
      </c>
      <c r="BN317" s="1"/>
      <c r="BO317" s="1"/>
      <c r="BP317" s="1"/>
      <c r="BQ317" s="1"/>
      <c r="BR317" s="1" t="s">
        <v>103</v>
      </c>
      <c r="BS317" s="1" t="s">
        <v>5930</v>
      </c>
      <c r="BT317" s="1" t="str">
        <f aca="false">HYPERLINK("https%3A%2F%2Fwww.webofscience.com%2Fwos%2Fwoscc%2Ffull-record%2FWOS:000529529700001","View Full Record in Web of Science")</f>
        <v>View Full Record in Web of Science</v>
      </c>
    </row>
    <row r="318" customFormat="false" ht="12.75" hidden="false" customHeight="false" outlineLevel="0" collapsed="false">
      <c r="A318" s="1" t="s">
        <v>181</v>
      </c>
      <c r="B318" s="1" t="s">
        <v>5931</v>
      </c>
      <c r="C318" s="1"/>
      <c r="D318" s="1"/>
      <c r="E318" s="1"/>
      <c r="F318" s="1" t="s">
        <v>5932</v>
      </c>
      <c r="G318" s="1"/>
      <c r="H318" s="1"/>
      <c r="I318" s="1" t="s">
        <v>5933</v>
      </c>
      <c r="J318" s="1" t="s">
        <v>5077</v>
      </c>
      <c r="K318" s="1"/>
      <c r="L318" s="1"/>
      <c r="M318" s="1" t="s">
        <v>78</v>
      </c>
      <c r="N318" s="1" t="s">
        <v>186</v>
      </c>
      <c r="O318" s="1"/>
      <c r="P318" s="1"/>
      <c r="Q318" s="1"/>
      <c r="R318" s="1"/>
      <c r="S318" s="1"/>
      <c r="T318" s="1" t="s">
        <v>5934</v>
      </c>
      <c r="U318" s="1" t="s">
        <v>5935</v>
      </c>
      <c r="V318" s="1" t="s">
        <v>5936</v>
      </c>
      <c r="W318" s="1" t="s">
        <v>5937</v>
      </c>
      <c r="X318" s="1" t="s">
        <v>4809</v>
      </c>
      <c r="Y318" s="1" t="s">
        <v>5938</v>
      </c>
      <c r="Z318" s="1" t="s">
        <v>5939</v>
      </c>
      <c r="AA318" s="1" t="s">
        <v>5940</v>
      </c>
      <c r="AB318" s="1" t="s">
        <v>5941</v>
      </c>
      <c r="AC318" s="1" t="s">
        <v>1112</v>
      </c>
      <c r="AD318" s="1" t="s">
        <v>1112</v>
      </c>
      <c r="AE318" s="1" t="s">
        <v>5942</v>
      </c>
      <c r="AF318" s="1"/>
      <c r="AG318" s="1" t="n">
        <v>168</v>
      </c>
      <c r="AH318" s="1" t="n">
        <v>18</v>
      </c>
      <c r="AI318" s="1" t="n">
        <v>19</v>
      </c>
      <c r="AJ318" s="1" t="n">
        <v>1</v>
      </c>
      <c r="AK318" s="1" t="n">
        <v>16</v>
      </c>
      <c r="AL318" s="1" t="s">
        <v>195</v>
      </c>
      <c r="AM318" s="1" t="s">
        <v>196</v>
      </c>
      <c r="AN318" s="1" t="s">
        <v>197</v>
      </c>
      <c r="AO318" s="1" t="s">
        <v>5086</v>
      </c>
      <c r="AP318" s="1"/>
      <c r="AQ318" s="1"/>
      <c r="AR318" s="1" t="s">
        <v>5087</v>
      </c>
      <c r="AS318" s="1" t="s">
        <v>5088</v>
      </c>
      <c r="AT318" s="1" t="s">
        <v>277</v>
      </c>
      <c r="AU318" s="1" t="n">
        <v>2022</v>
      </c>
      <c r="AV318" s="1" t="n">
        <v>19</v>
      </c>
      <c r="AW318" s="1" t="n">
        <v>1</v>
      </c>
      <c r="AX318" s="1"/>
      <c r="AY318" s="1"/>
      <c r="AZ318" s="1"/>
      <c r="BA318" s="1"/>
      <c r="BB318" s="1" t="n">
        <v>228</v>
      </c>
      <c r="BC318" s="1" t="n">
        <v>255</v>
      </c>
      <c r="BD318" s="1"/>
      <c r="BE318" s="1" t="s">
        <v>5943</v>
      </c>
      <c r="BF318" s="1" t="str">
        <f aca="false">HYPERLINK("http://dx.doi.org/10.1109/TNSM.2021.3123680","http://dx.doi.org/10.1109/TNSM.2021.3123680")</f>
        <v>http://dx.doi.org/10.1109/TNSM.2021.3123680</v>
      </c>
      <c r="BG318" s="1"/>
      <c r="BH318" s="1"/>
      <c r="BI318" s="1" t="n">
        <v>28</v>
      </c>
      <c r="BJ318" s="1" t="s">
        <v>4212</v>
      </c>
      <c r="BK318" s="1" t="s">
        <v>204</v>
      </c>
      <c r="BL318" s="1" t="s">
        <v>101</v>
      </c>
      <c r="BM318" s="1" t="s">
        <v>5944</v>
      </c>
      <c r="BN318" s="1"/>
      <c r="BO318" s="1" t="s">
        <v>2335</v>
      </c>
      <c r="BP318" s="1"/>
      <c r="BQ318" s="1"/>
      <c r="BR318" s="1" t="s">
        <v>103</v>
      </c>
      <c r="BS318" s="1" t="s">
        <v>5945</v>
      </c>
      <c r="BT318" s="1" t="str">
        <f aca="false">HYPERLINK("https%3A%2F%2Fwww.webofscience.com%2Fwos%2Fwoscc%2Ffull-record%2FWOS:000767855700018","View Full Record in Web of Science")</f>
        <v>View Full Record in Web of Science</v>
      </c>
    </row>
    <row r="319" customFormat="false" ht="12.75" hidden="false" customHeight="false" outlineLevel="0" collapsed="false">
      <c r="A319" s="1" t="s">
        <v>181</v>
      </c>
      <c r="B319" s="1" t="s">
        <v>5946</v>
      </c>
      <c r="C319" s="1"/>
      <c r="D319" s="1"/>
      <c r="E319" s="1"/>
      <c r="F319" s="1" t="s">
        <v>5947</v>
      </c>
      <c r="G319" s="1"/>
      <c r="H319" s="1"/>
      <c r="I319" s="1" t="s">
        <v>5948</v>
      </c>
      <c r="J319" s="1" t="s">
        <v>5949</v>
      </c>
      <c r="K319" s="1"/>
      <c r="L319" s="1"/>
      <c r="M319" s="1" t="s">
        <v>78</v>
      </c>
      <c r="N319" s="1" t="s">
        <v>186</v>
      </c>
      <c r="O319" s="1"/>
      <c r="P319" s="1"/>
      <c r="Q319" s="1"/>
      <c r="R319" s="1"/>
      <c r="S319" s="1"/>
      <c r="T319" s="1" t="s">
        <v>5950</v>
      </c>
      <c r="U319" s="1" t="s">
        <v>5951</v>
      </c>
      <c r="V319" s="1" t="s">
        <v>5952</v>
      </c>
      <c r="W319" s="1" t="s">
        <v>5953</v>
      </c>
      <c r="X319" s="1" t="s">
        <v>5206</v>
      </c>
      <c r="Y319" s="1" t="s">
        <v>5954</v>
      </c>
      <c r="Z319" s="1" t="s">
        <v>5955</v>
      </c>
      <c r="AA319" s="1" t="s">
        <v>5956</v>
      </c>
      <c r="AB319" s="1" t="s">
        <v>5957</v>
      </c>
      <c r="AC319" s="1" t="s">
        <v>5958</v>
      </c>
      <c r="AD319" s="1" t="s">
        <v>5959</v>
      </c>
      <c r="AE319" s="1" t="s">
        <v>5960</v>
      </c>
      <c r="AF319" s="1"/>
      <c r="AG319" s="1" t="n">
        <v>48</v>
      </c>
      <c r="AH319" s="1" t="n">
        <v>2</v>
      </c>
      <c r="AI319" s="1" t="n">
        <v>2</v>
      </c>
      <c r="AJ319" s="1" t="n">
        <v>0</v>
      </c>
      <c r="AK319" s="1" t="n">
        <v>5</v>
      </c>
      <c r="AL319" s="1" t="s">
        <v>1220</v>
      </c>
      <c r="AM319" s="1" t="s">
        <v>1221</v>
      </c>
      <c r="AN319" s="1" t="s">
        <v>1222</v>
      </c>
      <c r="AO319" s="1" t="s">
        <v>5961</v>
      </c>
      <c r="AP319" s="1" t="s">
        <v>5962</v>
      </c>
      <c r="AQ319" s="1"/>
      <c r="AR319" s="1" t="s">
        <v>5963</v>
      </c>
      <c r="AS319" s="1" t="s">
        <v>5964</v>
      </c>
      <c r="AT319" s="1" t="s">
        <v>2554</v>
      </c>
      <c r="AU319" s="1" t="n">
        <v>2022</v>
      </c>
      <c r="AV319" s="1" t="n">
        <v>37</v>
      </c>
      <c r="AW319" s="1" t="n">
        <v>1</v>
      </c>
      <c r="AX319" s="1"/>
      <c r="AY319" s="1"/>
      <c r="AZ319" s="1"/>
      <c r="BA319" s="1"/>
      <c r="BB319" s="1" t="n">
        <v>79</v>
      </c>
      <c r="BC319" s="1" t="n">
        <v>94</v>
      </c>
      <c r="BD319" s="1" t="s">
        <v>5965</v>
      </c>
      <c r="BE319" s="1" t="s">
        <v>5966</v>
      </c>
      <c r="BF319" s="1" t="str">
        <f aca="false">HYPERLINK("http://dx.doi.org/10.1080/02697459.2021.1992942","http://dx.doi.org/10.1080/02697459.2021.1992942")</f>
        <v>http://dx.doi.org/10.1080/02697459.2021.1992942</v>
      </c>
      <c r="BG319" s="1"/>
      <c r="BH319" s="1" t="s">
        <v>4153</v>
      </c>
      <c r="BI319" s="1" t="n">
        <v>16</v>
      </c>
      <c r="BJ319" s="1" t="s">
        <v>5967</v>
      </c>
      <c r="BK319" s="1" t="s">
        <v>253</v>
      </c>
      <c r="BL319" s="1" t="s">
        <v>5968</v>
      </c>
      <c r="BM319" s="1" t="s">
        <v>5969</v>
      </c>
      <c r="BN319" s="1"/>
      <c r="BO319" s="1" t="s">
        <v>612</v>
      </c>
      <c r="BP319" s="1"/>
      <c r="BQ319" s="1"/>
      <c r="BR319" s="1" t="s">
        <v>103</v>
      </c>
      <c r="BS319" s="1" t="s">
        <v>5970</v>
      </c>
      <c r="BT319" s="1" t="str">
        <f aca="false">HYPERLINK("https%3A%2F%2Fwww.webofscience.com%2Fwos%2Fwoscc%2Ffull-record%2FWOS:000711258900001","View Full Record in Web of Science")</f>
        <v>View Full Record in Web of Science</v>
      </c>
    </row>
    <row r="320" customFormat="false" ht="12.75" hidden="false" customHeight="false" outlineLevel="0" collapsed="false">
      <c r="A320" s="1" t="s">
        <v>181</v>
      </c>
      <c r="B320" s="1" t="s">
        <v>5971</v>
      </c>
      <c r="C320" s="1"/>
      <c r="D320" s="1"/>
      <c r="E320" s="1"/>
      <c r="F320" s="1" t="s">
        <v>5972</v>
      </c>
      <c r="G320" s="1"/>
      <c r="H320" s="1"/>
      <c r="I320" s="1" t="s">
        <v>5973</v>
      </c>
      <c r="J320" s="1" t="s">
        <v>5974</v>
      </c>
      <c r="K320" s="1"/>
      <c r="L320" s="1"/>
      <c r="M320" s="1" t="s">
        <v>78</v>
      </c>
      <c r="N320" s="1" t="s">
        <v>186</v>
      </c>
      <c r="O320" s="1"/>
      <c r="P320" s="1"/>
      <c r="Q320" s="1"/>
      <c r="R320" s="1"/>
      <c r="S320" s="1"/>
      <c r="T320" s="1" t="s">
        <v>5975</v>
      </c>
      <c r="U320" s="1"/>
      <c r="V320" s="1" t="s">
        <v>5976</v>
      </c>
      <c r="W320" s="1" t="s">
        <v>5977</v>
      </c>
      <c r="X320" s="1" t="s">
        <v>5978</v>
      </c>
      <c r="Y320" s="1" t="s">
        <v>5979</v>
      </c>
      <c r="Z320" s="1" t="s">
        <v>5980</v>
      </c>
      <c r="AA320" s="1" t="s">
        <v>5981</v>
      </c>
      <c r="AB320" s="1" t="s">
        <v>5982</v>
      </c>
      <c r="AC320" s="1"/>
      <c r="AD320" s="1"/>
      <c r="AE320" s="1"/>
      <c r="AF320" s="1"/>
      <c r="AG320" s="1" t="n">
        <v>29</v>
      </c>
      <c r="AH320" s="1" t="n">
        <v>0</v>
      </c>
      <c r="AI320" s="1" t="n">
        <v>0</v>
      </c>
      <c r="AJ320" s="1" t="n">
        <v>4</v>
      </c>
      <c r="AK320" s="1" t="n">
        <v>4</v>
      </c>
      <c r="AL320" s="1" t="s">
        <v>600</v>
      </c>
      <c r="AM320" s="1" t="s">
        <v>601</v>
      </c>
      <c r="AN320" s="1" t="s">
        <v>602</v>
      </c>
      <c r="AO320" s="1" t="s">
        <v>5983</v>
      </c>
      <c r="AP320" s="1" t="s">
        <v>5984</v>
      </c>
      <c r="AQ320" s="1"/>
      <c r="AR320" s="1" t="s">
        <v>5985</v>
      </c>
      <c r="AS320" s="1" t="s">
        <v>5986</v>
      </c>
      <c r="AT320" s="1" t="s">
        <v>5987</v>
      </c>
      <c r="AU320" s="1" t="n">
        <v>2024</v>
      </c>
      <c r="AV320" s="1" t="n">
        <v>2024</v>
      </c>
      <c r="AW320" s="1"/>
      <c r="AX320" s="1"/>
      <c r="AY320" s="1"/>
      <c r="AZ320" s="1"/>
      <c r="BA320" s="1"/>
      <c r="BB320" s="1"/>
      <c r="BC320" s="1"/>
      <c r="BD320" s="1" t="n">
        <v>3073388</v>
      </c>
      <c r="BE320" s="1" t="s">
        <v>5988</v>
      </c>
      <c r="BF320" s="1" t="str">
        <f aca="false">HYPERLINK("http://dx.doi.org/10.1155/2024/3073388","http://dx.doi.org/10.1155/2024/3073388")</f>
        <v>http://dx.doi.org/10.1155/2024/3073388</v>
      </c>
      <c r="BG320" s="1"/>
      <c r="BH320" s="1"/>
      <c r="BI320" s="1" t="n">
        <v>9</v>
      </c>
      <c r="BJ320" s="1" t="s">
        <v>2943</v>
      </c>
      <c r="BK320" s="1" t="s">
        <v>253</v>
      </c>
      <c r="BL320" s="1" t="s">
        <v>2943</v>
      </c>
      <c r="BM320" s="1" t="s">
        <v>5989</v>
      </c>
      <c r="BN320" s="1"/>
      <c r="BO320" s="1" t="s">
        <v>642</v>
      </c>
      <c r="BP320" s="1"/>
      <c r="BQ320" s="1"/>
      <c r="BR320" s="1" t="s">
        <v>103</v>
      </c>
      <c r="BS320" s="1" t="s">
        <v>5990</v>
      </c>
      <c r="BT320" s="1" t="str">
        <f aca="false">HYPERLINK("https%3A%2F%2Fwww.webofscience.com%2Fwos%2Fwoscc%2Ffull-record%2FWOS:001350799600001","View Full Record in Web of Science")</f>
        <v>View Full Record in Web of Science</v>
      </c>
    </row>
    <row r="321" customFormat="false" ht="12.75" hidden="false" customHeight="false" outlineLevel="0" collapsed="false">
      <c r="A321" s="1" t="s">
        <v>181</v>
      </c>
      <c r="B321" s="1" t="s">
        <v>5991</v>
      </c>
      <c r="C321" s="1"/>
      <c r="D321" s="1"/>
      <c r="E321" s="1"/>
      <c r="F321" s="1" t="s">
        <v>5992</v>
      </c>
      <c r="G321" s="1"/>
      <c r="H321" s="1"/>
      <c r="I321" s="1" t="s">
        <v>5993</v>
      </c>
      <c r="J321" s="1" t="s">
        <v>5994</v>
      </c>
      <c r="K321" s="1"/>
      <c r="L321" s="1"/>
      <c r="M321" s="1" t="s">
        <v>78</v>
      </c>
      <c r="N321" s="1" t="s">
        <v>186</v>
      </c>
      <c r="O321" s="1"/>
      <c r="P321" s="1"/>
      <c r="Q321" s="1"/>
      <c r="R321" s="1"/>
      <c r="S321" s="1"/>
      <c r="T321" s="1" t="s">
        <v>5995</v>
      </c>
      <c r="U321" s="1" t="s">
        <v>5996</v>
      </c>
      <c r="V321" s="1" t="s">
        <v>5997</v>
      </c>
      <c r="W321" s="1" t="s">
        <v>5998</v>
      </c>
      <c r="X321" s="1" t="s">
        <v>5999</v>
      </c>
      <c r="Y321" s="1" t="s">
        <v>6000</v>
      </c>
      <c r="Z321" s="1" t="s">
        <v>6001</v>
      </c>
      <c r="AA321" s="1"/>
      <c r="AB321" s="1" t="s">
        <v>3454</v>
      </c>
      <c r="AC321" s="1"/>
      <c r="AD321" s="1"/>
      <c r="AE321" s="1"/>
      <c r="AF321" s="1"/>
      <c r="AG321" s="1" t="n">
        <v>43</v>
      </c>
      <c r="AH321" s="1" t="n">
        <v>1</v>
      </c>
      <c r="AI321" s="1" t="n">
        <v>1</v>
      </c>
      <c r="AJ321" s="1" t="n">
        <v>3</v>
      </c>
      <c r="AK321" s="1" t="n">
        <v>7</v>
      </c>
      <c r="AL321" s="1" t="s">
        <v>5685</v>
      </c>
      <c r="AM321" s="1" t="s">
        <v>5686</v>
      </c>
      <c r="AN321" s="1" t="s">
        <v>5687</v>
      </c>
      <c r="AO321" s="1" t="s">
        <v>6002</v>
      </c>
      <c r="AP321" s="1" t="s">
        <v>6003</v>
      </c>
      <c r="AQ321" s="1"/>
      <c r="AR321" s="1" t="s">
        <v>6004</v>
      </c>
      <c r="AS321" s="1" t="s">
        <v>6005</v>
      </c>
      <c r="AT321" s="1" t="s">
        <v>6006</v>
      </c>
      <c r="AU321" s="1" t="n">
        <v>2023</v>
      </c>
      <c r="AV321" s="1" t="n">
        <v>24</v>
      </c>
      <c r="AW321" s="1" t="n">
        <v>9</v>
      </c>
      <c r="AX321" s="1"/>
      <c r="AY321" s="1"/>
      <c r="AZ321" s="1"/>
      <c r="BA321" s="1"/>
      <c r="BB321" s="1" t="n">
        <v>231</v>
      </c>
      <c r="BC321" s="1" t="n">
        <v>251</v>
      </c>
      <c r="BD321" s="1"/>
      <c r="BE321" s="1" t="s">
        <v>6007</v>
      </c>
      <c r="BF321" s="1" t="str">
        <f aca="false">HYPERLINK("http://dx.doi.org/10.1108/IJSHE-03-2022-0086","http://dx.doi.org/10.1108/IJSHE-03-2022-0086")</f>
        <v>http://dx.doi.org/10.1108/IJSHE-03-2022-0086</v>
      </c>
      <c r="BG321" s="1"/>
      <c r="BH321" s="1"/>
      <c r="BI321" s="1" t="n">
        <v>21</v>
      </c>
      <c r="BJ321" s="1" t="s">
        <v>6008</v>
      </c>
      <c r="BK321" s="1" t="s">
        <v>610</v>
      </c>
      <c r="BL321" s="1" t="s">
        <v>6009</v>
      </c>
      <c r="BM321" s="1" t="s">
        <v>6010</v>
      </c>
      <c r="BN321" s="1"/>
      <c r="BO321" s="1" t="s">
        <v>1373</v>
      </c>
      <c r="BP321" s="1"/>
      <c r="BQ321" s="1"/>
      <c r="BR321" s="1" t="s">
        <v>103</v>
      </c>
      <c r="BS321" s="1" t="s">
        <v>6011</v>
      </c>
      <c r="BT321" s="1" t="str">
        <f aca="false">HYPERLINK("https%3A%2F%2Fwww.webofscience.com%2Fwos%2Fwoscc%2Ffull-record%2FWOS:001001290600001","View Full Record in Web of Science")</f>
        <v>View Full Record in Web of Science</v>
      </c>
    </row>
    <row r="322" customFormat="false" ht="12.75" hidden="false" customHeight="false" outlineLevel="0" collapsed="false">
      <c r="A322" s="1" t="s">
        <v>72</v>
      </c>
      <c r="B322" s="1" t="s">
        <v>5608</v>
      </c>
      <c r="C322" s="1"/>
      <c r="D322" s="1"/>
      <c r="E322" s="1" t="s">
        <v>106</v>
      </c>
      <c r="F322" s="1" t="s">
        <v>5609</v>
      </c>
      <c r="G322" s="1"/>
      <c r="H322" s="1"/>
      <c r="I322" s="1" t="s">
        <v>6012</v>
      </c>
      <c r="J322" s="1" t="s">
        <v>6013</v>
      </c>
      <c r="K322" s="1"/>
      <c r="L322" s="1"/>
      <c r="M322" s="1" t="s">
        <v>78</v>
      </c>
      <c r="N322" s="1" t="s">
        <v>79</v>
      </c>
      <c r="O322" s="1" t="s">
        <v>6014</v>
      </c>
      <c r="P322" s="1" t="s">
        <v>6015</v>
      </c>
      <c r="Q322" s="1" t="s">
        <v>6016</v>
      </c>
      <c r="R322" s="1" t="s">
        <v>6017</v>
      </c>
      <c r="S322" s="1"/>
      <c r="T322" s="1" t="s">
        <v>6018</v>
      </c>
      <c r="U322" s="1" t="s">
        <v>6019</v>
      </c>
      <c r="V322" s="1" t="s">
        <v>6020</v>
      </c>
      <c r="W322" s="1" t="s">
        <v>6021</v>
      </c>
      <c r="X322" s="1" t="s">
        <v>4809</v>
      </c>
      <c r="Y322" s="1" t="s">
        <v>6022</v>
      </c>
      <c r="Z322" s="1" t="s">
        <v>5617</v>
      </c>
      <c r="AA322" s="1" t="s">
        <v>5618</v>
      </c>
      <c r="AB322" s="1" t="s">
        <v>5619</v>
      </c>
      <c r="AC322" s="1"/>
      <c r="AD322" s="1"/>
      <c r="AE322" s="1"/>
      <c r="AF322" s="1"/>
      <c r="AG322" s="1" t="n">
        <v>14</v>
      </c>
      <c r="AH322" s="1" t="n">
        <v>1</v>
      </c>
      <c r="AI322" s="1" t="n">
        <v>1</v>
      </c>
      <c r="AJ322" s="1" t="n">
        <v>1</v>
      </c>
      <c r="AK322" s="1" t="n">
        <v>3</v>
      </c>
      <c r="AL322" s="1" t="s">
        <v>106</v>
      </c>
      <c r="AM322" s="1" t="s">
        <v>95</v>
      </c>
      <c r="AN322" s="1" t="s">
        <v>122</v>
      </c>
      <c r="AO322" s="1"/>
      <c r="AP322" s="1"/>
      <c r="AQ322" s="1"/>
      <c r="AR322" s="1"/>
      <c r="AS322" s="1"/>
      <c r="AT322" s="1"/>
      <c r="AU322" s="1" t="n">
        <v>2022</v>
      </c>
      <c r="AV322" s="1"/>
      <c r="AW322" s="1"/>
      <c r="AX322" s="1"/>
      <c r="AY322" s="1"/>
      <c r="AZ322" s="1"/>
      <c r="BA322" s="1"/>
      <c r="BB322" s="1" t="n">
        <v>66</v>
      </c>
      <c r="BC322" s="1" t="n">
        <v>70</v>
      </c>
      <c r="BD322" s="1"/>
      <c r="BE322" s="1" t="s">
        <v>6023</v>
      </c>
      <c r="BF322" s="1" t="str">
        <f aca="false">HYPERLINK("http://dx.doi.org/10.1145/3524843.3528099","http://dx.doi.org/10.1145/3524843.3528099")</f>
        <v>http://dx.doi.org/10.1145/3524843.3528099</v>
      </c>
      <c r="BG322" s="1"/>
      <c r="BH322" s="1"/>
      <c r="BI322" s="1" t="n">
        <v>5</v>
      </c>
      <c r="BJ322" s="1" t="s">
        <v>6024</v>
      </c>
      <c r="BK322" s="1" t="s">
        <v>1254</v>
      </c>
      <c r="BL322" s="1" t="s">
        <v>1853</v>
      </c>
      <c r="BM322" s="1" t="s">
        <v>6025</v>
      </c>
      <c r="BN322" s="1"/>
      <c r="BO322" s="1" t="s">
        <v>207</v>
      </c>
      <c r="BP322" s="1"/>
      <c r="BQ322" s="1"/>
      <c r="BR322" s="1" t="s">
        <v>103</v>
      </c>
      <c r="BS322" s="1" t="s">
        <v>6026</v>
      </c>
      <c r="BT322" s="1" t="str">
        <f aca="false">HYPERLINK("https%3A%2F%2Fwww.webofscience.com%2Fwos%2Fwoscc%2Ffull-record%2FWOS:000852810000009","View Full Record in Web of Science")</f>
        <v>View Full Record in Web of Science</v>
      </c>
    </row>
    <row r="323" customFormat="false" ht="12.75" hidden="false" customHeight="false" outlineLevel="0" collapsed="false">
      <c r="A323" s="1" t="s">
        <v>181</v>
      </c>
      <c r="B323" s="1" t="s">
        <v>6027</v>
      </c>
      <c r="C323" s="1"/>
      <c r="D323" s="1"/>
      <c r="E323" s="1"/>
      <c r="F323" s="1" t="s">
        <v>6028</v>
      </c>
      <c r="G323" s="1"/>
      <c r="H323" s="1"/>
      <c r="I323" s="1" t="s">
        <v>6029</v>
      </c>
      <c r="J323" s="1" t="s">
        <v>5821</v>
      </c>
      <c r="K323" s="1"/>
      <c r="L323" s="1"/>
      <c r="M323" s="1" t="s">
        <v>78</v>
      </c>
      <c r="N323" s="1" t="s">
        <v>186</v>
      </c>
      <c r="O323" s="1"/>
      <c r="P323" s="1"/>
      <c r="Q323" s="1"/>
      <c r="R323" s="1"/>
      <c r="S323" s="1"/>
      <c r="T323" s="1" t="s">
        <v>6030</v>
      </c>
      <c r="U323" s="1" t="s">
        <v>6031</v>
      </c>
      <c r="V323" s="1" t="s">
        <v>6032</v>
      </c>
      <c r="W323" s="1" t="s">
        <v>6033</v>
      </c>
      <c r="X323" s="1" t="s">
        <v>6034</v>
      </c>
      <c r="Y323" s="1" t="s">
        <v>191</v>
      </c>
      <c r="Z323" s="1" t="s">
        <v>6035</v>
      </c>
      <c r="AA323" s="1" t="s">
        <v>193</v>
      </c>
      <c r="AB323" s="1" t="s">
        <v>6036</v>
      </c>
      <c r="AC323" s="1"/>
      <c r="AD323" s="1"/>
      <c r="AE323" s="1"/>
      <c r="AF323" s="1"/>
      <c r="AG323" s="1" t="n">
        <v>23</v>
      </c>
      <c r="AH323" s="1" t="n">
        <v>1</v>
      </c>
      <c r="AI323" s="1" t="n">
        <v>2</v>
      </c>
      <c r="AJ323" s="1" t="n">
        <v>0</v>
      </c>
      <c r="AK323" s="1" t="n">
        <v>11</v>
      </c>
      <c r="AL323" s="1" t="s">
        <v>195</v>
      </c>
      <c r="AM323" s="1" t="s">
        <v>196</v>
      </c>
      <c r="AN323" s="1" t="s">
        <v>197</v>
      </c>
      <c r="AO323" s="1" t="s">
        <v>5833</v>
      </c>
      <c r="AP323" s="1" t="s">
        <v>5834</v>
      </c>
      <c r="AQ323" s="1"/>
      <c r="AR323" s="1" t="s">
        <v>5835</v>
      </c>
      <c r="AS323" s="1" t="s">
        <v>5836</v>
      </c>
      <c r="AT323" s="1"/>
      <c r="AU323" s="1" t="n">
        <v>2022</v>
      </c>
      <c r="AV323" s="1" t="n">
        <v>60</v>
      </c>
      <c r="AW323" s="1"/>
      <c r="AX323" s="1"/>
      <c r="AY323" s="1"/>
      <c r="AZ323" s="1"/>
      <c r="BA323" s="1"/>
      <c r="BB323" s="1"/>
      <c r="BC323" s="1"/>
      <c r="BD323" s="1" t="n">
        <v>5235514</v>
      </c>
      <c r="BE323" s="1" t="s">
        <v>6037</v>
      </c>
      <c r="BF323" s="1" t="str">
        <f aca="false">HYPERLINK("http://dx.doi.org/10.1109/TGRS.2022.3206867","http://dx.doi.org/10.1109/TGRS.2022.3206867")</f>
        <v>http://dx.doi.org/10.1109/TGRS.2022.3206867</v>
      </c>
      <c r="BG323" s="1"/>
      <c r="BH323" s="1"/>
      <c r="BI323" s="1" t="n">
        <v>14</v>
      </c>
      <c r="BJ323" s="1" t="s">
        <v>203</v>
      </c>
      <c r="BK323" s="1" t="s">
        <v>204</v>
      </c>
      <c r="BL323" s="1" t="s">
        <v>205</v>
      </c>
      <c r="BM323" s="1" t="s">
        <v>6038</v>
      </c>
      <c r="BN323" s="1"/>
      <c r="BO323" s="1" t="s">
        <v>612</v>
      </c>
      <c r="BP323" s="1"/>
      <c r="BQ323" s="1"/>
      <c r="BR323" s="1" t="s">
        <v>103</v>
      </c>
      <c r="BS323" s="1" t="s">
        <v>6039</v>
      </c>
      <c r="BT323" s="1" t="str">
        <f aca="false">HYPERLINK("https%3A%2F%2Fwww.webofscience.com%2Fwos%2Fwoscc%2Ffull-record%2FWOS:000865095100004","View Full Record in Web of Science")</f>
        <v>View Full Record in Web of Science</v>
      </c>
    </row>
    <row r="324" customFormat="false" ht="12.75" hidden="false" customHeight="false" outlineLevel="0" collapsed="false">
      <c r="A324" s="1" t="s">
        <v>181</v>
      </c>
      <c r="B324" s="1" t="s">
        <v>6040</v>
      </c>
      <c r="C324" s="1"/>
      <c r="D324" s="1"/>
      <c r="E324" s="1"/>
      <c r="F324" s="1" t="s">
        <v>6041</v>
      </c>
      <c r="G324" s="1"/>
      <c r="H324" s="1"/>
      <c r="I324" s="1" t="s">
        <v>6042</v>
      </c>
      <c r="J324" s="1" t="s">
        <v>2226</v>
      </c>
      <c r="K324" s="1"/>
      <c r="L324" s="1"/>
      <c r="M324" s="1" t="s">
        <v>78</v>
      </c>
      <c r="N324" s="1" t="s">
        <v>186</v>
      </c>
      <c r="O324" s="1"/>
      <c r="P324" s="1"/>
      <c r="Q324" s="1"/>
      <c r="R324" s="1"/>
      <c r="S324" s="1"/>
      <c r="T324" s="1" t="s">
        <v>6043</v>
      </c>
      <c r="U324" s="1" t="s">
        <v>6044</v>
      </c>
      <c r="V324" s="1" t="s">
        <v>6045</v>
      </c>
      <c r="W324" s="1" t="s">
        <v>6046</v>
      </c>
      <c r="X324" s="1" t="s">
        <v>86</v>
      </c>
      <c r="Y324" s="1" t="s">
        <v>6047</v>
      </c>
      <c r="Z324" s="1" t="s">
        <v>6048</v>
      </c>
      <c r="AA324" s="1" t="s">
        <v>4984</v>
      </c>
      <c r="AB324" s="1" t="s">
        <v>6049</v>
      </c>
      <c r="AC324" s="1"/>
      <c r="AD324" s="1"/>
      <c r="AE324" s="1"/>
      <c r="AF324" s="1"/>
      <c r="AG324" s="1" t="n">
        <v>30</v>
      </c>
      <c r="AH324" s="1" t="n">
        <v>2</v>
      </c>
      <c r="AI324" s="1" t="n">
        <v>2</v>
      </c>
      <c r="AJ324" s="1" t="n">
        <v>0</v>
      </c>
      <c r="AK324" s="1" t="n">
        <v>7</v>
      </c>
      <c r="AL324" s="1" t="s">
        <v>367</v>
      </c>
      <c r="AM324" s="1" t="s">
        <v>368</v>
      </c>
      <c r="AN324" s="1" t="s">
        <v>369</v>
      </c>
      <c r="AO324" s="1"/>
      <c r="AP324" s="1" t="s">
        <v>2234</v>
      </c>
      <c r="AQ324" s="1"/>
      <c r="AR324" s="1" t="s">
        <v>2235</v>
      </c>
      <c r="AS324" s="1" t="s">
        <v>2236</v>
      </c>
      <c r="AT324" s="1" t="s">
        <v>277</v>
      </c>
      <c r="AU324" s="1" t="n">
        <v>2021</v>
      </c>
      <c r="AV324" s="1" t="n">
        <v>13</v>
      </c>
      <c r="AW324" s="1" t="n">
        <v>5</v>
      </c>
      <c r="AX324" s="1"/>
      <c r="AY324" s="1"/>
      <c r="AZ324" s="1"/>
      <c r="BA324" s="1"/>
      <c r="BB324" s="1"/>
      <c r="BC324" s="1"/>
      <c r="BD324" s="1" t="n">
        <v>970</v>
      </c>
      <c r="BE324" s="1" t="s">
        <v>6050</v>
      </c>
      <c r="BF324" s="1" t="str">
        <f aca="false">HYPERLINK("http://dx.doi.org/10.3390/rs13050970","http://dx.doi.org/10.3390/rs13050970")</f>
        <v>http://dx.doi.org/10.3390/rs13050970</v>
      </c>
      <c r="BG324" s="1"/>
      <c r="BH324" s="1"/>
      <c r="BI324" s="1" t="n">
        <v>15</v>
      </c>
      <c r="BJ324" s="1" t="s">
        <v>2238</v>
      </c>
      <c r="BK324" s="1" t="s">
        <v>204</v>
      </c>
      <c r="BL324" s="1" t="s">
        <v>2239</v>
      </c>
      <c r="BM324" s="1" t="s">
        <v>6051</v>
      </c>
      <c r="BN324" s="1"/>
      <c r="BO324" s="1" t="s">
        <v>542</v>
      </c>
      <c r="BP324" s="1"/>
      <c r="BQ324" s="1"/>
      <c r="BR324" s="1" t="s">
        <v>103</v>
      </c>
      <c r="BS324" s="1" t="s">
        <v>6052</v>
      </c>
      <c r="BT324" s="1" t="str">
        <f aca="false">HYPERLINK("https%3A%2F%2Fwww.webofscience.com%2Fwos%2Fwoscc%2Ffull-record%2FWOS:000628509700001","View Full Record in Web of Science")</f>
        <v>View Full Record in Web of Science</v>
      </c>
    </row>
    <row r="325" customFormat="false" ht="12.75" hidden="false" customHeight="false" outlineLevel="0" collapsed="false">
      <c r="A325" s="1" t="s">
        <v>181</v>
      </c>
      <c r="B325" s="1" t="s">
        <v>6053</v>
      </c>
      <c r="C325" s="1"/>
      <c r="D325" s="1"/>
      <c r="E325" s="1"/>
      <c r="F325" s="1" t="s">
        <v>6054</v>
      </c>
      <c r="G325" s="1"/>
      <c r="H325" s="1"/>
      <c r="I325" s="1" t="s">
        <v>6055</v>
      </c>
      <c r="J325" s="1" t="s">
        <v>185</v>
      </c>
      <c r="K325" s="1"/>
      <c r="L325" s="1"/>
      <c r="M325" s="1" t="s">
        <v>78</v>
      </c>
      <c r="N325" s="1" t="s">
        <v>186</v>
      </c>
      <c r="O325" s="1"/>
      <c r="P325" s="1"/>
      <c r="Q325" s="1"/>
      <c r="R325" s="1"/>
      <c r="S325" s="1"/>
      <c r="T325" s="1" t="s">
        <v>6056</v>
      </c>
      <c r="U325" s="1"/>
      <c r="V325" s="1" t="s">
        <v>6057</v>
      </c>
      <c r="W325" s="1" t="s">
        <v>6058</v>
      </c>
      <c r="X325" s="1" t="s">
        <v>6059</v>
      </c>
      <c r="Y325" s="1" t="s">
        <v>6060</v>
      </c>
      <c r="Z325" s="1" t="s">
        <v>6061</v>
      </c>
      <c r="AA325" s="1" t="s">
        <v>6062</v>
      </c>
      <c r="AB325" s="1" t="s">
        <v>6063</v>
      </c>
      <c r="AC325" s="1" t="s">
        <v>6064</v>
      </c>
      <c r="AD325" s="1" t="s">
        <v>6065</v>
      </c>
      <c r="AE325" s="1" t="s">
        <v>6066</v>
      </c>
      <c r="AF325" s="1"/>
      <c r="AG325" s="1" t="n">
        <v>20</v>
      </c>
      <c r="AH325" s="1" t="n">
        <v>0</v>
      </c>
      <c r="AI325" s="1" t="n">
        <v>0</v>
      </c>
      <c r="AJ325" s="1" t="n">
        <v>0</v>
      </c>
      <c r="AK325" s="1" t="n">
        <v>0</v>
      </c>
      <c r="AL325" s="1" t="s">
        <v>195</v>
      </c>
      <c r="AM325" s="1" t="s">
        <v>196</v>
      </c>
      <c r="AN325" s="1" t="s">
        <v>197</v>
      </c>
      <c r="AO325" s="1" t="s">
        <v>198</v>
      </c>
      <c r="AP325" s="1" t="s">
        <v>199</v>
      </c>
      <c r="AQ325" s="1"/>
      <c r="AR325" s="1" t="s">
        <v>200</v>
      </c>
      <c r="AS325" s="1" t="s">
        <v>201</v>
      </c>
      <c r="AT325" s="1"/>
      <c r="AU325" s="1" t="n">
        <v>2024</v>
      </c>
      <c r="AV325" s="1" t="n">
        <v>21</v>
      </c>
      <c r="AW325" s="1"/>
      <c r="AX325" s="1"/>
      <c r="AY325" s="1"/>
      <c r="AZ325" s="1"/>
      <c r="BA325" s="1"/>
      <c r="BB325" s="1"/>
      <c r="BC325" s="1"/>
      <c r="BD325" s="1" t="n">
        <v>4018705</v>
      </c>
      <c r="BE325" s="1" t="s">
        <v>6067</v>
      </c>
      <c r="BF325" s="1" t="str">
        <f aca="false">HYPERLINK("http://dx.doi.org/10.1109/LGRS.2024.3482091","http://dx.doi.org/10.1109/LGRS.2024.3482091")</f>
        <v>http://dx.doi.org/10.1109/LGRS.2024.3482091</v>
      </c>
      <c r="BG325" s="1"/>
      <c r="BH325" s="1"/>
      <c r="BI325" s="1" t="n">
        <v>5</v>
      </c>
      <c r="BJ325" s="1" t="s">
        <v>203</v>
      </c>
      <c r="BK325" s="1" t="s">
        <v>204</v>
      </c>
      <c r="BL325" s="1" t="s">
        <v>205</v>
      </c>
      <c r="BM325" s="1" t="s">
        <v>6068</v>
      </c>
      <c r="BN325" s="1"/>
      <c r="BO325" s="1" t="s">
        <v>282</v>
      </c>
      <c r="BP325" s="1"/>
      <c r="BQ325" s="1"/>
      <c r="BR325" s="1" t="s">
        <v>103</v>
      </c>
      <c r="BS325" s="1" t="s">
        <v>6069</v>
      </c>
      <c r="BT325" s="1" t="str">
        <f aca="false">HYPERLINK("https%3A%2F%2Fwww.webofscience.com%2Fwos%2Fwoscc%2Ffull-record%2FWOS:001346122100008","View Full Record in Web of Science")</f>
        <v>View Full Record in Web of Science</v>
      </c>
    </row>
    <row r="326" customFormat="false" ht="12.75" hidden="false" customHeight="false" outlineLevel="0" collapsed="false">
      <c r="A326" s="1" t="s">
        <v>181</v>
      </c>
      <c r="B326" s="1" t="s">
        <v>1937</v>
      </c>
      <c r="C326" s="1"/>
      <c r="D326" s="1"/>
      <c r="E326" s="1"/>
      <c r="F326" s="1" t="s">
        <v>1938</v>
      </c>
      <c r="G326" s="1"/>
      <c r="H326" s="1"/>
      <c r="I326" s="1" t="s">
        <v>6070</v>
      </c>
      <c r="J326" s="1" t="s">
        <v>952</v>
      </c>
      <c r="K326" s="1"/>
      <c r="L326" s="1"/>
      <c r="M326" s="1" t="s">
        <v>78</v>
      </c>
      <c r="N326" s="1" t="s">
        <v>186</v>
      </c>
      <c r="O326" s="1"/>
      <c r="P326" s="1"/>
      <c r="Q326" s="1"/>
      <c r="R326" s="1"/>
      <c r="S326" s="1"/>
      <c r="T326" s="1" t="s">
        <v>6071</v>
      </c>
      <c r="U326" s="1" t="s">
        <v>6072</v>
      </c>
      <c r="V326" s="1" t="s">
        <v>6073</v>
      </c>
      <c r="W326" s="1" t="s">
        <v>6074</v>
      </c>
      <c r="X326" s="1" t="s">
        <v>6075</v>
      </c>
      <c r="Y326" s="1" t="s">
        <v>6076</v>
      </c>
      <c r="Z326" s="1" t="s">
        <v>6077</v>
      </c>
      <c r="AA326" s="1" t="s">
        <v>388</v>
      </c>
      <c r="AB326" s="1"/>
      <c r="AC326" s="1" t="s">
        <v>6078</v>
      </c>
      <c r="AD326" s="1" t="s">
        <v>6079</v>
      </c>
      <c r="AE326" s="1" t="s">
        <v>6080</v>
      </c>
      <c r="AF326" s="1"/>
      <c r="AG326" s="1" t="n">
        <v>94</v>
      </c>
      <c r="AH326" s="1" t="n">
        <v>3</v>
      </c>
      <c r="AI326" s="1" t="n">
        <v>3</v>
      </c>
      <c r="AJ326" s="1" t="n">
        <v>9</v>
      </c>
      <c r="AK326" s="1" t="n">
        <v>28</v>
      </c>
      <c r="AL326" s="1" t="s">
        <v>893</v>
      </c>
      <c r="AM326" s="1" t="s">
        <v>894</v>
      </c>
      <c r="AN326" s="1" t="s">
        <v>895</v>
      </c>
      <c r="AO326" s="1" t="s">
        <v>963</v>
      </c>
      <c r="AP326" s="1"/>
      <c r="AQ326" s="1"/>
      <c r="AR326" s="1" t="s">
        <v>964</v>
      </c>
      <c r="AS326" s="1" t="s">
        <v>965</v>
      </c>
      <c r="AT326" s="1" t="s">
        <v>474</v>
      </c>
      <c r="AU326" s="1" t="n">
        <v>2023</v>
      </c>
      <c r="AV326" s="1" t="n">
        <v>40</v>
      </c>
      <c r="AW326" s="1"/>
      <c r="AX326" s="1"/>
      <c r="AY326" s="1"/>
      <c r="AZ326" s="1"/>
      <c r="BA326" s="1"/>
      <c r="BB326" s="1" t="n">
        <v>277</v>
      </c>
      <c r="BC326" s="1" t="n">
        <v>296</v>
      </c>
      <c r="BD326" s="1"/>
      <c r="BE326" s="1" t="s">
        <v>6081</v>
      </c>
      <c r="BF326" s="1" t="str">
        <f aca="false">HYPERLINK("http://dx.doi.org/10.1016/j.spc.2023.07.002","http://dx.doi.org/10.1016/j.spc.2023.07.002")</f>
        <v>http://dx.doi.org/10.1016/j.spc.2023.07.002</v>
      </c>
      <c r="BG326" s="1"/>
      <c r="BH326" s="1" t="s">
        <v>2810</v>
      </c>
      <c r="BI326" s="1" t="n">
        <v>20</v>
      </c>
      <c r="BJ326" s="1" t="s">
        <v>968</v>
      </c>
      <c r="BK326" s="1" t="s">
        <v>398</v>
      </c>
      <c r="BL326" s="1" t="s">
        <v>399</v>
      </c>
      <c r="BM326" s="1" t="s">
        <v>6082</v>
      </c>
      <c r="BN326" s="1"/>
      <c r="BO326" s="1" t="s">
        <v>207</v>
      </c>
      <c r="BP326" s="1"/>
      <c r="BQ326" s="1"/>
      <c r="BR326" s="1" t="s">
        <v>103</v>
      </c>
      <c r="BS326" s="1" t="s">
        <v>6083</v>
      </c>
      <c r="BT326" s="1" t="str">
        <f aca="false">HYPERLINK("https%3A%2F%2Fwww.webofscience.com%2Fwos%2Fwoscc%2Ffull-record%2FWOS:001047838400001","View Full Record in Web of Science")</f>
        <v>View Full Record in Web of Science</v>
      </c>
    </row>
    <row r="327" customFormat="false" ht="12.75" hidden="false" customHeight="false" outlineLevel="0" collapsed="false">
      <c r="A327" s="1" t="s">
        <v>181</v>
      </c>
      <c r="B327" s="1" t="s">
        <v>6084</v>
      </c>
      <c r="C327" s="1"/>
      <c r="D327" s="1"/>
      <c r="E327" s="1"/>
      <c r="F327" s="1" t="s">
        <v>6085</v>
      </c>
      <c r="G327" s="1"/>
      <c r="H327" s="1"/>
      <c r="I327" s="1" t="s">
        <v>6086</v>
      </c>
      <c r="J327" s="1" t="s">
        <v>3481</v>
      </c>
      <c r="K327" s="1"/>
      <c r="L327" s="1"/>
      <c r="M327" s="1" t="s">
        <v>78</v>
      </c>
      <c r="N327" s="1" t="s">
        <v>186</v>
      </c>
      <c r="O327" s="1"/>
      <c r="P327" s="1"/>
      <c r="Q327" s="1"/>
      <c r="R327" s="1"/>
      <c r="S327" s="1"/>
      <c r="T327" s="1" t="s">
        <v>6087</v>
      </c>
      <c r="U327" s="1" t="s">
        <v>3393</v>
      </c>
      <c r="V327" s="1" t="s">
        <v>6088</v>
      </c>
      <c r="W327" s="1" t="s">
        <v>6089</v>
      </c>
      <c r="X327" s="1" t="s">
        <v>5440</v>
      </c>
      <c r="Y327" s="1" t="s">
        <v>342</v>
      </c>
      <c r="Z327" s="1" t="s">
        <v>6090</v>
      </c>
      <c r="AA327" s="1" t="s">
        <v>193</v>
      </c>
      <c r="AB327" s="1" t="s">
        <v>6091</v>
      </c>
      <c r="AC327" s="1" t="s">
        <v>6092</v>
      </c>
      <c r="AD327" s="1" t="s">
        <v>6093</v>
      </c>
      <c r="AE327" s="1" t="s">
        <v>6094</v>
      </c>
      <c r="AF327" s="1"/>
      <c r="AG327" s="1" t="n">
        <v>32</v>
      </c>
      <c r="AH327" s="1" t="n">
        <v>3</v>
      </c>
      <c r="AI327" s="1" t="n">
        <v>3</v>
      </c>
      <c r="AJ327" s="1" t="n">
        <v>1</v>
      </c>
      <c r="AK327" s="1" t="n">
        <v>6</v>
      </c>
      <c r="AL327" s="1" t="s">
        <v>367</v>
      </c>
      <c r="AM327" s="1" t="s">
        <v>368</v>
      </c>
      <c r="AN327" s="1" t="s">
        <v>369</v>
      </c>
      <c r="AO327" s="1"/>
      <c r="AP327" s="1" t="s">
        <v>3492</v>
      </c>
      <c r="AQ327" s="1"/>
      <c r="AR327" s="1" t="s">
        <v>3493</v>
      </c>
      <c r="AS327" s="1" t="s">
        <v>3494</v>
      </c>
      <c r="AT327" s="1" t="s">
        <v>808</v>
      </c>
      <c r="AU327" s="1" t="n">
        <v>2022</v>
      </c>
      <c r="AV327" s="1" t="n">
        <v>22</v>
      </c>
      <c r="AW327" s="1" t="n">
        <v>13</v>
      </c>
      <c r="AX327" s="1"/>
      <c r="AY327" s="1"/>
      <c r="AZ327" s="1"/>
      <c r="BA327" s="1"/>
      <c r="BB327" s="1"/>
      <c r="BC327" s="1"/>
      <c r="BD327" s="1" t="n">
        <v>4941</v>
      </c>
      <c r="BE327" s="1" t="s">
        <v>6095</v>
      </c>
      <c r="BF327" s="1" t="str">
        <f aca="false">HYPERLINK("http://dx.doi.org/10.3390/s22134941","http://dx.doi.org/10.3390/s22134941")</f>
        <v>http://dx.doi.org/10.3390/s22134941</v>
      </c>
      <c r="BG327" s="1"/>
      <c r="BH327" s="1"/>
      <c r="BI327" s="1" t="n">
        <v>18</v>
      </c>
      <c r="BJ327" s="1" t="s">
        <v>3496</v>
      </c>
      <c r="BK327" s="1" t="s">
        <v>204</v>
      </c>
      <c r="BL327" s="1" t="s">
        <v>3497</v>
      </c>
      <c r="BM327" s="1" t="s">
        <v>6096</v>
      </c>
      <c r="BN327" s="1" t="n">
        <v>35808437</v>
      </c>
      <c r="BO327" s="1" t="s">
        <v>542</v>
      </c>
      <c r="BP327" s="1"/>
      <c r="BQ327" s="1"/>
      <c r="BR327" s="1" t="s">
        <v>103</v>
      </c>
      <c r="BS327" s="1" t="s">
        <v>6097</v>
      </c>
      <c r="BT327" s="1" t="str">
        <f aca="false">HYPERLINK("https%3A%2F%2Fwww.webofscience.com%2Fwos%2Fwoscc%2Ffull-record%2FWOS:000823517300001","View Full Record in Web of Science")</f>
        <v>View Full Record in Web of Science</v>
      </c>
    </row>
    <row r="328" customFormat="false" ht="12.75" hidden="false" customHeight="false" outlineLevel="0" collapsed="false">
      <c r="A328" s="1" t="s">
        <v>181</v>
      </c>
      <c r="B328" s="1" t="s">
        <v>6098</v>
      </c>
      <c r="C328" s="1"/>
      <c r="D328" s="1"/>
      <c r="E328" s="1"/>
      <c r="F328" s="1" t="s">
        <v>6099</v>
      </c>
      <c r="G328" s="1"/>
      <c r="H328" s="1"/>
      <c r="I328" s="1" t="s">
        <v>6100</v>
      </c>
      <c r="J328" s="1" t="s">
        <v>1378</v>
      </c>
      <c r="K328" s="1"/>
      <c r="L328" s="1"/>
      <c r="M328" s="1" t="s">
        <v>78</v>
      </c>
      <c r="N328" s="1" t="s">
        <v>186</v>
      </c>
      <c r="O328" s="1"/>
      <c r="P328" s="1"/>
      <c r="Q328" s="1"/>
      <c r="R328" s="1"/>
      <c r="S328" s="1"/>
      <c r="T328" s="1" t="s">
        <v>6101</v>
      </c>
      <c r="U328" s="1" t="s">
        <v>6102</v>
      </c>
      <c r="V328" s="1" t="s">
        <v>6103</v>
      </c>
      <c r="W328" s="1" t="s">
        <v>6104</v>
      </c>
      <c r="X328" s="1" t="s">
        <v>4095</v>
      </c>
      <c r="Y328" s="1" t="s">
        <v>6105</v>
      </c>
      <c r="Z328" s="1" t="s">
        <v>6106</v>
      </c>
      <c r="AA328" s="1" t="s">
        <v>6107</v>
      </c>
      <c r="AB328" s="1"/>
      <c r="AC328" s="1" t="s">
        <v>6108</v>
      </c>
      <c r="AD328" s="1" t="s">
        <v>6109</v>
      </c>
      <c r="AE328" s="1" t="s">
        <v>6110</v>
      </c>
      <c r="AF328" s="1"/>
      <c r="AG328" s="1" t="n">
        <v>53</v>
      </c>
      <c r="AH328" s="1" t="n">
        <v>28</v>
      </c>
      <c r="AI328" s="1" t="n">
        <v>31</v>
      </c>
      <c r="AJ328" s="1" t="n">
        <v>6</v>
      </c>
      <c r="AK328" s="1" t="n">
        <v>49</v>
      </c>
      <c r="AL328" s="1" t="s">
        <v>893</v>
      </c>
      <c r="AM328" s="1" t="s">
        <v>894</v>
      </c>
      <c r="AN328" s="1" t="s">
        <v>895</v>
      </c>
      <c r="AO328" s="1" t="s">
        <v>1387</v>
      </c>
      <c r="AP328" s="1" t="s">
        <v>1388</v>
      </c>
      <c r="AQ328" s="1"/>
      <c r="AR328" s="1" t="s">
        <v>1389</v>
      </c>
      <c r="AS328" s="1" t="s">
        <v>1390</v>
      </c>
      <c r="AT328" s="1" t="s">
        <v>1362</v>
      </c>
      <c r="AU328" s="1" t="n">
        <v>2021</v>
      </c>
      <c r="AV328" s="1" t="n">
        <v>138</v>
      </c>
      <c r="AW328" s="1"/>
      <c r="AX328" s="1"/>
      <c r="AY328" s="1"/>
      <c r="AZ328" s="1"/>
      <c r="BA328" s="1"/>
      <c r="BB328" s="1"/>
      <c r="BC328" s="1"/>
      <c r="BD328" s="1" t="n">
        <v>106612</v>
      </c>
      <c r="BE328" s="1" t="s">
        <v>6111</v>
      </c>
      <c r="BF328" s="1" t="str">
        <f aca="false">HYPERLINK("http://dx.doi.org/10.1016/j.infsof.2021.106612","http://dx.doi.org/10.1016/j.infsof.2021.106612")</f>
        <v>http://dx.doi.org/10.1016/j.infsof.2021.106612</v>
      </c>
      <c r="BG328" s="1"/>
      <c r="BH328" s="1" t="s">
        <v>1970</v>
      </c>
      <c r="BI328" s="1" t="n">
        <v>16</v>
      </c>
      <c r="BJ328" s="1" t="s">
        <v>1394</v>
      </c>
      <c r="BK328" s="1" t="s">
        <v>398</v>
      </c>
      <c r="BL328" s="1" t="s">
        <v>101</v>
      </c>
      <c r="BM328" s="1" t="s">
        <v>5670</v>
      </c>
      <c r="BN328" s="1"/>
      <c r="BO328" s="1"/>
      <c r="BP328" s="1"/>
      <c r="BQ328" s="1"/>
      <c r="BR328" s="1" t="s">
        <v>103</v>
      </c>
      <c r="BS328" s="1" t="s">
        <v>6112</v>
      </c>
      <c r="BT328" s="1" t="str">
        <f aca="false">HYPERLINK("https%3A%2F%2Fwww.webofscience.com%2Fwos%2Fwoscc%2Ffull-record%2FWOS:000672531500012","View Full Record in Web of Science")</f>
        <v>View Full Record in Web of Science</v>
      </c>
    </row>
    <row r="329" customFormat="false" ht="12.75" hidden="false" customHeight="false" outlineLevel="0" collapsed="false">
      <c r="A329" s="1" t="s">
        <v>181</v>
      </c>
      <c r="B329" s="1" t="s">
        <v>5658</v>
      </c>
      <c r="C329" s="1"/>
      <c r="D329" s="1"/>
      <c r="E329" s="1"/>
      <c r="F329" s="1" t="s">
        <v>5659</v>
      </c>
      <c r="G329" s="1"/>
      <c r="H329" s="1"/>
      <c r="I329" s="1" t="s">
        <v>6113</v>
      </c>
      <c r="J329" s="1" t="s">
        <v>6114</v>
      </c>
      <c r="K329" s="1"/>
      <c r="L329" s="1"/>
      <c r="M329" s="1" t="s">
        <v>78</v>
      </c>
      <c r="N329" s="1" t="s">
        <v>186</v>
      </c>
      <c r="O329" s="1"/>
      <c r="P329" s="1"/>
      <c r="Q329" s="1"/>
      <c r="R329" s="1"/>
      <c r="S329" s="1"/>
      <c r="T329" s="1" t="s">
        <v>6115</v>
      </c>
      <c r="U329" s="1"/>
      <c r="V329" s="1" t="s">
        <v>6116</v>
      </c>
      <c r="W329" s="1" t="s">
        <v>6117</v>
      </c>
      <c r="X329" s="1" t="s">
        <v>5664</v>
      </c>
      <c r="Y329" s="1" t="s">
        <v>5665</v>
      </c>
      <c r="Z329" s="1" t="s">
        <v>6118</v>
      </c>
      <c r="AA329" s="1"/>
      <c r="AB329" s="1" t="s">
        <v>5667</v>
      </c>
      <c r="AC329" s="1" t="s">
        <v>6119</v>
      </c>
      <c r="AD329" s="1" t="s">
        <v>6120</v>
      </c>
      <c r="AE329" s="1" t="s">
        <v>6121</v>
      </c>
      <c r="AF329" s="1"/>
      <c r="AG329" s="1" t="n">
        <v>55</v>
      </c>
      <c r="AH329" s="1" t="n">
        <v>0</v>
      </c>
      <c r="AI329" s="1" t="n">
        <v>0</v>
      </c>
      <c r="AJ329" s="1" t="n">
        <v>5</v>
      </c>
      <c r="AK329" s="1" t="n">
        <v>5</v>
      </c>
      <c r="AL329" s="1" t="s">
        <v>600</v>
      </c>
      <c r="AM329" s="1" t="s">
        <v>601</v>
      </c>
      <c r="AN329" s="1" t="s">
        <v>602</v>
      </c>
      <c r="AO329" s="1" t="s">
        <v>6122</v>
      </c>
      <c r="AP329" s="1" t="s">
        <v>6123</v>
      </c>
      <c r="AQ329" s="1"/>
      <c r="AR329" s="1" t="s">
        <v>6124</v>
      </c>
      <c r="AS329" s="1" t="s">
        <v>6125</v>
      </c>
      <c r="AT329" s="1" t="s">
        <v>1391</v>
      </c>
      <c r="AU329" s="1" t="n">
        <v>2024</v>
      </c>
      <c r="AV329" s="1" t="n">
        <v>34</v>
      </c>
      <c r="AW329" s="1" t="n">
        <v>7</v>
      </c>
      <c r="AX329" s="1"/>
      <c r="AY329" s="1"/>
      <c r="AZ329" s="1"/>
      <c r="BA329" s="1"/>
      <c r="BB329" s="1"/>
      <c r="BC329" s="1"/>
      <c r="BD329" s="1"/>
      <c r="BE329" s="1" t="s">
        <v>6126</v>
      </c>
      <c r="BF329" s="1" t="str">
        <f aca="false">HYPERLINK("http://dx.doi.org/10.1002/stvr.1893","http://dx.doi.org/10.1002/stvr.1893")</f>
        <v>http://dx.doi.org/10.1002/stvr.1893</v>
      </c>
      <c r="BG329" s="1"/>
      <c r="BH329" s="1" t="s">
        <v>6127</v>
      </c>
      <c r="BI329" s="1" t="n">
        <v>39</v>
      </c>
      <c r="BJ329" s="1" t="s">
        <v>252</v>
      </c>
      <c r="BK329" s="1" t="s">
        <v>204</v>
      </c>
      <c r="BL329" s="1" t="s">
        <v>101</v>
      </c>
      <c r="BM329" s="1" t="s">
        <v>6128</v>
      </c>
      <c r="BN329" s="1"/>
      <c r="BO329" s="1" t="s">
        <v>1373</v>
      </c>
      <c r="BP329" s="1"/>
      <c r="BQ329" s="1"/>
      <c r="BR329" s="1" t="s">
        <v>103</v>
      </c>
      <c r="BS329" s="1" t="s">
        <v>6129</v>
      </c>
      <c r="BT329" s="1" t="str">
        <f aca="false">HYPERLINK("https%3A%2F%2Fwww.webofscience.com%2Fwos%2Fwoscc%2Ffull-record%2FWOS:001290853000001","View Full Record in Web of Science")</f>
        <v>View Full Record in Web of Science</v>
      </c>
    </row>
    <row r="330" customFormat="false" ht="12.75" hidden="false" customHeight="false" outlineLevel="0" collapsed="false">
      <c r="A330" s="1" t="s">
        <v>72</v>
      </c>
      <c r="B330" s="1" t="s">
        <v>6130</v>
      </c>
      <c r="C330" s="1"/>
      <c r="D330" s="1" t="s">
        <v>3128</v>
      </c>
      <c r="E330" s="1"/>
      <c r="F330" s="1" t="s">
        <v>6131</v>
      </c>
      <c r="G330" s="1"/>
      <c r="H330" s="1"/>
      <c r="I330" s="1" t="s">
        <v>6132</v>
      </c>
      <c r="J330" s="1" t="s">
        <v>3131</v>
      </c>
      <c r="K330" s="1" t="s">
        <v>3132</v>
      </c>
      <c r="L330" s="1"/>
      <c r="M330" s="1" t="s">
        <v>78</v>
      </c>
      <c r="N330" s="1" t="s">
        <v>79</v>
      </c>
      <c r="O330" s="1" t="s">
        <v>3133</v>
      </c>
      <c r="P330" s="1" t="s">
        <v>3134</v>
      </c>
      <c r="Q330" s="1" t="s">
        <v>3135</v>
      </c>
      <c r="R330" s="1" t="s">
        <v>106</v>
      </c>
      <c r="S330" s="1"/>
      <c r="T330" s="1" t="s">
        <v>6133</v>
      </c>
      <c r="U330" s="1"/>
      <c r="V330" s="1" t="s">
        <v>6134</v>
      </c>
      <c r="W330" s="1" t="s">
        <v>6135</v>
      </c>
      <c r="X330" s="1" t="s">
        <v>4809</v>
      </c>
      <c r="Y330" s="1" t="s">
        <v>6136</v>
      </c>
      <c r="Z330" s="1" t="s">
        <v>6137</v>
      </c>
      <c r="AA330" s="1" t="s">
        <v>6138</v>
      </c>
      <c r="AB330" s="1"/>
      <c r="AC330" s="1" t="s">
        <v>91</v>
      </c>
      <c r="AD330" s="1" t="s">
        <v>92</v>
      </c>
      <c r="AE330" s="1" t="s">
        <v>6139</v>
      </c>
      <c r="AF330" s="1"/>
      <c r="AG330" s="1" t="n">
        <v>29</v>
      </c>
      <c r="AH330" s="1" t="n">
        <v>0</v>
      </c>
      <c r="AI330" s="1" t="n">
        <v>0</v>
      </c>
      <c r="AJ330" s="1" t="n">
        <v>0</v>
      </c>
      <c r="AK330" s="1" t="n">
        <v>0</v>
      </c>
      <c r="AL330" s="1" t="s">
        <v>106</v>
      </c>
      <c r="AM330" s="1" t="s">
        <v>95</v>
      </c>
      <c r="AN330" s="1" t="s">
        <v>122</v>
      </c>
      <c r="AO330" s="1" t="s">
        <v>3145</v>
      </c>
      <c r="AP330" s="1"/>
      <c r="AQ330" s="1" t="s">
        <v>3146</v>
      </c>
      <c r="AR330" s="1" t="s">
        <v>3147</v>
      </c>
      <c r="AS330" s="1"/>
      <c r="AT330" s="1"/>
      <c r="AU330" s="1" t="n">
        <v>2024</v>
      </c>
      <c r="AV330" s="1"/>
      <c r="AW330" s="1"/>
      <c r="AX330" s="1"/>
      <c r="AY330" s="1"/>
      <c r="AZ330" s="1"/>
      <c r="BA330" s="1"/>
      <c r="BB330" s="1" t="n">
        <v>126</v>
      </c>
      <c r="BC330" s="1" t="n">
        <v>133</v>
      </c>
      <c r="BD330" s="1"/>
      <c r="BE330" s="1" t="s">
        <v>6140</v>
      </c>
      <c r="BF330" s="1" t="str">
        <f aca="false">HYPERLINK("http://dx.doi.org/10.1109/EAIS58494.2024.10569103","http://dx.doi.org/10.1109/EAIS58494.2024.10569103")</f>
        <v>http://dx.doi.org/10.1109/EAIS58494.2024.10569103</v>
      </c>
      <c r="BG330" s="1"/>
      <c r="BH330" s="1"/>
      <c r="BI330" s="1" t="n">
        <v>8</v>
      </c>
      <c r="BJ330" s="1" t="s">
        <v>1529</v>
      </c>
      <c r="BK330" s="1" t="s">
        <v>100</v>
      </c>
      <c r="BL330" s="1" t="s">
        <v>101</v>
      </c>
      <c r="BM330" s="1" t="s">
        <v>3149</v>
      </c>
      <c r="BN330" s="1"/>
      <c r="BO330" s="1" t="s">
        <v>179</v>
      </c>
      <c r="BP330" s="1"/>
      <c r="BQ330" s="1"/>
      <c r="BR330" s="1" t="s">
        <v>103</v>
      </c>
      <c r="BS330" s="1" t="s">
        <v>6141</v>
      </c>
      <c r="BT330" s="1" t="str">
        <f aca="false">HYPERLINK("https%3A%2F%2Fwww.webofscience.com%2Fwos%2Fwoscc%2Ffull-record%2FWOS:001261404700006","View Full Record in Web of Science")</f>
        <v>View Full Record in Web of Science</v>
      </c>
    </row>
    <row r="331" customFormat="false" ht="12.75" hidden="false" customHeight="false" outlineLevel="0" collapsed="false">
      <c r="A331" s="1" t="s">
        <v>181</v>
      </c>
      <c r="B331" s="1" t="s">
        <v>5514</v>
      </c>
      <c r="C331" s="1"/>
      <c r="D331" s="1"/>
      <c r="E331" s="1"/>
      <c r="F331" s="1" t="s">
        <v>5516</v>
      </c>
      <c r="G331" s="1"/>
      <c r="H331" s="1"/>
      <c r="I331" s="1" t="s">
        <v>6142</v>
      </c>
      <c r="J331" s="1" t="s">
        <v>6143</v>
      </c>
      <c r="K331" s="1"/>
      <c r="L331" s="1"/>
      <c r="M331" s="1" t="s">
        <v>78</v>
      </c>
      <c r="N331" s="1" t="s">
        <v>186</v>
      </c>
      <c r="O331" s="1"/>
      <c r="P331" s="1"/>
      <c r="Q331" s="1"/>
      <c r="R331" s="1"/>
      <c r="S331" s="1"/>
      <c r="T331" s="1" t="s">
        <v>6144</v>
      </c>
      <c r="U331" s="1"/>
      <c r="V331" s="1" t="s">
        <v>6145</v>
      </c>
      <c r="W331" s="1" t="s">
        <v>5527</v>
      </c>
      <c r="X331" s="1" t="s">
        <v>4809</v>
      </c>
      <c r="Y331" s="1" t="s">
        <v>5528</v>
      </c>
      <c r="Z331" s="1" t="s">
        <v>5529</v>
      </c>
      <c r="AA331" s="1" t="s">
        <v>5530</v>
      </c>
      <c r="AB331" s="1" t="s">
        <v>5531</v>
      </c>
      <c r="AC331" s="1" t="s">
        <v>6146</v>
      </c>
      <c r="AD331" s="1" t="s">
        <v>6146</v>
      </c>
      <c r="AE331" s="1" t="s">
        <v>6147</v>
      </c>
      <c r="AF331" s="1"/>
      <c r="AG331" s="1" t="n">
        <v>45</v>
      </c>
      <c r="AH331" s="1" t="n">
        <v>2</v>
      </c>
      <c r="AI331" s="1" t="n">
        <v>2</v>
      </c>
      <c r="AJ331" s="1" t="n">
        <v>0</v>
      </c>
      <c r="AK331" s="1" t="n">
        <v>3</v>
      </c>
      <c r="AL331" s="1" t="s">
        <v>6148</v>
      </c>
      <c r="AM331" s="1" t="s">
        <v>303</v>
      </c>
      <c r="AN331" s="1" t="s">
        <v>304</v>
      </c>
      <c r="AO331" s="1" t="s">
        <v>6149</v>
      </c>
      <c r="AP331" s="1" t="s">
        <v>6150</v>
      </c>
      <c r="AQ331" s="1"/>
      <c r="AR331" s="1" t="s">
        <v>6151</v>
      </c>
      <c r="AS331" s="1" t="s">
        <v>6152</v>
      </c>
      <c r="AT331" s="1" t="s">
        <v>421</v>
      </c>
      <c r="AU331" s="1" t="n">
        <v>2024</v>
      </c>
      <c r="AV331" s="1" t="n">
        <v>79</v>
      </c>
      <c r="AW331" s="1" t="s">
        <v>4688</v>
      </c>
      <c r="AX331" s="1"/>
      <c r="AY331" s="1"/>
      <c r="AZ331" s="1" t="s">
        <v>1698</v>
      </c>
      <c r="BA331" s="1"/>
      <c r="BB331" s="1" t="n">
        <v>271</v>
      </c>
      <c r="BC331" s="1" t="n">
        <v>288</v>
      </c>
      <c r="BD331" s="1"/>
      <c r="BE331" s="1" t="s">
        <v>6153</v>
      </c>
      <c r="BF331" s="1" t="str">
        <f aca="false">HYPERLINK("http://dx.doi.org/10.1007/s12243-023-00973-8","http://dx.doi.org/10.1007/s12243-023-00973-8")</f>
        <v>http://dx.doi.org/10.1007/s12243-023-00973-8</v>
      </c>
      <c r="BG331" s="1"/>
      <c r="BH331" s="1" t="s">
        <v>6154</v>
      </c>
      <c r="BI331" s="1" t="n">
        <v>18</v>
      </c>
      <c r="BJ331" s="1" t="s">
        <v>2943</v>
      </c>
      <c r="BK331" s="1" t="s">
        <v>204</v>
      </c>
      <c r="BL331" s="1" t="s">
        <v>2943</v>
      </c>
      <c r="BM331" s="1" t="s">
        <v>6155</v>
      </c>
      <c r="BN331" s="1"/>
      <c r="BO331" s="1" t="s">
        <v>282</v>
      </c>
      <c r="BP331" s="1"/>
      <c r="BQ331" s="1"/>
      <c r="BR331" s="1" t="s">
        <v>103</v>
      </c>
      <c r="BS331" s="1" t="s">
        <v>6156</v>
      </c>
      <c r="BT331" s="1" t="str">
        <f aca="false">HYPERLINK("https%3A%2F%2Fwww.webofscience.com%2Fwos%2Fwoscc%2Ffull-record%2FWOS:001057000900001","View Full Record in Web of Science")</f>
        <v>View Full Record in Web of Science</v>
      </c>
    </row>
    <row r="332" customFormat="false" ht="12.75" hidden="false" customHeight="false" outlineLevel="0" collapsed="false">
      <c r="A332" s="1" t="s">
        <v>181</v>
      </c>
      <c r="B332" s="1" t="s">
        <v>6157</v>
      </c>
      <c r="C332" s="1"/>
      <c r="D332" s="1"/>
      <c r="E332" s="1"/>
      <c r="F332" s="1" t="s">
        <v>6158</v>
      </c>
      <c r="G332" s="1"/>
      <c r="H332" s="1"/>
      <c r="I332" s="1" t="s">
        <v>6159</v>
      </c>
      <c r="J332" s="1" t="s">
        <v>6160</v>
      </c>
      <c r="K332" s="1"/>
      <c r="L332" s="1"/>
      <c r="M332" s="1" t="s">
        <v>78</v>
      </c>
      <c r="N332" s="1" t="s">
        <v>186</v>
      </c>
      <c r="O332" s="1"/>
      <c r="P332" s="1"/>
      <c r="Q332" s="1"/>
      <c r="R332" s="1"/>
      <c r="S332" s="1"/>
      <c r="T332" s="1" t="s">
        <v>6161</v>
      </c>
      <c r="U332" s="1"/>
      <c r="V332" s="1" t="s">
        <v>6162</v>
      </c>
      <c r="W332" s="1" t="s">
        <v>6163</v>
      </c>
      <c r="X332" s="1" t="s">
        <v>6164</v>
      </c>
      <c r="Y332" s="1" t="s">
        <v>6165</v>
      </c>
      <c r="Z332" s="1" t="s">
        <v>3315</v>
      </c>
      <c r="AA332" s="1"/>
      <c r="AB332" s="1"/>
      <c r="AC332" s="1"/>
      <c r="AD332" s="1"/>
      <c r="AE332" s="1"/>
      <c r="AF332" s="1"/>
      <c r="AG332" s="1" t="n">
        <v>25</v>
      </c>
      <c r="AH332" s="1" t="n">
        <v>0</v>
      </c>
      <c r="AI332" s="1" t="n">
        <v>0</v>
      </c>
      <c r="AJ332" s="1" t="n">
        <v>0</v>
      </c>
      <c r="AK332" s="1" t="n">
        <v>1</v>
      </c>
      <c r="AL332" s="1" t="s">
        <v>2381</v>
      </c>
      <c r="AM332" s="1" t="s">
        <v>2382</v>
      </c>
      <c r="AN332" s="1" t="s">
        <v>2383</v>
      </c>
      <c r="AO332" s="1" t="s">
        <v>6166</v>
      </c>
      <c r="AP332" s="1" t="s">
        <v>6167</v>
      </c>
      <c r="AQ332" s="1"/>
      <c r="AR332" s="1" t="s">
        <v>6168</v>
      </c>
      <c r="AS332" s="1" t="s">
        <v>6169</v>
      </c>
      <c r="AT332" s="1" t="s">
        <v>2716</v>
      </c>
      <c r="AU332" s="1" t="n">
        <v>2023</v>
      </c>
      <c r="AV332" s="1" t="n">
        <v>51</v>
      </c>
      <c r="AW332" s="1" t="n">
        <v>7</v>
      </c>
      <c r="AX332" s="1"/>
      <c r="AY332" s="1"/>
      <c r="AZ332" s="1"/>
      <c r="BA332" s="1"/>
      <c r="BB332" s="1" t="n">
        <v>2779</v>
      </c>
      <c r="BC332" s="1" t="n">
        <v>2790</v>
      </c>
      <c r="BD332" s="1"/>
      <c r="BE332" s="1" t="s">
        <v>6170</v>
      </c>
      <c r="BF332" s="1" t="str">
        <f aca="false">HYPERLINK("http://dx.doi.org/10.1080/00927872.2023.2172179","http://dx.doi.org/10.1080/00927872.2023.2172179")</f>
        <v>http://dx.doi.org/10.1080/00927872.2023.2172179</v>
      </c>
      <c r="BG332" s="1"/>
      <c r="BH332" s="1" t="s">
        <v>4380</v>
      </c>
      <c r="BI332" s="1" t="n">
        <v>12</v>
      </c>
      <c r="BJ332" s="1" t="s">
        <v>280</v>
      </c>
      <c r="BK332" s="1" t="s">
        <v>204</v>
      </c>
      <c r="BL332" s="1" t="s">
        <v>280</v>
      </c>
      <c r="BM332" s="1" t="s">
        <v>6171</v>
      </c>
      <c r="BN332" s="1"/>
      <c r="BO332" s="1" t="s">
        <v>612</v>
      </c>
      <c r="BP332" s="1"/>
      <c r="BQ332" s="1"/>
      <c r="BR332" s="1" t="s">
        <v>103</v>
      </c>
      <c r="BS332" s="1" t="s">
        <v>6172</v>
      </c>
      <c r="BT332" s="1" t="str">
        <f aca="false">HYPERLINK("https%3A%2F%2Fwww.webofscience.com%2Fwos%2Fwoscc%2Ffull-record%2FWOS:000948849600001","View Full Record in Web of Science")</f>
        <v>View Full Record in Web of Science</v>
      </c>
    </row>
    <row r="333" customFormat="false" ht="12.75" hidden="false" customHeight="false" outlineLevel="0" collapsed="false">
      <c r="A333" s="1" t="s">
        <v>181</v>
      </c>
      <c r="B333" s="1" t="s">
        <v>6173</v>
      </c>
      <c r="C333" s="1"/>
      <c r="D333" s="1"/>
      <c r="E333" s="1"/>
      <c r="F333" s="1" t="s">
        <v>6174</v>
      </c>
      <c r="G333" s="1"/>
      <c r="H333" s="1"/>
      <c r="I333" s="1" t="s">
        <v>6175</v>
      </c>
      <c r="J333" s="1" t="s">
        <v>3700</v>
      </c>
      <c r="K333" s="1"/>
      <c r="L333" s="1"/>
      <c r="M333" s="1" t="s">
        <v>78</v>
      </c>
      <c r="N333" s="1" t="s">
        <v>618</v>
      </c>
      <c r="O333" s="1"/>
      <c r="P333" s="1"/>
      <c r="Q333" s="1"/>
      <c r="R333" s="1"/>
      <c r="S333" s="1"/>
      <c r="T333" s="1" t="s">
        <v>6176</v>
      </c>
      <c r="U333" s="1"/>
      <c r="V333" s="1" t="s">
        <v>6177</v>
      </c>
      <c r="W333" s="1" t="s">
        <v>6178</v>
      </c>
      <c r="X333" s="1" t="s">
        <v>5274</v>
      </c>
      <c r="Y333" s="1" t="s">
        <v>6179</v>
      </c>
      <c r="Z333" s="1" t="s">
        <v>6180</v>
      </c>
      <c r="AA333" s="1" t="s">
        <v>6181</v>
      </c>
      <c r="AB333" s="1" t="s">
        <v>6182</v>
      </c>
      <c r="AC333" s="1"/>
      <c r="AD333" s="1"/>
      <c r="AE333" s="1"/>
      <c r="AF333" s="1"/>
      <c r="AG333" s="1" t="n">
        <v>17</v>
      </c>
      <c r="AH333" s="1" t="n">
        <v>3</v>
      </c>
      <c r="AI333" s="1" t="n">
        <v>3</v>
      </c>
      <c r="AJ333" s="1" t="n">
        <v>2</v>
      </c>
      <c r="AK333" s="1" t="n">
        <v>7</v>
      </c>
      <c r="AL333" s="1" t="s">
        <v>3711</v>
      </c>
      <c r="AM333" s="1" t="s">
        <v>95</v>
      </c>
      <c r="AN333" s="1" t="s">
        <v>3712</v>
      </c>
      <c r="AO333" s="1" t="s">
        <v>3713</v>
      </c>
      <c r="AP333" s="1" t="s">
        <v>3714</v>
      </c>
      <c r="AQ333" s="1"/>
      <c r="AR333" s="1" t="s">
        <v>3715</v>
      </c>
      <c r="AS333" s="1" t="s">
        <v>3716</v>
      </c>
      <c r="AT333" s="1" t="s">
        <v>1391</v>
      </c>
      <c r="AU333" s="1" t="n">
        <v>2022</v>
      </c>
      <c r="AV333" s="1" t="n">
        <v>193</v>
      </c>
      <c r="AW333" s="1"/>
      <c r="AX333" s="1"/>
      <c r="AY333" s="1"/>
      <c r="AZ333" s="1"/>
      <c r="BA333" s="1"/>
      <c r="BB333" s="1"/>
      <c r="BC333" s="1"/>
      <c r="BD333" s="1" t="n">
        <v>111485</v>
      </c>
      <c r="BE333" s="1" t="s">
        <v>6183</v>
      </c>
      <c r="BF333" s="1" t="str">
        <f aca="false">HYPERLINK("http://dx.doi.org/10.1016/j.jss.2022.111485","http://dx.doi.org/10.1016/j.jss.2022.111485")</f>
        <v>http://dx.doi.org/10.1016/j.jss.2022.111485</v>
      </c>
      <c r="BG333" s="1"/>
      <c r="BH333" s="1"/>
      <c r="BI333" s="1" t="n">
        <v>6</v>
      </c>
      <c r="BJ333" s="1" t="s">
        <v>994</v>
      </c>
      <c r="BK333" s="1" t="s">
        <v>204</v>
      </c>
      <c r="BL333" s="1" t="s">
        <v>101</v>
      </c>
      <c r="BM333" s="1" t="s">
        <v>6184</v>
      </c>
      <c r="BN333" s="1"/>
      <c r="BO333" s="1" t="s">
        <v>1396</v>
      </c>
      <c r="BP333" s="1"/>
      <c r="BQ333" s="1"/>
      <c r="BR333" s="1" t="s">
        <v>103</v>
      </c>
      <c r="BS333" s="1" t="s">
        <v>6185</v>
      </c>
      <c r="BT333" s="1" t="str">
        <f aca="false">HYPERLINK("https%3A%2F%2Fwww.webofscience.com%2Fwos%2Fwoscc%2Ffull-record%2FWOS:000967989300022","View Full Record in Web of Science")</f>
        <v>View Full Record in Web of Science</v>
      </c>
    </row>
    <row r="334" customFormat="false" ht="12.75" hidden="false" customHeight="false" outlineLevel="0" collapsed="false">
      <c r="A334" s="1" t="s">
        <v>181</v>
      </c>
      <c r="B334" s="1" t="s">
        <v>6186</v>
      </c>
      <c r="C334" s="1"/>
      <c r="D334" s="1"/>
      <c r="E334" s="1"/>
      <c r="F334" s="1" t="s">
        <v>6187</v>
      </c>
      <c r="G334" s="1"/>
      <c r="H334" s="1"/>
      <c r="I334" s="1" t="s">
        <v>6188</v>
      </c>
      <c r="J334" s="1" t="s">
        <v>3700</v>
      </c>
      <c r="K334" s="1"/>
      <c r="L334" s="1"/>
      <c r="M334" s="1" t="s">
        <v>78</v>
      </c>
      <c r="N334" s="1" t="s">
        <v>186</v>
      </c>
      <c r="O334" s="1"/>
      <c r="P334" s="1"/>
      <c r="Q334" s="1"/>
      <c r="R334" s="1"/>
      <c r="S334" s="1"/>
      <c r="T334" s="1" t="s">
        <v>6189</v>
      </c>
      <c r="U334" s="1"/>
      <c r="V334" s="1" t="s">
        <v>6190</v>
      </c>
      <c r="W334" s="1" t="s">
        <v>6191</v>
      </c>
      <c r="X334" s="1" t="s">
        <v>4095</v>
      </c>
      <c r="Y334" s="1" t="s">
        <v>6192</v>
      </c>
      <c r="Z334" s="1" t="s">
        <v>6193</v>
      </c>
      <c r="AA334" s="1" t="s">
        <v>6194</v>
      </c>
      <c r="AB334" s="1" t="s">
        <v>6195</v>
      </c>
      <c r="AC334" s="1" t="s">
        <v>6196</v>
      </c>
      <c r="AD334" s="1" t="s">
        <v>6197</v>
      </c>
      <c r="AE334" s="1" t="s">
        <v>6198</v>
      </c>
      <c r="AF334" s="1"/>
      <c r="AG334" s="1" t="n">
        <v>30</v>
      </c>
      <c r="AH334" s="1" t="n">
        <v>39</v>
      </c>
      <c r="AI334" s="1" t="n">
        <v>39</v>
      </c>
      <c r="AJ334" s="1" t="n">
        <v>8</v>
      </c>
      <c r="AK334" s="1" t="n">
        <v>85</v>
      </c>
      <c r="AL334" s="1" t="s">
        <v>3711</v>
      </c>
      <c r="AM334" s="1" t="s">
        <v>95</v>
      </c>
      <c r="AN334" s="1" t="s">
        <v>3712</v>
      </c>
      <c r="AO334" s="1" t="s">
        <v>3713</v>
      </c>
      <c r="AP334" s="1" t="s">
        <v>3714</v>
      </c>
      <c r="AQ334" s="1"/>
      <c r="AR334" s="1" t="s">
        <v>3715</v>
      </c>
      <c r="AS334" s="1" t="s">
        <v>3716</v>
      </c>
      <c r="AT334" s="1" t="s">
        <v>421</v>
      </c>
      <c r="AU334" s="1" t="n">
        <v>2022</v>
      </c>
      <c r="AV334" s="1" t="n">
        <v>186</v>
      </c>
      <c r="AW334" s="1"/>
      <c r="AX334" s="1"/>
      <c r="AY334" s="1"/>
      <c r="AZ334" s="1"/>
      <c r="BA334" s="1"/>
      <c r="BB334" s="1"/>
      <c r="BC334" s="1"/>
      <c r="BD334" s="1" t="n">
        <v>111197</v>
      </c>
      <c r="BE334" s="1" t="s">
        <v>6199</v>
      </c>
      <c r="BF334" s="1" t="str">
        <f aca="false">HYPERLINK("http://dx.doi.org/10.1016/j.jss.2021.111197","http://dx.doi.org/10.1016/j.jss.2021.111197")</f>
        <v>http://dx.doi.org/10.1016/j.jss.2021.111197</v>
      </c>
      <c r="BG334" s="1"/>
      <c r="BH334" s="1" t="s">
        <v>2540</v>
      </c>
      <c r="BI334" s="1" t="n">
        <v>14</v>
      </c>
      <c r="BJ334" s="1" t="s">
        <v>994</v>
      </c>
      <c r="BK334" s="1" t="s">
        <v>204</v>
      </c>
      <c r="BL334" s="1" t="s">
        <v>101</v>
      </c>
      <c r="BM334" s="1" t="s">
        <v>6200</v>
      </c>
      <c r="BN334" s="1" t="n">
        <v>34975180</v>
      </c>
      <c r="BO334" s="1" t="s">
        <v>612</v>
      </c>
      <c r="BP334" s="1"/>
      <c r="BQ334" s="1"/>
      <c r="BR334" s="1" t="s">
        <v>103</v>
      </c>
      <c r="BS334" s="1" t="s">
        <v>6201</v>
      </c>
      <c r="BT334" s="1" t="str">
        <f aca="false">HYPERLINK("https%3A%2F%2Fwww.webofscience.com%2Fwos%2Fwoscc%2Ffull-record%2FWOS:000750027000014","View Full Record in Web of Science")</f>
        <v>View Full Record in Web of Science</v>
      </c>
    </row>
    <row r="335" customFormat="false" ht="12.75" hidden="false" customHeight="false" outlineLevel="0" collapsed="false">
      <c r="A335" s="1" t="s">
        <v>181</v>
      </c>
      <c r="B335" s="1" t="s">
        <v>6202</v>
      </c>
      <c r="C335" s="1"/>
      <c r="D335" s="1"/>
      <c r="E335" s="1"/>
      <c r="F335" s="1" t="s">
        <v>6203</v>
      </c>
      <c r="G335" s="1"/>
      <c r="H335" s="1"/>
      <c r="I335" s="1" t="s">
        <v>6204</v>
      </c>
      <c r="J335" s="1" t="s">
        <v>6205</v>
      </c>
      <c r="K335" s="1"/>
      <c r="L335" s="1"/>
      <c r="M335" s="1" t="s">
        <v>78</v>
      </c>
      <c r="N335" s="1" t="s">
        <v>186</v>
      </c>
      <c r="O335" s="1"/>
      <c r="P335" s="1"/>
      <c r="Q335" s="1"/>
      <c r="R335" s="1"/>
      <c r="S335" s="1"/>
      <c r="T335" s="1" t="s">
        <v>6206</v>
      </c>
      <c r="U335" s="1"/>
      <c r="V335" s="1" t="s">
        <v>6207</v>
      </c>
      <c r="W335" s="1" t="s">
        <v>6208</v>
      </c>
      <c r="X335" s="1" t="s">
        <v>5099</v>
      </c>
      <c r="Y335" s="1" t="s">
        <v>6209</v>
      </c>
      <c r="Z335" s="1" t="s">
        <v>6210</v>
      </c>
      <c r="AA335" s="1" t="s">
        <v>6211</v>
      </c>
      <c r="AB335" s="1" t="s">
        <v>6212</v>
      </c>
      <c r="AC335" s="1" t="s">
        <v>6213</v>
      </c>
      <c r="AD335" s="1" t="s">
        <v>2402</v>
      </c>
      <c r="AE335" s="1" t="s">
        <v>6214</v>
      </c>
      <c r="AF335" s="1"/>
      <c r="AG335" s="1" t="n">
        <v>40</v>
      </c>
      <c r="AH335" s="1" t="n">
        <v>3</v>
      </c>
      <c r="AI335" s="1" t="n">
        <v>3</v>
      </c>
      <c r="AJ335" s="1" t="n">
        <v>1</v>
      </c>
      <c r="AK335" s="1" t="n">
        <v>1</v>
      </c>
      <c r="AL335" s="1" t="s">
        <v>367</v>
      </c>
      <c r="AM335" s="1" t="s">
        <v>368</v>
      </c>
      <c r="AN335" s="1" t="s">
        <v>369</v>
      </c>
      <c r="AO335" s="1"/>
      <c r="AP335" s="1" t="s">
        <v>6215</v>
      </c>
      <c r="AQ335" s="1"/>
      <c r="AR335" s="1" t="s">
        <v>6216</v>
      </c>
      <c r="AS335" s="1" t="s">
        <v>6217</v>
      </c>
      <c r="AT335" s="1" t="s">
        <v>474</v>
      </c>
      <c r="AU335" s="1" t="n">
        <v>2021</v>
      </c>
      <c r="AV335" s="1" t="n">
        <v>1</v>
      </c>
      <c r="AW335" s="1" t="n">
        <v>2</v>
      </c>
      <c r="AX335" s="1"/>
      <c r="AY335" s="1"/>
      <c r="AZ335" s="1"/>
      <c r="BA335" s="1"/>
      <c r="BB335" s="1" t="n">
        <v>165</v>
      </c>
      <c r="BC335" s="1" t="n">
        <v>190</v>
      </c>
      <c r="BD335" s="1"/>
      <c r="BE335" s="1" t="s">
        <v>6218</v>
      </c>
      <c r="BF335" s="1" t="str">
        <f aca="false">HYPERLINK("http://dx.doi.org/10.3390/network1020011","http://dx.doi.org/10.3390/network1020011")</f>
        <v>http://dx.doi.org/10.3390/network1020011</v>
      </c>
      <c r="BG335" s="1"/>
      <c r="BH335" s="1"/>
      <c r="BI335" s="1" t="n">
        <v>26</v>
      </c>
      <c r="BJ335" s="1" t="s">
        <v>2210</v>
      </c>
      <c r="BK335" s="1" t="s">
        <v>253</v>
      </c>
      <c r="BL335" s="1" t="s">
        <v>311</v>
      </c>
      <c r="BM335" s="1" t="s">
        <v>6219</v>
      </c>
      <c r="BN335" s="1"/>
      <c r="BO335" s="1" t="s">
        <v>642</v>
      </c>
      <c r="BP335" s="1"/>
      <c r="BQ335" s="1"/>
      <c r="BR335" s="1" t="s">
        <v>103</v>
      </c>
      <c r="BS335" s="1" t="s">
        <v>6220</v>
      </c>
      <c r="BT335" s="1" t="str">
        <f aca="false">HYPERLINK("https%3A%2F%2Fwww.webofscience.com%2Fwos%2Fwoscc%2Ffull-record%2FWOS:001329184600001","View Full Record in Web of Science")</f>
        <v>View Full Record in Web of Science</v>
      </c>
    </row>
    <row r="336" customFormat="false" ht="12.75" hidden="false" customHeight="false" outlineLevel="0" collapsed="false">
      <c r="A336" s="1" t="s">
        <v>181</v>
      </c>
      <c r="B336" s="1" t="s">
        <v>6221</v>
      </c>
      <c r="C336" s="1"/>
      <c r="D336" s="1"/>
      <c r="E336" s="1"/>
      <c r="F336" s="1" t="s">
        <v>6222</v>
      </c>
      <c r="G336" s="1"/>
      <c r="H336" s="1"/>
      <c r="I336" s="1" t="s">
        <v>6223</v>
      </c>
      <c r="J336" s="1" t="s">
        <v>1921</v>
      </c>
      <c r="K336" s="1"/>
      <c r="L336" s="1"/>
      <c r="M336" s="1" t="s">
        <v>78</v>
      </c>
      <c r="N336" s="1" t="s">
        <v>186</v>
      </c>
      <c r="O336" s="1"/>
      <c r="P336" s="1"/>
      <c r="Q336" s="1"/>
      <c r="R336" s="1"/>
      <c r="S336" s="1"/>
      <c r="T336" s="1" t="s">
        <v>6224</v>
      </c>
      <c r="U336" s="1" t="s">
        <v>6225</v>
      </c>
      <c r="V336" s="1" t="s">
        <v>6226</v>
      </c>
      <c r="W336" s="1" t="s">
        <v>6227</v>
      </c>
      <c r="X336" s="1" t="s">
        <v>6228</v>
      </c>
      <c r="Y336" s="1" t="s">
        <v>6229</v>
      </c>
      <c r="Z336" s="1" t="s">
        <v>6230</v>
      </c>
      <c r="AA336" s="1" t="s">
        <v>5339</v>
      </c>
      <c r="AB336" s="1" t="s">
        <v>6231</v>
      </c>
      <c r="AC336" s="1"/>
      <c r="AD336" s="1"/>
      <c r="AE336" s="1"/>
      <c r="AF336" s="1"/>
      <c r="AG336" s="1" t="n">
        <v>57</v>
      </c>
      <c r="AH336" s="1" t="n">
        <v>8</v>
      </c>
      <c r="AI336" s="1" t="n">
        <v>8</v>
      </c>
      <c r="AJ336" s="1" t="n">
        <v>1</v>
      </c>
      <c r="AK336" s="1" t="n">
        <v>14</v>
      </c>
      <c r="AL336" s="1" t="s">
        <v>679</v>
      </c>
      <c r="AM336" s="1" t="s">
        <v>95</v>
      </c>
      <c r="AN336" s="1" t="s">
        <v>803</v>
      </c>
      <c r="AO336" s="1" t="s">
        <v>1929</v>
      </c>
      <c r="AP336" s="1" t="s">
        <v>1930</v>
      </c>
      <c r="AQ336" s="1"/>
      <c r="AR336" s="1" t="s">
        <v>1931</v>
      </c>
      <c r="AS336" s="1" t="s">
        <v>1932</v>
      </c>
      <c r="AT336" s="1" t="s">
        <v>372</v>
      </c>
      <c r="AU336" s="1" t="n">
        <v>2020</v>
      </c>
      <c r="AV336" s="1" t="n">
        <v>25</v>
      </c>
      <c r="AW336" s="1" t="n">
        <v>4</v>
      </c>
      <c r="AX336" s="1"/>
      <c r="AY336" s="1"/>
      <c r="AZ336" s="1" t="s">
        <v>1698</v>
      </c>
      <c r="BA336" s="1"/>
      <c r="BB336" s="1" t="n">
        <v>439</v>
      </c>
      <c r="BC336" s="1" t="n">
        <v>468</v>
      </c>
      <c r="BD336" s="1"/>
      <c r="BE336" s="1" t="s">
        <v>6232</v>
      </c>
      <c r="BF336" s="1" t="str">
        <f aca="false">HYPERLINK("http://dx.doi.org/10.1007/s00766-020-00338-w","http://dx.doi.org/10.1007/s00766-020-00338-w")</f>
        <v>http://dx.doi.org/10.1007/s00766-020-00338-w</v>
      </c>
      <c r="BG336" s="1"/>
      <c r="BH336" s="1" t="s">
        <v>1455</v>
      </c>
      <c r="BI336" s="1" t="n">
        <v>30</v>
      </c>
      <c r="BJ336" s="1" t="s">
        <v>1394</v>
      </c>
      <c r="BK336" s="1" t="s">
        <v>204</v>
      </c>
      <c r="BL336" s="1" t="s">
        <v>101</v>
      </c>
      <c r="BM336" s="1" t="s">
        <v>6233</v>
      </c>
      <c r="BN336" s="1"/>
      <c r="BO336" s="1"/>
      <c r="BP336" s="1"/>
      <c r="BQ336" s="1"/>
      <c r="BR336" s="1" t="s">
        <v>103</v>
      </c>
      <c r="BS336" s="1" t="s">
        <v>6234</v>
      </c>
      <c r="BT336" s="1" t="str">
        <f aca="false">HYPERLINK("https%3A%2F%2Fwww.webofscience.com%2Fwos%2Fwoscc%2Ffull-record%2FWOS:000570852900001","View Full Record in Web of Science")</f>
        <v>View Full Record in Web of Science</v>
      </c>
    </row>
    <row r="337" customFormat="false" ht="12.75" hidden="false" customHeight="false" outlineLevel="0" collapsed="false">
      <c r="A337" s="1" t="s">
        <v>181</v>
      </c>
      <c r="B337" s="1" t="s">
        <v>6235</v>
      </c>
      <c r="C337" s="1"/>
      <c r="D337" s="1"/>
      <c r="E337" s="1"/>
      <c r="F337" s="1" t="s">
        <v>6236</v>
      </c>
      <c r="G337" s="1"/>
      <c r="H337" s="1"/>
      <c r="I337" s="1" t="s">
        <v>6237</v>
      </c>
      <c r="J337" s="1" t="s">
        <v>6238</v>
      </c>
      <c r="K337" s="1"/>
      <c r="L337" s="1"/>
      <c r="M337" s="1" t="s">
        <v>78</v>
      </c>
      <c r="N337" s="1" t="s">
        <v>186</v>
      </c>
      <c r="O337" s="1"/>
      <c r="P337" s="1"/>
      <c r="Q337" s="1"/>
      <c r="R337" s="1"/>
      <c r="S337" s="1"/>
      <c r="T337" s="1" t="s">
        <v>6239</v>
      </c>
      <c r="U337" s="1" t="s">
        <v>6240</v>
      </c>
      <c r="V337" s="1" t="s">
        <v>6241</v>
      </c>
      <c r="W337" s="1" t="s">
        <v>6242</v>
      </c>
      <c r="X337" s="1" t="s">
        <v>6243</v>
      </c>
      <c r="Y337" s="1" t="s">
        <v>6244</v>
      </c>
      <c r="Z337" s="1" t="s">
        <v>6245</v>
      </c>
      <c r="AA337" s="1" t="s">
        <v>6246</v>
      </c>
      <c r="AB337" s="1" t="s">
        <v>6247</v>
      </c>
      <c r="AC337" s="1" t="s">
        <v>6248</v>
      </c>
      <c r="AD337" s="1" t="s">
        <v>6248</v>
      </c>
      <c r="AE337" s="1" t="s">
        <v>916</v>
      </c>
      <c r="AF337" s="1"/>
      <c r="AG337" s="1" t="n">
        <v>46</v>
      </c>
      <c r="AH337" s="1" t="n">
        <v>1</v>
      </c>
      <c r="AI337" s="1" t="n">
        <v>1</v>
      </c>
      <c r="AJ337" s="1" t="n">
        <v>0</v>
      </c>
      <c r="AK337" s="1" t="n">
        <v>0</v>
      </c>
      <c r="AL337" s="1" t="s">
        <v>3316</v>
      </c>
      <c r="AM337" s="1" t="s">
        <v>3317</v>
      </c>
      <c r="AN337" s="1" t="s">
        <v>3318</v>
      </c>
      <c r="AO337" s="1" t="s">
        <v>6249</v>
      </c>
      <c r="AP337" s="1" t="s">
        <v>6250</v>
      </c>
      <c r="AQ337" s="1"/>
      <c r="AR337" s="1" t="s">
        <v>6251</v>
      </c>
      <c r="AS337" s="1" t="s">
        <v>6252</v>
      </c>
      <c r="AT337" s="1" t="s">
        <v>2134</v>
      </c>
      <c r="AU337" s="1" t="n">
        <v>2024</v>
      </c>
      <c r="AV337" s="1" t="n">
        <v>36</v>
      </c>
      <c r="AW337" s="1" t="n">
        <v>4</v>
      </c>
      <c r="AX337" s="1"/>
      <c r="AY337" s="1"/>
      <c r="AZ337" s="1"/>
      <c r="BA337" s="1"/>
      <c r="BB337" s="1" t="n">
        <v>1081</v>
      </c>
      <c r="BC337" s="1" t="n">
        <v>1117</v>
      </c>
      <c r="BD337" s="1"/>
      <c r="BE337" s="1" t="s">
        <v>6253</v>
      </c>
      <c r="BF337" s="1" t="str">
        <f aca="false">HYPERLINK("http://dx.doi.org/10.1515/forum-2023-0117","http://dx.doi.org/10.1515/forum-2023-0117")</f>
        <v>http://dx.doi.org/10.1515/forum-2023-0117</v>
      </c>
      <c r="BG337" s="1"/>
      <c r="BH337" s="1" t="s">
        <v>3324</v>
      </c>
      <c r="BI337" s="1" t="n">
        <v>37</v>
      </c>
      <c r="BJ337" s="1" t="s">
        <v>1007</v>
      </c>
      <c r="BK337" s="1" t="s">
        <v>204</v>
      </c>
      <c r="BL337" s="1" t="s">
        <v>280</v>
      </c>
      <c r="BM337" s="1" t="s">
        <v>6254</v>
      </c>
      <c r="BN337" s="1"/>
      <c r="BO337" s="1" t="s">
        <v>227</v>
      </c>
      <c r="BP337" s="1"/>
      <c r="BQ337" s="1"/>
      <c r="BR337" s="1" t="s">
        <v>103</v>
      </c>
      <c r="BS337" s="1" t="s">
        <v>6255</v>
      </c>
      <c r="BT337" s="1" t="str">
        <f aca="false">HYPERLINK("https%3A%2F%2Fwww.webofscience.com%2Fwos%2Fwoscc%2Ffull-record%2FWOS:001134564900001","View Full Record in Web of Science")</f>
        <v>View Full Record in Web of Science</v>
      </c>
    </row>
    <row r="338" customFormat="false" ht="12.75" hidden="false" customHeight="false" outlineLevel="0" collapsed="false">
      <c r="A338" s="1" t="s">
        <v>181</v>
      </c>
      <c r="B338" s="1" t="s">
        <v>6256</v>
      </c>
      <c r="C338" s="1"/>
      <c r="D338" s="1"/>
      <c r="E338" s="1"/>
      <c r="F338" s="1" t="s">
        <v>6257</v>
      </c>
      <c r="G338" s="1"/>
      <c r="H338" s="1"/>
      <c r="I338" s="1" t="s">
        <v>6258</v>
      </c>
      <c r="J338" s="1" t="s">
        <v>6259</v>
      </c>
      <c r="K338" s="1"/>
      <c r="L338" s="1"/>
      <c r="M338" s="1" t="s">
        <v>78</v>
      </c>
      <c r="N338" s="1" t="s">
        <v>186</v>
      </c>
      <c r="O338" s="1"/>
      <c r="P338" s="1"/>
      <c r="Q338" s="1"/>
      <c r="R338" s="1"/>
      <c r="S338" s="1"/>
      <c r="T338" s="1" t="s">
        <v>6260</v>
      </c>
      <c r="U338" s="1" t="s">
        <v>6261</v>
      </c>
      <c r="V338" s="1" t="s">
        <v>6262</v>
      </c>
      <c r="W338" s="1" t="s">
        <v>6263</v>
      </c>
      <c r="X338" s="1" t="s">
        <v>6264</v>
      </c>
      <c r="Y338" s="1" t="s">
        <v>6265</v>
      </c>
      <c r="Z338" s="1" t="s">
        <v>844</v>
      </c>
      <c r="AA338" s="1" t="s">
        <v>6266</v>
      </c>
      <c r="AB338" s="1" t="s">
        <v>6267</v>
      </c>
      <c r="AC338" s="1" t="s">
        <v>6268</v>
      </c>
      <c r="AD338" s="1" t="s">
        <v>6268</v>
      </c>
      <c r="AE338" s="1" t="s">
        <v>6269</v>
      </c>
      <c r="AF338" s="1"/>
      <c r="AG338" s="1" t="n">
        <v>41</v>
      </c>
      <c r="AH338" s="1" t="n">
        <v>6</v>
      </c>
      <c r="AI338" s="1" t="n">
        <v>6</v>
      </c>
      <c r="AJ338" s="1" t="n">
        <v>6</v>
      </c>
      <c r="AK338" s="1" t="n">
        <v>16</v>
      </c>
      <c r="AL338" s="1" t="s">
        <v>846</v>
      </c>
      <c r="AM338" s="1" t="s">
        <v>847</v>
      </c>
      <c r="AN338" s="1" t="s">
        <v>848</v>
      </c>
      <c r="AO338" s="1"/>
      <c r="AP338" s="1" t="s">
        <v>6270</v>
      </c>
      <c r="AQ338" s="1"/>
      <c r="AR338" s="1" t="s">
        <v>6259</v>
      </c>
      <c r="AS338" s="1" t="s">
        <v>6271</v>
      </c>
      <c r="AT338" s="1" t="s">
        <v>6272</v>
      </c>
      <c r="AU338" s="1" t="n">
        <v>2021</v>
      </c>
      <c r="AV338" s="1" t="n">
        <v>4</v>
      </c>
      <c r="AW338" s="1" t="n">
        <v>2</v>
      </c>
      <c r="AX338" s="1"/>
      <c r="AY338" s="1"/>
      <c r="AZ338" s="1"/>
      <c r="BA338" s="1"/>
      <c r="BB338" s="1"/>
      <c r="BC338" s="1"/>
      <c r="BD338" s="1" t="s">
        <v>6273</v>
      </c>
      <c r="BE338" s="1" t="s">
        <v>6274</v>
      </c>
      <c r="BF338" s="1" t="str">
        <f aca="false">HYPERLINK("http://dx.doi.org/10.2196/23591","http://dx.doi.org/10.2196/23591")</f>
        <v>http://dx.doi.org/10.2196/23591</v>
      </c>
      <c r="BG338" s="1"/>
      <c r="BH338" s="1"/>
      <c r="BI338" s="1" t="n">
        <v>10</v>
      </c>
      <c r="BJ338" s="1" t="s">
        <v>6275</v>
      </c>
      <c r="BK338" s="1" t="s">
        <v>253</v>
      </c>
      <c r="BL338" s="1" t="s">
        <v>6276</v>
      </c>
      <c r="BM338" s="1" t="s">
        <v>6277</v>
      </c>
      <c r="BN338" s="1" t="n">
        <v>33999004</v>
      </c>
      <c r="BO338" s="1" t="s">
        <v>6278</v>
      </c>
      <c r="BP338" s="1"/>
      <c r="BQ338" s="1"/>
      <c r="BR338" s="1" t="s">
        <v>103</v>
      </c>
      <c r="BS338" s="1" t="s">
        <v>6279</v>
      </c>
      <c r="BT338" s="1" t="str">
        <f aca="false">HYPERLINK("https%3A%2F%2Fwww.webofscience.com%2Fwos%2Fwoscc%2Ffull-record%2FWOS:000798385200002","View Full Record in Web of Science")</f>
        <v>View Full Record in Web of Science</v>
      </c>
    </row>
    <row r="339" customFormat="false" ht="12.75" hidden="false" customHeight="false" outlineLevel="0" collapsed="false">
      <c r="A339" s="1" t="s">
        <v>72</v>
      </c>
      <c r="B339" s="1" t="s">
        <v>6280</v>
      </c>
      <c r="C339" s="1"/>
      <c r="D339" s="1" t="s">
        <v>6281</v>
      </c>
      <c r="E339" s="1"/>
      <c r="F339" s="1" t="s">
        <v>6282</v>
      </c>
      <c r="G339" s="1"/>
      <c r="H339" s="1"/>
      <c r="I339" s="1" t="s">
        <v>6283</v>
      </c>
      <c r="J339" s="1" t="s">
        <v>6284</v>
      </c>
      <c r="K339" s="1"/>
      <c r="L339" s="1"/>
      <c r="M339" s="1" t="s">
        <v>78</v>
      </c>
      <c r="N339" s="1" t="s">
        <v>79</v>
      </c>
      <c r="O339" s="1" t="s">
        <v>6285</v>
      </c>
      <c r="P339" s="1" t="s">
        <v>6286</v>
      </c>
      <c r="Q339" s="1" t="s">
        <v>320</v>
      </c>
      <c r="R339" s="1"/>
      <c r="S339" s="1"/>
      <c r="T339" s="1" t="s">
        <v>6287</v>
      </c>
      <c r="U339" s="1"/>
      <c r="V339" s="1" t="s">
        <v>6288</v>
      </c>
      <c r="W339" s="1" t="s">
        <v>6289</v>
      </c>
      <c r="X339" s="1" t="s">
        <v>6290</v>
      </c>
      <c r="Y339" s="1" t="s">
        <v>6291</v>
      </c>
      <c r="Z339" s="1"/>
      <c r="AA339" s="1" t="s">
        <v>6292</v>
      </c>
      <c r="AB339" s="1"/>
      <c r="AC339" s="1"/>
      <c r="AD339" s="1"/>
      <c r="AE339" s="1"/>
      <c r="AF339" s="1"/>
      <c r="AG339" s="1" t="n">
        <v>13</v>
      </c>
      <c r="AH339" s="1" t="n">
        <v>7</v>
      </c>
      <c r="AI339" s="1" t="n">
        <v>7</v>
      </c>
      <c r="AJ339" s="1" t="n">
        <v>1</v>
      </c>
      <c r="AK339" s="1" t="n">
        <v>25</v>
      </c>
      <c r="AL339" s="1" t="s">
        <v>1721</v>
      </c>
      <c r="AM339" s="1" t="s">
        <v>1722</v>
      </c>
      <c r="AN339" s="1" t="s">
        <v>1723</v>
      </c>
      <c r="AO339" s="1"/>
      <c r="AP339" s="1"/>
      <c r="AQ339" s="1" t="s">
        <v>6293</v>
      </c>
      <c r="AR339" s="1"/>
      <c r="AS339" s="1"/>
      <c r="AT339" s="1"/>
      <c r="AU339" s="1" t="n">
        <v>2021</v>
      </c>
      <c r="AV339" s="1"/>
      <c r="AW339" s="1"/>
      <c r="AX339" s="1"/>
      <c r="AY339" s="1"/>
      <c r="AZ339" s="1"/>
      <c r="BA339" s="1"/>
      <c r="BB339" s="1" t="n">
        <v>733</v>
      </c>
      <c r="BC339" s="1" t="n">
        <v>740</v>
      </c>
      <c r="BD339" s="1"/>
      <c r="BE339" s="1" t="s">
        <v>6294</v>
      </c>
      <c r="BF339" s="1" t="str">
        <f aca="false">HYPERLINK("http://dx.doi.org/10.5220/0010386207330740","http://dx.doi.org/10.5220/0010386207330740")</f>
        <v>http://dx.doi.org/10.5220/0010386207330740</v>
      </c>
      <c r="BG339" s="1"/>
      <c r="BH339" s="1"/>
      <c r="BI339" s="1" t="n">
        <v>8</v>
      </c>
      <c r="BJ339" s="1" t="s">
        <v>6295</v>
      </c>
      <c r="BK339" s="1" t="s">
        <v>100</v>
      </c>
      <c r="BL339" s="1" t="s">
        <v>1255</v>
      </c>
      <c r="BM339" s="1" t="s">
        <v>6296</v>
      </c>
      <c r="BN339" s="1"/>
      <c r="BO339" s="1" t="s">
        <v>282</v>
      </c>
      <c r="BP339" s="1"/>
      <c r="BQ339" s="1"/>
      <c r="BR339" s="1" t="s">
        <v>103</v>
      </c>
      <c r="BS339" s="1" t="s">
        <v>6297</v>
      </c>
      <c r="BT339" s="1" t="str">
        <f aca="false">HYPERLINK("https%3A%2F%2Fwww.webofscience.com%2Fwos%2Fwoscc%2Ffull-record%2FWOS:000664063000083","View Full Record in Web of Science")</f>
        <v>View Full Record in Web of Science</v>
      </c>
    </row>
    <row r="340" customFormat="false" ht="12.75" hidden="false" customHeight="false" outlineLevel="0" collapsed="false">
      <c r="A340" s="1" t="s">
        <v>181</v>
      </c>
      <c r="B340" s="1" t="s">
        <v>6298</v>
      </c>
      <c r="C340" s="1"/>
      <c r="D340" s="1"/>
      <c r="E340" s="1"/>
      <c r="F340" s="1" t="s">
        <v>6299</v>
      </c>
      <c r="G340" s="1"/>
      <c r="H340" s="1"/>
      <c r="I340" s="1" t="s">
        <v>6300</v>
      </c>
      <c r="J340" s="1" t="s">
        <v>6301</v>
      </c>
      <c r="K340" s="1"/>
      <c r="L340" s="1"/>
      <c r="M340" s="1" t="s">
        <v>78</v>
      </c>
      <c r="N340" s="1" t="s">
        <v>186</v>
      </c>
      <c r="O340" s="1"/>
      <c r="P340" s="1"/>
      <c r="Q340" s="1"/>
      <c r="R340" s="1"/>
      <c r="S340" s="1"/>
      <c r="T340" s="1" t="s">
        <v>6302</v>
      </c>
      <c r="U340" s="1"/>
      <c r="V340" s="1" t="s">
        <v>6303</v>
      </c>
      <c r="W340" s="1" t="s">
        <v>6304</v>
      </c>
      <c r="X340" s="1" t="s">
        <v>6305</v>
      </c>
      <c r="Y340" s="1" t="s">
        <v>6306</v>
      </c>
      <c r="Z340" s="1" t="s">
        <v>2128</v>
      </c>
      <c r="AA340" s="1" t="s">
        <v>6307</v>
      </c>
      <c r="AB340" s="1" t="s">
        <v>6308</v>
      </c>
      <c r="AC340" s="1" t="s">
        <v>1617</v>
      </c>
      <c r="AD340" s="1" t="s">
        <v>677</v>
      </c>
      <c r="AE340" s="1" t="s">
        <v>6309</v>
      </c>
      <c r="AF340" s="1"/>
      <c r="AG340" s="1" t="n">
        <v>50</v>
      </c>
      <c r="AH340" s="1" t="n">
        <v>12</v>
      </c>
      <c r="AI340" s="1" t="n">
        <v>13</v>
      </c>
      <c r="AJ340" s="1" t="n">
        <v>1</v>
      </c>
      <c r="AK340" s="1" t="n">
        <v>7</v>
      </c>
      <c r="AL340" s="1" t="s">
        <v>600</v>
      </c>
      <c r="AM340" s="1" t="s">
        <v>601</v>
      </c>
      <c r="AN340" s="1" t="s">
        <v>602</v>
      </c>
      <c r="AO340" s="1" t="s">
        <v>6310</v>
      </c>
      <c r="AP340" s="1" t="s">
        <v>6311</v>
      </c>
      <c r="AQ340" s="1"/>
      <c r="AR340" s="1" t="s">
        <v>6312</v>
      </c>
      <c r="AS340" s="1" t="s">
        <v>6313</v>
      </c>
      <c r="AT340" s="1" t="s">
        <v>6314</v>
      </c>
      <c r="AU340" s="1" t="n">
        <v>2020</v>
      </c>
      <c r="AV340" s="1" t="n">
        <v>32</v>
      </c>
      <c r="AW340" s="1" t="n">
        <v>17</v>
      </c>
      <c r="AX340" s="1"/>
      <c r="AY340" s="1"/>
      <c r="AZ340" s="1" t="s">
        <v>1698</v>
      </c>
      <c r="BA340" s="1"/>
      <c r="BB340" s="1"/>
      <c r="BC340" s="1"/>
      <c r="BD340" s="1" t="s">
        <v>6315</v>
      </c>
      <c r="BE340" s="1" t="s">
        <v>6316</v>
      </c>
      <c r="BF340" s="1" t="str">
        <f aca="false">HYPERLINK("http://dx.doi.org/10.1002/cpe.5693","http://dx.doi.org/10.1002/cpe.5693")</f>
        <v>http://dx.doi.org/10.1002/cpe.5693</v>
      </c>
      <c r="BG340" s="1"/>
      <c r="BH340" s="1" t="s">
        <v>6317</v>
      </c>
      <c r="BI340" s="1" t="n">
        <v>14</v>
      </c>
      <c r="BJ340" s="1" t="s">
        <v>994</v>
      </c>
      <c r="BK340" s="1" t="s">
        <v>204</v>
      </c>
      <c r="BL340" s="1" t="s">
        <v>101</v>
      </c>
      <c r="BM340" s="1" t="s">
        <v>6318</v>
      </c>
      <c r="BN340" s="1"/>
      <c r="BO340" s="1" t="s">
        <v>612</v>
      </c>
      <c r="BP340" s="1"/>
      <c r="BQ340" s="1"/>
      <c r="BR340" s="1" t="s">
        <v>103</v>
      </c>
      <c r="BS340" s="1" t="s">
        <v>6319</v>
      </c>
      <c r="BT340" s="1" t="str">
        <f aca="false">HYPERLINK("https%3A%2F%2Fwww.webofscience.com%2Fwos%2Fwoscc%2Ffull-record%2FWOS:000513133800001","View Full Record in Web of Science")</f>
        <v>View Full Record in Web of Science</v>
      </c>
    </row>
    <row r="341" customFormat="false" ht="12.75" hidden="false" customHeight="false" outlineLevel="0" collapsed="false">
      <c r="A341" s="1" t="s">
        <v>181</v>
      </c>
      <c r="B341" s="1" t="s">
        <v>6320</v>
      </c>
      <c r="C341" s="1"/>
      <c r="D341" s="1"/>
      <c r="E341" s="1"/>
      <c r="F341" s="1" t="s">
        <v>6321</v>
      </c>
      <c r="G341" s="1"/>
      <c r="H341" s="1"/>
      <c r="I341" s="1" t="s">
        <v>6322</v>
      </c>
      <c r="J341" s="1" t="s">
        <v>2525</v>
      </c>
      <c r="K341" s="1"/>
      <c r="L341" s="1"/>
      <c r="M341" s="1" t="s">
        <v>78</v>
      </c>
      <c r="N341" s="1" t="s">
        <v>618</v>
      </c>
      <c r="O341" s="1"/>
      <c r="P341" s="1"/>
      <c r="Q341" s="1"/>
      <c r="R341" s="1"/>
      <c r="S341" s="1"/>
      <c r="T341" s="1" t="s">
        <v>6323</v>
      </c>
      <c r="U341" s="1" t="s">
        <v>6324</v>
      </c>
      <c r="V341" s="1" t="s">
        <v>6325</v>
      </c>
      <c r="W341" s="1" t="s">
        <v>6326</v>
      </c>
      <c r="X341" s="1" t="s">
        <v>6327</v>
      </c>
      <c r="Y341" s="1" t="s">
        <v>6328</v>
      </c>
      <c r="Z341" s="1" t="s">
        <v>6329</v>
      </c>
      <c r="AA341" s="1" t="s">
        <v>6330</v>
      </c>
      <c r="AB341" s="1" t="s">
        <v>6331</v>
      </c>
      <c r="AC341" s="1" t="s">
        <v>6332</v>
      </c>
      <c r="AD341" s="1" t="s">
        <v>6333</v>
      </c>
      <c r="AE341" s="1" t="s">
        <v>6334</v>
      </c>
      <c r="AF341" s="1"/>
      <c r="AG341" s="1" t="n">
        <v>53</v>
      </c>
      <c r="AH341" s="1" t="n">
        <v>0</v>
      </c>
      <c r="AI341" s="1" t="n">
        <v>0</v>
      </c>
      <c r="AJ341" s="1" t="n">
        <v>5</v>
      </c>
      <c r="AK341" s="1" t="n">
        <v>5</v>
      </c>
      <c r="AL341" s="1" t="s">
        <v>893</v>
      </c>
      <c r="AM341" s="1" t="s">
        <v>894</v>
      </c>
      <c r="AN341" s="1" t="s">
        <v>895</v>
      </c>
      <c r="AO341" s="1" t="s">
        <v>2535</v>
      </c>
      <c r="AP341" s="1" t="s">
        <v>2536</v>
      </c>
      <c r="AQ341" s="1"/>
      <c r="AR341" s="1" t="s">
        <v>2537</v>
      </c>
      <c r="AS341" s="1" t="s">
        <v>2538</v>
      </c>
      <c r="AT341" s="1" t="s">
        <v>1453</v>
      </c>
      <c r="AU341" s="1" t="n">
        <v>2025</v>
      </c>
      <c r="AV341" s="1" t="n">
        <v>164</v>
      </c>
      <c r="AW341" s="1"/>
      <c r="AX341" s="1"/>
      <c r="AY341" s="1"/>
      <c r="AZ341" s="1"/>
      <c r="BA341" s="1"/>
      <c r="BB341" s="1"/>
      <c r="BC341" s="1"/>
      <c r="BD341" s="1" t="n">
        <v>104188</v>
      </c>
      <c r="BE341" s="1" t="s">
        <v>6335</v>
      </c>
      <c r="BF341" s="1" t="str">
        <f aca="false">HYPERLINK("http://dx.doi.org/10.1016/j.compind.2024.104188","http://dx.doi.org/10.1016/j.compind.2024.104188")</f>
        <v>http://dx.doi.org/10.1016/j.compind.2024.104188</v>
      </c>
      <c r="BG341" s="1"/>
      <c r="BH341" s="1" t="s">
        <v>6336</v>
      </c>
      <c r="BI341" s="1" t="n">
        <v>12</v>
      </c>
      <c r="BJ341" s="1" t="s">
        <v>946</v>
      </c>
      <c r="BK341" s="1" t="s">
        <v>204</v>
      </c>
      <c r="BL341" s="1" t="s">
        <v>101</v>
      </c>
      <c r="BM341" s="1" t="s">
        <v>6337</v>
      </c>
      <c r="BN341" s="1"/>
      <c r="BO341" s="1" t="s">
        <v>282</v>
      </c>
      <c r="BP341" s="1"/>
      <c r="BQ341" s="1"/>
      <c r="BR341" s="1" t="s">
        <v>103</v>
      </c>
      <c r="BS341" s="1" t="s">
        <v>6338</v>
      </c>
      <c r="BT341" s="1" t="str">
        <f aca="false">HYPERLINK("https%3A%2F%2Fwww.webofscience.com%2Fwos%2Fwoscc%2Ffull-record%2FWOS:001324399500001","View Full Record in Web of Science")</f>
        <v>View Full Record in Web of Science</v>
      </c>
    </row>
    <row r="342" customFormat="false" ht="12.75" hidden="false" customHeight="false" outlineLevel="0" collapsed="false">
      <c r="A342" s="1" t="s">
        <v>181</v>
      </c>
      <c r="B342" s="1" t="s">
        <v>6339</v>
      </c>
      <c r="C342" s="1"/>
      <c r="D342" s="1"/>
      <c r="E342" s="1"/>
      <c r="F342" s="1" t="s">
        <v>6340</v>
      </c>
      <c r="G342" s="1"/>
      <c r="H342" s="1"/>
      <c r="I342" s="1" t="s">
        <v>6341</v>
      </c>
      <c r="J342" s="1" t="s">
        <v>671</v>
      </c>
      <c r="K342" s="1"/>
      <c r="L342" s="1"/>
      <c r="M342" s="1" t="s">
        <v>78</v>
      </c>
      <c r="N342" s="1" t="s">
        <v>186</v>
      </c>
      <c r="O342" s="1"/>
      <c r="P342" s="1"/>
      <c r="Q342" s="1"/>
      <c r="R342" s="1"/>
      <c r="S342" s="1"/>
      <c r="T342" s="1" t="s">
        <v>6342</v>
      </c>
      <c r="U342" s="1" t="s">
        <v>6343</v>
      </c>
      <c r="V342" s="1" t="s">
        <v>6344</v>
      </c>
      <c r="W342" s="1" t="s">
        <v>6345</v>
      </c>
      <c r="X342" s="1" t="s">
        <v>5206</v>
      </c>
      <c r="Y342" s="1" t="s">
        <v>167</v>
      </c>
      <c r="Z342" s="1" t="s">
        <v>6346</v>
      </c>
      <c r="AA342" s="1" t="s">
        <v>6347</v>
      </c>
      <c r="AB342" s="1" t="s">
        <v>6348</v>
      </c>
      <c r="AC342" s="1" t="s">
        <v>6349</v>
      </c>
      <c r="AD342" s="1" t="s">
        <v>6350</v>
      </c>
      <c r="AE342" s="1" t="s">
        <v>6351</v>
      </c>
      <c r="AF342" s="1"/>
      <c r="AG342" s="1" t="n">
        <v>65</v>
      </c>
      <c r="AH342" s="1" t="n">
        <v>0</v>
      </c>
      <c r="AI342" s="1" t="n">
        <v>0</v>
      </c>
      <c r="AJ342" s="1" t="n">
        <v>2</v>
      </c>
      <c r="AK342" s="1" t="n">
        <v>2</v>
      </c>
      <c r="AL342" s="1" t="s">
        <v>679</v>
      </c>
      <c r="AM342" s="1" t="s">
        <v>680</v>
      </c>
      <c r="AN342" s="1" t="s">
        <v>681</v>
      </c>
      <c r="AO342" s="1" t="s">
        <v>682</v>
      </c>
      <c r="AP342" s="1" t="s">
        <v>683</v>
      </c>
      <c r="AQ342" s="1"/>
      <c r="AR342" s="1" t="s">
        <v>684</v>
      </c>
      <c r="AS342" s="1" t="s">
        <v>685</v>
      </c>
      <c r="AT342" s="1" t="s">
        <v>474</v>
      </c>
      <c r="AU342" s="1" t="n">
        <v>2024</v>
      </c>
      <c r="AV342" s="1" t="n">
        <v>29</v>
      </c>
      <c r="AW342" s="1" t="n">
        <v>5</v>
      </c>
      <c r="AX342" s="1"/>
      <c r="AY342" s="1"/>
      <c r="AZ342" s="1"/>
      <c r="BA342" s="1"/>
      <c r="BB342" s="1"/>
      <c r="BC342" s="1"/>
      <c r="BD342" s="1" t="n">
        <v>130</v>
      </c>
      <c r="BE342" s="1" t="s">
        <v>6352</v>
      </c>
      <c r="BF342" s="1" t="str">
        <f aca="false">HYPERLINK("http://dx.doi.org/10.1007/s10664-024-10502-3","http://dx.doi.org/10.1007/s10664-024-10502-3")</f>
        <v>http://dx.doi.org/10.1007/s10664-024-10502-3</v>
      </c>
      <c r="BG342" s="1"/>
      <c r="BH342" s="1"/>
      <c r="BI342" s="1" t="n">
        <v>48</v>
      </c>
      <c r="BJ342" s="1" t="s">
        <v>252</v>
      </c>
      <c r="BK342" s="1" t="s">
        <v>204</v>
      </c>
      <c r="BL342" s="1" t="s">
        <v>101</v>
      </c>
      <c r="BM342" s="1" t="s">
        <v>6353</v>
      </c>
      <c r="BN342" s="1"/>
      <c r="BO342" s="1" t="s">
        <v>282</v>
      </c>
      <c r="BP342" s="1"/>
      <c r="BQ342" s="1"/>
      <c r="BR342" s="1" t="s">
        <v>103</v>
      </c>
      <c r="BS342" s="1" t="s">
        <v>6354</v>
      </c>
      <c r="BT342" s="1" t="str">
        <f aca="false">HYPERLINK("https%3A%2F%2Fwww.webofscience.com%2Fwos%2Fwoscc%2Ffull-record%2FWOS:001283245300001","View Full Record in Web of Science")</f>
        <v>View Full Record in Web of Science</v>
      </c>
    </row>
    <row r="343" customFormat="false" ht="12.75" hidden="false" customHeight="false" outlineLevel="0" collapsed="false">
      <c r="A343" s="1" t="s">
        <v>181</v>
      </c>
      <c r="B343" s="1" t="s">
        <v>6355</v>
      </c>
      <c r="C343" s="1"/>
      <c r="D343" s="1"/>
      <c r="E343" s="1"/>
      <c r="F343" s="1" t="s">
        <v>6356</v>
      </c>
      <c r="G343" s="1"/>
      <c r="H343" s="1"/>
      <c r="I343" s="1" t="s">
        <v>6357</v>
      </c>
      <c r="J343" s="1" t="s">
        <v>4875</v>
      </c>
      <c r="K343" s="1"/>
      <c r="L343" s="1"/>
      <c r="M343" s="1" t="s">
        <v>78</v>
      </c>
      <c r="N343" s="1" t="s">
        <v>186</v>
      </c>
      <c r="O343" s="1"/>
      <c r="P343" s="1"/>
      <c r="Q343" s="1"/>
      <c r="R343" s="1"/>
      <c r="S343" s="1"/>
      <c r="T343" s="1" t="s">
        <v>6358</v>
      </c>
      <c r="U343" s="1"/>
      <c r="V343" s="1" t="s">
        <v>6359</v>
      </c>
      <c r="W343" s="1" t="s">
        <v>6360</v>
      </c>
      <c r="X343" s="1" t="s">
        <v>5274</v>
      </c>
      <c r="Y343" s="1" t="s">
        <v>6361</v>
      </c>
      <c r="Z343" s="1" t="s">
        <v>6362</v>
      </c>
      <c r="AA343" s="1" t="s">
        <v>6363</v>
      </c>
      <c r="AB343" s="1" t="s">
        <v>6364</v>
      </c>
      <c r="AC343" s="1" t="s">
        <v>6365</v>
      </c>
      <c r="AD343" s="1" t="s">
        <v>6365</v>
      </c>
      <c r="AE343" s="1" t="s">
        <v>916</v>
      </c>
      <c r="AF343" s="1"/>
      <c r="AG343" s="1" t="n">
        <v>14</v>
      </c>
      <c r="AH343" s="1" t="n">
        <v>0</v>
      </c>
      <c r="AI343" s="1" t="n">
        <v>0</v>
      </c>
      <c r="AJ343" s="1" t="n">
        <v>12</v>
      </c>
      <c r="AK343" s="1" t="n">
        <v>14</v>
      </c>
      <c r="AL343" s="1" t="s">
        <v>172</v>
      </c>
      <c r="AM343" s="1" t="s">
        <v>173</v>
      </c>
      <c r="AN343" s="1" t="s">
        <v>4882</v>
      </c>
      <c r="AO343" s="1" t="s">
        <v>4883</v>
      </c>
      <c r="AP343" s="1" t="s">
        <v>4884</v>
      </c>
      <c r="AQ343" s="1"/>
      <c r="AR343" s="1" t="s">
        <v>4875</v>
      </c>
      <c r="AS343" s="1" t="s">
        <v>4885</v>
      </c>
      <c r="AT343" s="1" t="s">
        <v>6366</v>
      </c>
      <c r="AU343" s="1" t="n">
        <v>2024</v>
      </c>
      <c r="AV343" s="1" t="n">
        <v>41</v>
      </c>
      <c r="AW343" s="1" t="n">
        <v>4</v>
      </c>
      <c r="AX343" s="1"/>
      <c r="AY343" s="1"/>
      <c r="AZ343" s="1"/>
      <c r="BA343" s="1"/>
      <c r="BB343" s="1" t="n">
        <v>143</v>
      </c>
      <c r="BC343" s="1" t="n">
        <v>150</v>
      </c>
      <c r="BD343" s="1"/>
      <c r="BE343" s="1" t="s">
        <v>6367</v>
      </c>
      <c r="BF343" s="1" t="str">
        <f aca="false">HYPERLINK("http://dx.doi.org/10.1109/MS.2023.3346646","http://dx.doi.org/10.1109/MS.2023.3346646")</f>
        <v>http://dx.doi.org/10.1109/MS.2023.3346646</v>
      </c>
      <c r="BG343" s="1"/>
      <c r="BH343" s="1"/>
      <c r="BI343" s="1" t="n">
        <v>8</v>
      </c>
      <c r="BJ343" s="1" t="s">
        <v>252</v>
      </c>
      <c r="BK343" s="1" t="s">
        <v>204</v>
      </c>
      <c r="BL343" s="1" t="s">
        <v>101</v>
      </c>
      <c r="BM343" s="1" t="s">
        <v>6368</v>
      </c>
      <c r="BN343" s="1"/>
      <c r="BO343" s="1" t="s">
        <v>2335</v>
      </c>
      <c r="BP343" s="1"/>
      <c r="BQ343" s="1"/>
      <c r="BR343" s="1" t="s">
        <v>103</v>
      </c>
      <c r="BS343" s="1" t="s">
        <v>6369</v>
      </c>
      <c r="BT343" s="1" t="str">
        <f aca="false">HYPERLINK("https%3A%2F%2Fwww.webofscience.com%2Fwos%2Fwoscc%2Ffull-record%2FWOS:001241761200006","View Full Record in Web of Science")</f>
        <v>View Full Record in Web of Science</v>
      </c>
    </row>
    <row r="344" customFormat="false" ht="12.75" hidden="false" customHeight="false" outlineLevel="0" collapsed="false">
      <c r="A344" s="1" t="s">
        <v>72</v>
      </c>
      <c r="B344" s="1" t="s">
        <v>6370</v>
      </c>
      <c r="C344" s="1"/>
      <c r="D344" s="1" t="s">
        <v>6371</v>
      </c>
      <c r="E344" s="1"/>
      <c r="F344" s="1" t="s">
        <v>6372</v>
      </c>
      <c r="G344" s="1"/>
      <c r="H344" s="1"/>
      <c r="I344" s="1" t="s">
        <v>6373</v>
      </c>
      <c r="J344" s="1" t="s">
        <v>6374</v>
      </c>
      <c r="K344" s="1" t="s">
        <v>5219</v>
      </c>
      <c r="L344" s="1"/>
      <c r="M344" s="1" t="s">
        <v>78</v>
      </c>
      <c r="N344" s="1" t="s">
        <v>79</v>
      </c>
      <c r="O344" s="1" t="s">
        <v>6375</v>
      </c>
      <c r="P344" s="1" t="s">
        <v>6376</v>
      </c>
      <c r="Q344" s="1" t="s">
        <v>6377</v>
      </c>
      <c r="R344" s="1"/>
      <c r="S344" s="1" t="s">
        <v>6378</v>
      </c>
      <c r="T344" s="1" t="s">
        <v>6379</v>
      </c>
      <c r="U344" s="1"/>
      <c r="V344" s="1" t="s">
        <v>6380</v>
      </c>
      <c r="W344" s="1" t="s">
        <v>6381</v>
      </c>
      <c r="X344" s="1" t="s">
        <v>6382</v>
      </c>
      <c r="Y344" s="1" t="s">
        <v>6383</v>
      </c>
      <c r="Z344" s="1" t="s">
        <v>6384</v>
      </c>
      <c r="AA344" s="1" t="s">
        <v>6385</v>
      </c>
      <c r="AB344" s="1" t="s">
        <v>6386</v>
      </c>
      <c r="AC344" s="1" t="s">
        <v>6387</v>
      </c>
      <c r="AD344" s="1" t="s">
        <v>6388</v>
      </c>
      <c r="AE344" s="1" t="s">
        <v>6389</v>
      </c>
      <c r="AF344" s="1"/>
      <c r="AG344" s="1" t="n">
        <v>29</v>
      </c>
      <c r="AH344" s="1" t="n">
        <v>0</v>
      </c>
      <c r="AI344" s="1" t="n">
        <v>0</v>
      </c>
      <c r="AJ344" s="1" t="n">
        <v>1</v>
      </c>
      <c r="AK344" s="1" t="n">
        <v>3</v>
      </c>
      <c r="AL344" s="1" t="s">
        <v>5232</v>
      </c>
      <c r="AM344" s="1" t="s">
        <v>894</v>
      </c>
      <c r="AN344" s="1" t="s">
        <v>5233</v>
      </c>
      <c r="AO344" s="1" t="s">
        <v>5234</v>
      </c>
      <c r="AP344" s="1"/>
      <c r="AQ344" s="1" t="s">
        <v>6390</v>
      </c>
      <c r="AR344" s="1" t="s">
        <v>5236</v>
      </c>
      <c r="AS344" s="1"/>
      <c r="AT344" s="1"/>
      <c r="AU344" s="1" t="n">
        <v>2024</v>
      </c>
      <c r="AV344" s="1" t="n">
        <v>52</v>
      </c>
      <c r="AW344" s="1"/>
      <c r="AX344" s="1"/>
      <c r="AY344" s="1"/>
      <c r="AZ344" s="1"/>
      <c r="BA344" s="1"/>
      <c r="BB344" s="1" t="n">
        <v>256</v>
      </c>
      <c r="BC344" s="1" t="n">
        <v>267</v>
      </c>
      <c r="BD344" s="1"/>
      <c r="BE344" s="1" t="s">
        <v>6391</v>
      </c>
      <c r="BF344" s="1" t="str">
        <f aca="false">HYPERLINK("http://dx.doi.org/10.3233/ATDE240170","http://dx.doi.org/10.3233/ATDE240170")</f>
        <v>http://dx.doi.org/10.3233/ATDE240170</v>
      </c>
      <c r="BG344" s="1"/>
      <c r="BH344" s="1"/>
      <c r="BI344" s="1" t="n">
        <v>12</v>
      </c>
      <c r="BJ344" s="1" t="s">
        <v>6392</v>
      </c>
      <c r="BK344" s="1" t="s">
        <v>100</v>
      </c>
      <c r="BL344" s="1" t="s">
        <v>5347</v>
      </c>
      <c r="BM344" s="1" t="s">
        <v>6393</v>
      </c>
      <c r="BN344" s="1"/>
      <c r="BO344" s="1" t="s">
        <v>542</v>
      </c>
      <c r="BP344" s="1"/>
      <c r="BQ344" s="1"/>
      <c r="BR344" s="1" t="s">
        <v>103</v>
      </c>
      <c r="BS344" s="1" t="s">
        <v>6394</v>
      </c>
      <c r="BT344" s="1" t="str">
        <f aca="false">HYPERLINK("https%3A%2F%2Fwww.webofscience.com%2Fwos%2Fwoscc%2Ffull-record%2FWOS:001229990300021","View Full Record in Web of Science")</f>
        <v>View Full Record in Web of Science</v>
      </c>
    </row>
    <row r="345" customFormat="false" ht="12.75" hidden="false" customHeight="false" outlineLevel="0" collapsed="false">
      <c r="A345" s="1" t="s">
        <v>181</v>
      </c>
      <c r="B345" s="1" t="s">
        <v>6395</v>
      </c>
      <c r="C345" s="1"/>
      <c r="D345" s="1"/>
      <c r="E345" s="1"/>
      <c r="F345" s="1" t="s">
        <v>6396</v>
      </c>
      <c r="G345" s="1"/>
      <c r="H345" s="1"/>
      <c r="I345" s="1" t="s">
        <v>6397</v>
      </c>
      <c r="J345" s="1" t="s">
        <v>6398</v>
      </c>
      <c r="K345" s="1"/>
      <c r="L345" s="1"/>
      <c r="M345" s="1" t="s">
        <v>78</v>
      </c>
      <c r="N345" s="1" t="s">
        <v>186</v>
      </c>
      <c r="O345" s="1"/>
      <c r="P345" s="1"/>
      <c r="Q345" s="1"/>
      <c r="R345" s="1"/>
      <c r="S345" s="1"/>
      <c r="T345" s="1" t="s">
        <v>6399</v>
      </c>
      <c r="U345" s="1" t="s">
        <v>6400</v>
      </c>
      <c r="V345" s="1" t="s">
        <v>6401</v>
      </c>
      <c r="W345" s="1" t="s">
        <v>6402</v>
      </c>
      <c r="X345" s="1" t="s">
        <v>6403</v>
      </c>
      <c r="Y345" s="1" t="s">
        <v>6404</v>
      </c>
      <c r="Z345" s="1" t="s">
        <v>6405</v>
      </c>
      <c r="AA345" s="1" t="s">
        <v>6406</v>
      </c>
      <c r="AB345" s="1" t="s">
        <v>6407</v>
      </c>
      <c r="AC345" s="1" t="s">
        <v>6408</v>
      </c>
      <c r="AD345" s="1" t="s">
        <v>6409</v>
      </c>
      <c r="AE345" s="1" t="s">
        <v>916</v>
      </c>
      <c r="AF345" s="1"/>
      <c r="AG345" s="1" t="n">
        <v>26</v>
      </c>
      <c r="AH345" s="1" t="n">
        <v>4</v>
      </c>
      <c r="AI345" s="1" t="n">
        <v>4</v>
      </c>
      <c r="AJ345" s="1" t="n">
        <v>7</v>
      </c>
      <c r="AK345" s="1" t="n">
        <v>28</v>
      </c>
      <c r="AL345" s="1" t="s">
        <v>5713</v>
      </c>
      <c r="AM345" s="1" t="s">
        <v>1908</v>
      </c>
      <c r="AN345" s="1" t="s">
        <v>5714</v>
      </c>
      <c r="AO345" s="1"/>
      <c r="AP345" s="1" t="s">
        <v>6410</v>
      </c>
      <c r="AQ345" s="1"/>
      <c r="AR345" s="1" t="s">
        <v>6411</v>
      </c>
      <c r="AS345" s="1" t="s">
        <v>6412</v>
      </c>
      <c r="AT345" s="1" t="s">
        <v>1391</v>
      </c>
      <c r="AU345" s="1" t="n">
        <v>2023</v>
      </c>
      <c r="AV345" s="1" t="n">
        <v>32</v>
      </c>
      <c r="AW345" s="1"/>
      <c r="AX345" s="1"/>
      <c r="AY345" s="1"/>
      <c r="AZ345" s="1"/>
      <c r="BA345" s="1"/>
      <c r="BB345" s="1"/>
      <c r="BC345" s="1"/>
      <c r="BD345" s="1" t="n">
        <v>26349833231218000</v>
      </c>
      <c r="BE345" s="1" t="s">
        <v>6413</v>
      </c>
      <c r="BF345" s="1" t="str">
        <f aca="false">HYPERLINK("http://dx.doi.org/10.1177/26349833231218012","http://dx.doi.org/10.1177/26349833231218012")</f>
        <v>http://dx.doi.org/10.1177/26349833231218012</v>
      </c>
      <c r="BG345" s="1"/>
      <c r="BH345" s="1"/>
      <c r="BI345" s="1" t="n">
        <v>12</v>
      </c>
      <c r="BJ345" s="1" t="s">
        <v>6414</v>
      </c>
      <c r="BK345" s="1" t="s">
        <v>204</v>
      </c>
      <c r="BL345" s="1" t="s">
        <v>6415</v>
      </c>
      <c r="BM345" s="1" t="s">
        <v>6416</v>
      </c>
      <c r="BN345" s="1"/>
      <c r="BO345" s="1" t="s">
        <v>401</v>
      </c>
      <c r="BP345" s="1"/>
      <c r="BQ345" s="1"/>
      <c r="BR345" s="1" t="s">
        <v>103</v>
      </c>
      <c r="BS345" s="1" t="s">
        <v>6417</v>
      </c>
      <c r="BT345" s="1" t="str">
        <f aca="false">HYPERLINK("https%3A%2F%2Fwww.webofscience.com%2Fwos%2Fwoscc%2Ffull-record%2FWOS:001117262500001","View Full Record in Web of Science")</f>
        <v>View Full Record in Web of Science</v>
      </c>
    </row>
    <row r="346" customFormat="false" ht="12.75" hidden="false" customHeight="false" outlineLevel="0" collapsed="false">
      <c r="A346" s="1" t="s">
        <v>181</v>
      </c>
      <c r="B346" s="1" t="s">
        <v>6418</v>
      </c>
      <c r="C346" s="1"/>
      <c r="D346" s="1"/>
      <c r="E346" s="1"/>
      <c r="F346" s="1" t="s">
        <v>6419</v>
      </c>
      <c r="G346" s="1"/>
      <c r="H346" s="1"/>
      <c r="I346" s="1" t="s">
        <v>6420</v>
      </c>
      <c r="J346" s="1" t="s">
        <v>6421</v>
      </c>
      <c r="K346" s="1"/>
      <c r="L346" s="1"/>
      <c r="M346" s="1" t="s">
        <v>78</v>
      </c>
      <c r="N346" s="1" t="s">
        <v>186</v>
      </c>
      <c r="O346" s="1"/>
      <c r="P346" s="1"/>
      <c r="Q346" s="1"/>
      <c r="R346" s="1"/>
      <c r="S346" s="1"/>
      <c r="T346" s="1" t="s">
        <v>6422</v>
      </c>
      <c r="U346" s="1" t="s">
        <v>6423</v>
      </c>
      <c r="V346" s="1" t="s">
        <v>6424</v>
      </c>
      <c r="W346" s="1" t="s">
        <v>6425</v>
      </c>
      <c r="X346" s="1" t="s">
        <v>6426</v>
      </c>
      <c r="Y346" s="1" t="s">
        <v>6427</v>
      </c>
      <c r="Z346" s="1" t="s">
        <v>6428</v>
      </c>
      <c r="AA346" s="1"/>
      <c r="AB346" s="1"/>
      <c r="AC346" s="1"/>
      <c r="AD346" s="1"/>
      <c r="AE346" s="1"/>
      <c r="AF346" s="1"/>
      <c r="AG346" s="1" t="n">
        <v>41</v>
      </c>
      <c r="AH346" s="1" t="n">
        <v>1</v>
      </c>
      <c r="AI346" s="1" t="n">
        <v>1</v>
      </c>
      <c r="AJ346" s="1" t="n">
        <v>2</v>
      </c>
      <c r="AK346" s="1" t="n">
        <v>8</v>
      </c>
      <c r="AL346" s="1" t="s">
        <v>938</v>
      </c>
      <c r="AM346" s="1" t="s">
        <v>939</v>
      </c>
      <c r="AN346" s="1" t="s">
        <v>940</v>
      </c>
      <c r="AO346" s="1"/>
      <c r="AP346" s="1" t="s">
        <v>6429</v>
      </c>
      <c r="AQ346" s="1"/>
      <c r="AR346" s="1" t="s">
        <v>6430</v>
      </c>
      <c r="AS346" s="1" t="s">
        <v>6431</v>
      </c>
      <c r="AT346" s="1" t="s">
        <v>6432</v>
      </c>
      <c r="AU346" s="1" t="n">
        <v>2022</v>
      </c>
      <c r="AV346" s="1" t="n">
        <v>7</v>
      </c>
      <c r="AW346" s="1"/>
      <c r="AX346" s="1"/>
      <c r="AY346" s="1"/>
      <c r="AZ346" s="1"/>
      <c r="BA346" s="1"/>
      <c r="BB346" s="1"/>
      <c r="BC346" s="1"/>
      <c r="BD346" s="1" t="n">
        <v>1034140</v>
      </c>
      <c r="BE346" s="1" t="s">
        <v>6433</v>
      </c>
      <c r="BF346" s="1" t="str">
        <f aca="false">HYPERLINK("http://dx.doi.org/10.3389/feduc.2022.1034140","http://dx.doi.org/10.3389/feduc.2022.1034140")</f>
        <v>http://dx.doi.org/10.3389/feduc.2022.1034140</v>
      </c>
      <c r="BG346" s="1"/>
      <c r="BH346" s="1"/>
      <c r="BI346" s="1" t="n">
        <v>10</v>
      </c>
      <c r="BJ346" s="1" t="s">
        <v>924</v>
      </c>
      <c r="BK346" s="1" t="s">
        <v>253</v>
      </c>
      <c r="BL346" s="1" t="s">
        <v>924</v>
      </c>
      <c r="BM346" s="1" t="s">
        <v>6434</v>
      </c>
      <c r="BN346" s="1"/>
      <c r="BO346" s="1" t="s">
        <v>401</v>
      </c>
      <c r="BP346" s="1"/>
      <c r="BQ346" s="1"/>
      <c r="BR346" s="1" t="s">
        <v>103</v>
      </c>
      <c r="BS346" s="1" t="s">
        <v>6435</v>
      </c>
      <c r="BT346" s="1" t="str">
        <f aca="false">HYPERLINK("https%3A%2F%2Fwww.webofscience.com%2Fwos%2Fwoscc%2Ffull-record%2FWOS:000912741100001","View Full Record in Web of Science")</f>
        <v>View Full Record in Web of Science</v>
      </c>
    </row>
    <row r="347" customFormat="false" ht="12.75" hidden="false" customHeight="false" outlineLevel="0" collapsed="false">
      <c r="A347" s="1" t="s">
        <v>72</v>
      </c>
      <c r="B347" s="1" t="s">
        <v>6436</v>
      </c>
      <c r="C347" s="1"/>
      <c r="D347" s="1"/>
      <c r="E347" s="1" t="s">
        <v>106</v>
      </c>
      <c r="F347" s="1" t="s">
        <v>6437</v>
      </c>
      <c r="G347" s="1"/>
      <c r="H347" s="1"/>
      <c r="I347" s="1" t="s">
        <v>6438</v>
      </c>
      <c r="J347" s="1" t="s">
        <v>6439</v>
      </c>
      <c r="K347" s="1"/>
      <c r="L347" s="1"/>
      <c r="M347" s="1" t="s">
        <v>78</v>
      </c>
      <c r="N347" s="1" t="s">
        <v>79</v>
      </c>
      <c r="O347" s="1" t="s">
        <v>6440</v>
      </c>
      <c r="P347" s="1" t="s">
        <v>6441</v>
      </c>
      <c r="Q347" s="1" t="s">
        <v>6442</v>
      </c>
      <c r="R347" s="1" t="s">
        <v>6443</v>
      </c>
      <c r="S347" s="1"/>
      <c r="T347" s="1" t="s">
        <v>6444</v>
      </c>
      <c r="U347" s="1"/>
      <c r="V347" s="1" t="s">
        <v>6445</v>
      </c>
      <c r="W347" s="1" t="s">
        <v>6446</v>
      </c>
      <c r="X347" s="1" t="s">
        <v>6447</v>
      </c>
      <c r="Y347" s="1" t="s">
        <v>6448</v>
      </c>
      <c r="Z347" s="1" t="s">
        <v>6449</v>
      </c>
      <c r="AA347" s="1" t="s">
        <v>936</v>
      </c>
      <c r="AB347" s="1" t="s">
        <v>937</v>
      </c>
      <c r="AC347" s="1"/>
      <c r="AD347" s="1"/>
      <c r="AE347" s="1"/>
      <c r="AF347" s="1"/>
      <c r="AG347" s="1" t="n">
        <v>16</v>
      </c>
      <c r="AH347" s="1" t="n">
        <v>1</v>
      </c>
      <c r="AI347" s="1" t="n">
        <v>1</v>
      </c>
      <c r="AJ347" s="1" t="n">
        <v>1</v>
      </c>
      <c r="AK347" s="1" t="n">
        <v>4</v>
      </c>
      <c r="AL347" s="1" t="s">
        <v>106</v>
      </c>
      <c r="AM347" s="1" t="s">
        <v>95</v>
      </c>
      <c r="AN347" s="1" t="s">
        <v>122</v>
      </c>
      <c r="AO347" s="1"/>
      <c r="AP347" s="1"/>
      <c r="AQ347" s="1" t="s">
        <v>6450</v>
      </c>
      <c r="AR347" s="1"/>
      <c r="AS347" s="1"/>
      <c r="AT347" s="1"/>
      <c r="AU347" s="1" t="n">
        <v>2022</v>
      </c>
      <c r="AV347" s="1"/>
      <c r="AW347" s="1"/>
      <c r="AX347" s="1"/>
      <c r="AY347" s="1"/>
      <c r="AZ347" s="1"/>
      <c r="BA347" s="1"/>
      <c r="BB347" s="1" t="n">
        <v>135</v>
      </c>
      <c r="BC347" s="1" t="n">
        <v>140</v>
      </c>
      <c r="BD347" s="1"/>
      <c r="BE347" s="1" t="s">
        <v>6451</v>
      </c>
      <c r="BF347" s="1" t="str">
        <f aca="false">HYPERLINK("http://dx.doi.org/10.1109/ISNIB57382.2022.10076089","http://dx.doi.org/10.1109/ISNIB57382.2022.10076089")</f>
        <v>http://dx.doi.org/10.1109/ISNIB57382.2022.10076089</v>
      </c>
      <c r="BG347" s="1"/>
      <c r="BH347" s="1"/>
      <c r="BI347" s="1" t="n">
        <v>6</v>
      </c>
      <c r="BJ347" s="1" t="s">
        <v>442</v>
      </c>
      <c r="BK347" s="1" t="s">
        <v>100</v>
      </c>
      <c r="BL347" s="1" t="s">
        <v>101</v>
      </c>
      <c r="BM347" s="1" t="s">
        <v>6452</v>
      </c>
      <c r="BN347" s="1"/>
      <c r="BO347" s="1" t="s">
        <v>179</v>
      </c>
      <c r="BP347" s="1"/>
      <c r="BQ347" s="1"/>
      <c r="BR347" s="1" t="s">
        <v>103</v>
      </c>
      <c r="BS347" s="1" t="s">
        <v>6453</v>
      </c>
      <c r="BT347" s="1" t="str">
        <f aca="false">HYPERLINK("https%3A%2F%2Fwww.webofscience.com%2Fwos%2Fwoscc%2Ffull-record%2FWOS:000986982400024","View Full Record in Web of Science")</f>
        <v>View Full Record in Web of Science</v>
      </c>
    </row>
    <row r="348" customFormat="false" ht="12.75" hidden="false" customHeight="false" outlineLevel="0" collapsed="false">
      <c r="A348" s="1" t="s">
        <v>181</v>
      </c>
      <c r="B348" s="1" t="s">
        <v>6454</v>
      </c>
      <c r="C348" s="1"/>
      <c r="D348" s="1"/>
      <c r="E348" s="1"/>
      <c r="F348" s="1" t="s">
        <v>6455</v>
      </c>
      <c r="G348" s="1"/>
      <c r="H348" s="1"/>
      <c r="I348" s="1" t="s">
        <v>6456</v>
      </c>
      <c r="J348" s="1" t="s">
        <v>6457</v>
      </c>
      <c r="K348" s="1"/>
      <c r="L348" s="1"/>
      <c r="M348" s="1" t="s">
        <v>78</v>
      </c>
      <c r="N348" s="1" t="s">
        <v>186</v>
      </c>
      <c r="O348" s="1"/>
      <c r="P348" s="1"/>
      <c r="Q348" s="1"/>
      <c r="R348" s="1"/>
      <c r="S348" s="1"/>
      <c r="T348" s="1"/>
      <c r="U348" s="1"/>
      <c r="V348" s="1"/>
      <c r="W348" s="1" t="s">
        <v>6458</v>
      </c>
      <c r="X348" s="1" t="s">
        <v>6459</v>
      </c>
      <c r="Y348" s="1" t="s">
        <v>6460</v>
      </c>
      <c r="Z348" s="1" t="s">
        <v>6461</v>
      </c>
      <c r="AA348" s="1" t="s">
        <v>6462</v>
      </c>
      <c r="AB348" s="1" t="s">
        <v>6463</v>
      </c>
      <c r="AC348" s="1" t="s">
        <v>6464</v>
      </c>
      <c r="AD348" s="1" t="s">
        <v>6465</v>
      </c>
      <c r="AE348" s="1" t="s">
        <v>6466</v>
      </c>
      <c r="AF348" s="1"/>
      <c r="AG348" s="1" t="n">
        <v>15</v>
      </c>
      <c r="AH348" s="1" t="n">
        <v>5</v>
      </c>
      <c r="AI348" s="1" t="n">
        <v>5</v>
      </c>
      <c r="AJ348" s="1" t="n">
        <v>0</v>
      </c>
      <c r="AK348" s="1" t="n">
        <v>1</v>
      </c>
      <c r="AL348" s="1" t="s">
        <v>94</v>
      </c>
      <c r="AM348" s="1" t="s">
        <v>95</v>
      </c>
      <c r="AN348" s="1" t="s">
        <v>826</v>
      </c>
      <c r="AO348" s="1" t="s">
        <v>6467</v>
      </c>
      <c r="AP348" s="1" t="s">
        <v>6468</v>
      </c>
      <c r="AQ348" s="1"/>
      <c r="AR348" s="1" t="s">
        <v>6469</v>
      </c>
      <c r="AS348" s="1" t="s">
        <v>6470</v>
      </c>
      <c r="AT348" s="1" t="s">
        <v>2698</v>
      </c>
      <c r="AU348" s="1" t="n">
        <v>2021</v>
      </c>
      <c r="AV348" s="1" t="n">
        <v>64</v>
      </c>
      <c r="AW348" s="1" t="n">
        <v>6</v>
      </c>
      <c r="AX348" s="1"/>
      <c r="AY348" s="1"/>
      <c r="AZ348" s="1"/>
      <c r="BA348" s="1"/>
      <c r="BB348" s="1" t="n">
        <v>69</v>
      </c>
      <c r="BC348" s="1" t="n">
        <v>75</v>
      </c>
      <c r="BD348" s="1"/>
      <c r="BE348" s="1" t="s">
        <v>6471</v>
      </c>
      <c r="BF348" s="1" t="str">
        <f aca="false">HYPERLINK("http://dx.doi.org/10.1145/3418292","http://dx.doi.org/10.1145/3418292")</f>
        <v>http://dx.doi.org/10.1145/3418292</v>
      </c>
      <c r="BG348" s="1"/>
      <c r="BH348" s="1"/>
      <c r="BI348" s="1" t="n">
        <v>7</v>
      </c>
      <c r="BJ348" s="1" t="s">
        <v>6472</v>
      </c>
      <c r="BK348" s="1" t="s">
        <v>204</v>
      </c>
      <c r="BL348" s="1" t="s">
        <v>101</v>
      </c>
      <c r="BM348" s="1" t="s">
        <v>6473</v>
      </c>
      <c r="BN348" s="1"/>
      <c r="BO348" s="1" t="s">
        <v>227</v>
      </c>
      <c r="BP348" s="1"/>
      <c r="BQ348" s="1"/>
      <c r="BR348" s="1" t="s">
        <v>103</v>
      </c>
      <c r="BS348" s="1" t="s">
        <v>6474</v>
      </c>
      <c r="BT348" s="1" t="str">
        <f aca="false">HYPERLINK("https%3A%2F%2Fwww.webofscience.com%2Fwos%2Fwoscc%2Ffull-record%2FWOS:000656072300018","View Full Record in Web of Science")</f>
        <v>View Full Record in Web of Science</v>
      </c>
    </row>
    <row r="349" customFormat="false" ht="12.75" hidden="false" customHeight="false" outlineLevel="0" collapsed="false">
      <c r="A349" s="1" t="s">
        <v>72</v>
      </c>
      <c r="B349" s="1" t="s">
        <v>4798</v>
      </c>
      <c r="C349" s="1"/>
      <c r="D349" s="1"/>
      <c r="E349" s="1" t="s">
        <v>106</v>
      </c>
      <c r="F349" s="1" t="s">
        <v>4800</v>
      </c>
      <c r="G349" s="1"/>
      <c r="H349" s="1"/>
      <c r="I349" s="1" t="s">
        <v>6475</v>
      </c>
      <c r="J349" s="1" t="s">
        <v>6476</v>
      </c>
      <c r="K349" s="1" t="s">
        <v>1324</v>
      </c>
      <c r="L349" s="1"/>
      <c r="M349" s="1" t="s">
        <v>78</v>
      </c>
      <c r="N349" s="1" t="s">
        <v>79</v>
      </c>
      <c r="O349" s="1" t="s">
        <v>6477</v>
      </c>
      <c r="P349" s="1" t="s">
        <v>6478</v>
      </c>
      <c r="Q349" s="1" t="s">
        <v>320</v>
      </c>
      <c r="R349" s="1"/>
      <c r="S349" s="1"/>
      <c r="T349" s="1"/>
      <c r="U349" s="1"/>
      <c r="V349" s="1" t="s">
        <v>6479</v>
      </c>
      <c r="W349" s="1" t="s">
        <v>6480</v>
      </c>
      <c r="X349" s="1" t="s">
        <v>6481</v>
      </c>
      <c r="Y349" s="1" t="s">
        <v>6482</v>
      </c>
      <c r="Z349" s="1" t="s">
        <v>4810</v>
      </c>
      <c r="AA349" s="1" t="s">
        <v>4811</v>
      </c>
      <c r="AB349" s="1"/>
      <c r="AC349" s="1" t="s">
        <v>6483</v>
      </c>
      <c r="AD349" s="1" t="s">
        <v>6484</v>
      </c>
      <c r="AE349" s="1" t="s">
        <v>6485</v>
      </c>
      <c r="AF349" s="1"/>
      <c r="AG349" s="1" t="n">
        <v>33</v>
      </c>
      <c r="AH349" s="1" t="n">
        <v>0</v>
      </c>
      <c r="AI349" s="1" t="n">
        <v>0</v>
      </c>
      <c r="AJ349" s="1" t="n">
        <v>0</v>
      </c>
      <c r="AK349" s="1" t="n">
        <v>3</v>
      </c>
      <c r="AL349" s="1" t="s">
        <v>106</v>
      </c>
      <c r="AM349" s="1" t="s">
        <v>95</v>
      </c>
      <c r="AN349" s="1" t="s">
        <v>122</v>
      </c>
      <c r="AO349" s="1" t="s">
        <v>1335</v>
      </c>
      <c r="AP349" s="1" t="s">
        <v>1336</v>
      </c>
      <c r="AQ349" s="1" t="s">
        <v>6486</v>
      </c>
      <c r="AR349" s="1" t="s">
        <v>1338</v>
      </c>
      <c r="AS349" s="1"/>
      <c r="AT349" s="1"/>
      <c r="AU349" s="1" t="n">
        <v>2021</v>
      </c>
      <c r="AV349" s="1"/>
      <c r="AW349" s="1"/>
      <c r="AX349" s="1"/>
      <c r="AY349" s="1"/>
      <c r="AZ349" s="1"/>
      <c r="BA349" s="1"/>
      <c r="BB349" s="1" t="n">
        <v>207</v>
      </c>
      <c r="BC349" s="1" t="n">
        <v>212</v>
      </c>
      <c r="BD349" s="1"/>
      <c r="BE349" s="1" t="s">
        <v>6487</v>
      </c>
      <c r="BF349" s="1" t="str">
        <f aca="false">HYPERLINK("http://dx.doi.org/10.1109/QoMEX51781.2021.9465408","http://dx.doi.org/10.1109/QoMEX51781.2021.9465408")</f>
        <v>http://dx.doi.org/10.1109/QoMEX51781.2021.9465408</v>
      </c>
      <c r="BG349" s="1"/>
      <c r="BH349" s="1"/>
      <c r="BI349" s="1" t="n">
        <v>6</v>
      </c>
      <c r="BJ349" s="1" t="s">
        <v>5008</v>
      </c>
      <c r="BK349" s="1" t="s">
        <v>100</v>
      </c>
      <c r="BL349" s="1" t="s">
        <v>1255</v>
      </c>
      <c r="BM349" s="1" t="s">
        <v>6488</v>
      </c>
      <c r="BN349" s="1"/>
      <c r="BO349" s="1" t="s">
        <v>227</v>
      </c>
      <c r="BP349" s="1"/>
      <c r="BQ349" s="1"/>
      <c r="BR349" s="1" t="s">
        <v>103</v>
      </c>
      <c r="BS349" s="1" t="s">
        <v>6489</v>
      </c>
      <c r="BT349" s="1" t="str">
        <f aca="false">HYPERLINK("https%3A%2F%2Fwww.webofscience.com%2Fwos%2Fwoscc%2Ffull-record%2FWOS:000694919800040","View Full Record in Web of Science")</f>
        <v>View Full Record in Web of Science</v>
      </c>
    </row>
    <row r="350" customFormat="false" ht="12.75" hidden="false" customHeight="false" outlineLevel="0" collapsed="false">
      <c r="A350" s="1" t="s">
        <v>72</v>
      </c>
      <c r="B350" s="1" t="s">
        <v>6490</v>
      </c>
      <c r="C350" s="1"/>
      <c r="D350" s="1" t="s">
        <v>6491</v>
      </c>
      <c r="E350" s="1"/>
      <c r="F350" s="1" t="s">
        <v>6492</v>
      </c>
      <c r="G350" s="1"/>
      <c r="H350" s="1"/>
      <c r="I350" s="1" t="s">
        <v>6493</v>
      </c>
      <c r="J350" s="1" t="s">
        <v>6494</v>
      </c>
      <c r="K350" s="1" t="s">
        <v>3043</v>
      </c>
      <c r="L350" s="1"/>
      <c r="M350" s="1" t="s">
        <v>78</v>
      </c>
      <c r="N350" s="1" t="s">
        <v>79</v>
      </c>
      <c r="O350" s="1" t="s">
        <v>6495</v>
      </c>
      <c r="P350" s="1" t="s">
        <v>6496</v>
      </c>
      <c r="Q350" s="1" t="s">
        <v>320</v>
      </c>
      <c r="R350" s="1" t="s">
        <v>1086</v>
      </c>
      <c r="S350" s="1"/>
      <c r="T350" s="1"/>
      <c r="U350" s="1" t="s">
        <v>6497</v>
      </c>
      <c r="V350" s="1" t="s">
        <v>6498</v>
      </c>
      <c r="W350" s="1" t="s">
        <v>6499</v>
      </c>
      <c r="X350" s="1" t="s">
        <v>6500</v>
      </c>
      <c r="Y350" s="1"/>
      <c r="Z350" s="1" t="s">
        <v>6501</v>
      </c>
      <c r="AA350" s="1"/>
      <c r="AB350" s="1"/>
      <c r="AC350" s="1"/>
      <c r="AD350" s="1"/>
      <c r="AE350" s="1"/>
      <c r="AF350" s="1"/>
      <c r="AG350" s="1" t="n">
        <v>46</v>
      </c>
      <c r="AH350" s="1" t="n">
        <v>0</v>
      </c>
      <c r="AI350" s="1" t="n">
        <v>0</v>
      </c>
      <c r="AJ350" s="1" t="n">
        <v>0</v>
      </c>
      <c r="AK350" s="1" t="n">
        <v>2</v>
      </c>
      <c r="AL350" s="1" t="s">
        <v>172</v>
      </c>
      <c r="AM350" s="1" t="s">
        <v>173</v>
      </c>
      <c r="AN350" s="1" t="s">
        <v>174</v>
      </c>
      <c r="AO350" s="1" t="s">
        <v>3054</v>
      </c>
      <c r="AP350" s="1"/>
      <c r="AQ350" s="1" t="s">
        <v>6502</v>
      </c>
      <c r="AR350" s="1" t="s">
        <v>3056</v>
      </c>
      <c r="AS350" s="1"/>
      <c r="AT350" s="1"/>
      <c r="AU350" s="1" t="n">
        <v>2021</v>
      </c>
      <c r="AV350" s="1"/>
      <c r="AW350" s="1"/>
      <c r="AX350" s="1"/>
      <c r="AY350" s="1"/>
      <c r="AZ350" s="1"/>
      <c r="BA350" s="1"/>
      <c r="BB350" s="1" t="n">
        <v>291</v>
      </c>
      <c r="BC350" s="1" t="n">
        <v>301</v>
      </c>
      <c r="BD350" s="1"/>
      <c r="BE350" s="1" t="s">
        <v>6503</v>
      </c>
      <c r="BF350" s="1" t="str">
        <f aca="false">HYPERLINK("http://dx.doi.org/10.1109/RE51729.2021.00033","http://dx.doi.org/10.1109/RE51729.2021.00033")</f>
        <v>http://dx.doi.org/10.1109/RE51729.2021.00033</v>
      </c>
      <c r="BG350" s="1"/>
      <c r="BH350" s="1"/>
      <c r="BI350" s="1" t="n">
        <v>11</v>
      </c>
      <c r="BJ350" s="1" t="s">
        <v>994</v>
      </c>
      <c r="BK350" s="1" t="s">
        <v>100</v>
      </c>
      <c r="BL350" s="1" t="s">
        <v>101</v>
      </c>
      <c r="BM350" s="1" t="s">
        <v>6504</v>
      </c>
      <c r="BN350" s="1"/>
      <c r="BO350" s="1"/>
      <c r="BP350" s="1"/>
      <c r="BQ350" s="1"/>
      <c r="BR350" s="1" t="s">
        <v>103</v>
      </c>
      <c r="BS350" s="1" t="s">
        <v>6505</v>
      </c>
      <c r="BT350" s="1" t="str">
        <f aca="false">HYPERLINK("https%3A%2F%2Fwww.webofscience.com%2Fwos%2Fwoscc%2Ffull-record%2FWOS:000788292800026","View Full Record in Web of Science")</f>
        <v>View Full Record in Web of Science</v>
      </c>
    </row>
    <row r="351" customFormat="false" ht="12.75" hidden="false" customHeight="false" outlineLevel="0" collapsed="false">
      <c r="A351" s="1" t="s">
        <v>181</v>
      </c>
      <c r="B351" s="1" t="s">
        <v>6506</v>
      </c>
      <c r="C351" s="1"/>
      <c r="D351" s="1"/>
      <c r="E351" s="1"/>
      <c r="F351" s="1" t="s">
        <v>6507</v>
      </c>
      <c r="G351" s="1"/>
      <c r="H351" s="1"/>
      <c r="I351" s="1" t="s">
        <v>6508</v>
      </c>
      <c r="J351" s="1" t="s">
        <v>6509</v>
      </c>
      <c r="K351" s="1"/>
      <c r="L351" s="1"/>
      <c r="M351" s="1" t="s">
        <v>78</v>
      </c>
      <c r="N351" s="1" t="s">
        <v>186</v>
      </c>
      <c r="O351" s="1"/>
      <c r="P351" s="1"/>
      <c r="Q351" s="1"/>
      <c r="R351" s="1"/>
      <c r="S351" s="1"/>
      <c r="T351" s="1" t="s">
        <v>6510</v>
      </c>
      <c r="U351" s="1" t="s">
        <v>6511</v>
      </c>
      <c r="V351" s="1" t="s">
        <v>6512</v>
      </c>
      <c r="W351" s="1" t="s">
        <v>6513</v>
      </c>
      <c r="X351" s="1" t="s">
        <v>86</v>
      </c>
      <c r="Y351" s="1" t="s">
        <v>3919</v>
      </c>
      <c r="Z351" s="1" t="s">
        <v>3920</v>
      </c>
      <c r="AA351" s="1" t="s">
        <v>3921</v>
      </c>
      <c r="AB351" s="1" t="s">
        <v>6514</v>
      </c>
      <c r="AC351" s="1" t="s">
        <v>6515</v>
      </c>
      <c r="AD351" s="1" t="s">
        <v>6516</v>
      </c>
      <c r="AE351" s="1" t="s">
        <v>6517</v>
      </c>
      <c r="AF351" s="1"/>
      <c r="AG351" s="1" t="n">
        <v>44</v>
      </c>
      <c r="AH351" s="1" t="n">
        <v>4</v>
      </c>
      <c r="AI351" s="1" t="n">
        <v>4</v>
      </c>
      <c r="AJ351" s="1" t="n">
        <v>1</v>
      </c>
      <c r="AK351" s="1" t="n">
        <v>7</v>
      </c>
      <c r="AL351" s="1" t="s">
        <v>6518</v>
      </c>
      <c r="AM351" s="1" t="s">
        <v>6519</v>
      </c>
      <c r="AN351" s="1" t="s">
        <v>6520</v>
      </c>
      <c r="AO351" s="1" t="s">
        <v>6521</v>
      </c>
      <c r="AP351" s="1" t="s">
        <v>6522</v>
      </c>
      <c r="AQ351" s="1"/>
      <c r="AR351" s="1" t="s">
        <v>6523</v>
      </c>
      <c r="AS351" s="1" t="s">
        <v>6524</v>
      </c>
      <c r="AT351" s="1" t="s">
        <v>711</v>
      </c>
      <c r="AU351" s="1" t="n">
        <v>2020</v>
      </c>
      <c r="AV351" s="1" t="n">
        <v>55</v>
      </c>
      <c r="AW351" s="1" t="n">
        <v>8</v>
      </c>
      <c r="AX351" s="1"/>
      <c r="AY351" s="1"/>
      <c r="AZ351" s="1"/>
      <c r="BA351" s="1"/>
      <c r="BB351" s="1"/>
      <c r="BC351" s="1"/>
      <c r="BD351" s="1" t="s">
        <v>6525</v>
      </c>
      <c r="BE351" s="1" t="s">
        <v>6526</v>
      </c>
      <c r="BF351" s="1" t="str">
        <f aca="false">HYPERLINK("http://dx.doi.org/10.1029/2019RS006996","http://dx.doi.org/10.1029/2019RS006996")</f>
        <v>http://dx.doi.org/10.1029/2019RS006996</v>
      </c>
      <c r="BG351" s="1"/>
      <c r="BH351" s="1"/>
      <c r="BI351" s="1" t="n">
        <v>13</v>
      </c>
      <c r="BJ351" s="1" t="s">
        <v>6527</v>
      </c>
      <c r="BK351" s="1" t="s">
        <v>204</v>
      </c>
      <c r="BL351" s="1" t="s">
        <v>6527</v>
      </c>
      <c r="BM351" s="1" t="s">
        <v>6528</v>
      </c>
      <c r="BN351" s="1"/>
      <c r="BO351" s="1" t="s">
        <v>207</v>
      </c>
      <c r="BP351" s="1"/>
      <c r="BQ351" s="1"/>
      <c r="BR351" s="1" t="s">
        <v>103</v>
      </c>
      <c r="BS351" s="1" t="s">
        <v>6529</v>
      </c>
      <c r="BT351" s="1" t="str">
        <f aca="false">HYPERLINK("https%3A%2F%2Fwww.webofscience.com%2Fwos%2Fwoscc%2Ffull-record%2FWOS:000567926300001","View Full Record in Web of Science")</f>
        <v>View Full Record in Web of Science</v>
      </c>
    </row>
    <row r="352" customFormat="false" ht="12.75" hidden="false" customHeight="false" outlineLevel="0" collapsed="false">
      <c r="A352" s="1" t="s">
        <v>181</v>
      </c>
      <c r="B352" s="1" t="s">
        <v>6530</v>
      </c>
      <c r="C352" s="1"/>
      <c r="D352" s="1"/>
      <c r="E352" s="1"/>
      <c r="F352" s="1" t="s">
        <v>6531</v>
      </c>
      <c r="G352" s="1"/>
      <c r="H352" s="1"/>
      <c r="I352" s="1" t="s">
        <v>6532</v>
      </c>
      <c r="J352" s="1" t="s">
        <v>4875</v>
      </c>
      <c r="K352" s="1"/>
      <c r="L352" s="1"/>
      <c r="M352" s="1" t="s">
        <v>78</v>
      </c>
      <c r="N352" s="1" t="s">
        <v>186</v>
      </c>
      <c r="O352" s="1"/>
      <c r="P352" s="1"/>
      <c r="Q352" s="1"/>
      <c r="R352" s="1"/>
      <c r="S352" s="1"/>
      <c r="T352" s="1" t="s">
        <v>6533</v>
      </c>
      <c r="U352" s="1"/>
      <c r="V352" s="1" t="s">
        <v>6534</v>
      </c>
      <c r="W352" s="1" t="s">
        <v>6535</v>
      </c>
      <c r="X352" s="1" t="s">
        <v>6481</v>
      </c>
      <c r="Y352" s="1" t="s">
        <v>6536</v>
      </c>
      <c r="Z352" s="1" t="s">
        <v>6537</v>
      </c>
      <c r="AA352" s="1" t="s">
        <v>5020</v>
      </c>
      <c r="AB352" s="1"/>
      <c r="AC352" s="1"/>
      <c r="AD352" s="1"/>
      <c r="AE352" s="1"/>
      <c r="AF352" s="1"/>
      <c r="AG352" s="1" t="n">
        <v>14</v>
      </c>
      <c r="AH352" s="1" t="n">
        <v>0</v>
      </c>
      <c r="AI352" s="1" t="n">
        <v>0</v>
      </c>
      <c r="AJ352" s="1" t="n">
        <v>0</v>
      </c>
      <c r="AK352" s="1" t="n">
        <v>1</v>
      </c>
      <c r="AL352" s="1" t="s">
        <v>172</v>
      </c>
      <c r="AM352" s="1" t="s">
        <v>173</v>
      </c>
      <c r="AN352" s="1" t="s">
        <v>4882</v>
      </c>
      <c r="AO352" s="1" t="s">
        <v>4883</v>
      </c>
      <c r="AP352" s="1" t="s">
        <v>4884</v>
      </c>
      <c r="AQ352" s="1"/>
      <c r="AR352" s="1" t="s">
        <v>4875</v>
      </c>
      <c r="AS352" s="1" t="s">
        <v>4885</v>
      </c>
      <c r="AT352" s="1" t="s">
        <v>6366</v>
      </c>
      <c r="AU352" s="1" t="n">
        <v>2023</v>
      </c>
      <c r="AV352" s="1" t="n">
        <v>40</v>
      </c>
      <c r="AW352" s="1" t="n">
        <v>4</v>
      </c>
      <c r="AX352" s="1"/>
      <c r="AY352" s="1"/>
      <c r="AZ352" s="1"/>
      <c r="BA352" s="1"/>
      <c r="BB352" s="1" t="n">
        <v>77</v>
      </c>
      <c r="BC352" s="1" t="n">
        <v>87</v>
      </c>
      <c r="BD352" s="1"/>
      <c r="BE352" s="1" t="s">
        <v>6538</v>
      </c>
      <c r="BF352" s="1" t="str">
        <f aca="false">HYPERLINK("http://dx.doi.org/10.1109/MS.2023.3263190","http://dx.doi.org/10.1109/MS.2023.3263190")</f>
        <v>http://dx.doi.org/10.1109/MS.2023.3263190</v>
      </c>
      <c r="BG352" s="1"/>
      <c r="BH352" s="1"/>
      <c r="BI352" s="1" t="n">
        <v>11</v>
      </c>
      <c r="BJ352" s="1" t="s">
        <v>252</v>
      </c>
      <c r="BK352" s="1" t="s">
        <v>204</v>
      </c>
      <c r="BL352" s="1" t="s">
        <v>101</v>
      </c>
      <c r="BM352" s="1" t="s">
        <v>6539</v>
      </c>
      <c r="BN352" s="1"/>
      <c r="BO352" s="1"/>
      <c r="BP352" s="1"/>
      <c r="BQ352" s="1"/>
      <c r="BR352" s="1" t="s">
        <v>103</v>
      </c>
      <c r="BS352" s="1" t="s">
        <v>6540</v>
      </c>
      <c r="BT352" s="1" t="str">
        <f aca="false">HYPERLINK("https%3A%2F%2Fwww.webofscience.com%2Fwos%2Fwoscc%2Ffull-record%2FWOS:001032645500012","View Full Record in Web of Science")</f>
        <v>View Full Record in Web of Science</v>
      </c>
    </row>
    <row r="353" customFormat="false" ht="12.75" hidden="false" customHeight="false" outlineLevel="0" collapsed="false">
      <c r="A353" s="1" t="s">
        <v>181</v>
      </c>
      <c r="B353" s="1" t="s">
        <v>6541</v>
      </c>
      <c r="C353" s="1"/>
      <c r="D353" s="1"/>
      <c r="E353" s="1"/>
      <c r="F353" s="1" t="s">
        <v>6542</v>
      </c>
      <c r="G353" s="1"/>
      <c r="H353" s="1"/>
      <c r="I353" s="1" t="s">
        <v>6543</v>
      </c>
      <c r="J353" s="1" t="s">
        <v>6544</v>
      </c>
      <c r="K353" s="1"/>
      <c r="L353" s="1"/>
      <c r="M353" s="1" t="s">
        <v>78</v>
      </c>
      <c r="N353" s="1" t="s">
        <v>186</v>
      </c>
      <c r="O353" s="1"/>
      <c r="P353" s="1"/>
      <c r="Q353" s="1"/>
      <c r="R353" s="1"/>
      <c r="S353" s="1"/>
      <c r="T353" s="1" t="s">
        <v>6545</v>
      </c>
      <c r="U353" s="1"/>
      <c r="V353" s="1" t="s">
        <v>6546</v>
      </c>
      <c r="W353" s="1" t="s">
        <v>6547</v>
      </c>
      <c r="X353" s="1" t="s">
        <v>4897</v>
      </c>
      <c r="Y353" s="1" t="s">
        <v>6548</v>
      </c>
      <c r="Z353" s="1" t="s">
        <v>4899</v>
      </c>
      <c r="AA353" s="1" t="s">
        <v>6549</v>
      </c>
      <c r="AB353" s="1" t="s">
        <v>4901</v>
      </c>
      <c r="AC353" s="1" t="s">
        <v>6550</v>
      </c>
      <c r="AD353" s="1" t="s">
        <v>6550</v>
      </c>
      <c r="AE353" s="1" t="s">
        <v>6551</v>
      </c>
      <c r="AF353" s="1"/>
      <c r="AG353" s="1" t="n">
        <v>20</v>
      </c>
      <c r="AH353" s="1" t="n">
        <v>1</v>
      </c>
      <c r="AI353" s="1" t="n">
        <v>1</v>
      </c>
      <c r="AJ353" s="1" t="n">
        <v>1</v>
      </c>
      <c r="AK353" s="1" t="n">
        <v>10</v>
      </c>
      <c r="AL353" s="1" t="s">
        <v>6148</v>
      </c>
      <c r="AM353" s="1" t="s">
        <v>303</v>
      </c>
      <c r="AN353" s="1" t="s">
        <v>304</v>
      </c>
      <c r="AO353" s="1" t="s">
        <v>6552</v>
      </c>
      <c r="AP353" s="1" t="s">
        <v>6553</v>
      </c>
      <c r="AQ353" s="1"/>
      <c r="AR353" s="1" t="s">
        <v>6554</v>
      </c>
      <c r="AS353" s="1" t="s">
        <v>6555</v>
      </c>
      <c r="AT353" s="1" t="s">
        <v>1453</v>
      </c>
      <c r="AU353" s="1" t="n">
        <v>2023</v>
      </c>
      <c r="AV353" s="1" t="n">
        <v>5</v>
      </c>
      <c r="AW353" s="1" t="n">
        <v>1</v>
      </c>
      <c r="AX353" s="1"/>
      <c r="AY353" s="1"/>
      <c r="AZ353" s="1"/>
      <c r="BA353" s="1"/>
      <c r="BB353" s="1"/>
      <c r="BC353" s="1"/>
      <c r="BD353" s="1" t="n">
        <v>22</v>
      </c>
      <c r="BE353" s="1" t="s">
        <v>6556</v>
      </c>
      <c r="BF353" s="1" t="str">
        <f aca="false">HYPERLINK("http://dx.doi.org/10.1007/s42452-022-05250-2","http://dx.doi.org/10.1007/s42452-022-05250-2")</f>
        <v>http://dx.doi.org/10.1007/s42452-022-05250-2</v>
      </c>
      <c r="BG353" s="1"/>
      <c r="BH353" s="1"/>
      <c r="BI353" s="1" t="n">
        <v>11</v>
      </c>
      <c r="BJ353" s="1" t="s">
        <v>6557</v>
      </c>
      <c r="BK353" s="1" t="s">
        <v>253</v>
      </c>
      <c r="BL353" s="1" t="s">
        <v>6558</v>
      </c>
      <c r="BM353" s="1" t="s">
        <v>6559</v>
      </c>
      <c r="BN353" s="1"/>
      <c r="BO353" s="1" t="s">
        <v>642</v>
      </c>
      <c r="BP353" s="1"/>
      <c r="BQ353" s="1"/>
      <c r="BR353" s="1" t="s">
        <v>103</v>
      </c>
      <c r="BS353" s="1" t="s">
        <v>6560</v>
      </c>
      <c r="BT353" s="1" t="str">
        <f aca="false">HYPERLINK("https%3A%2F%2Fwww.webofscience.com%2Fwos%2Fwoscc%2Ffull-record%2FWOS:000898780700001","View Full Record in Web of Science")</f>
        <v>View Full Record in Web of Science</v>
      </c>
    </row>
    <row r="354" customFormat="false" ht="12.75" hidden="false" customHeight="false" outlineLevel="0" collapsed="false">
      <c r="A354" s="1" t="s">
        <v>181</v>
      </c>
      <c r="B354" s="1" t="s">
        <v>6561</v>
      </c>
      <c r="C354" s="1"/>
      <c r="D354" s="1"/>
      <c r="E354" s="1"/>
      <c r="F354" s="1" t="s">
        <v>6562</v>
      </c>
      <c r="G354" s="1"/>
      <c r="H354" s="1"/>
      <c r="I354" s="1" t="s">
        <v>6563</v>
      </c>
      <c r="J354" s="1" t="s">
        <v>6564</v>
      </c>
      <c r="K354" s="1"/>
      <c r="L354" s="1"/>
      <c r="M354" s="1" t="s">
        <v>78</v>
      </c>
      <c r="N354" s="1" t="s">
        <v>186</v>
      </c>
      <c r="O354" s="1"/>
      <c r="P354" s="1"/>
      <c r="Q354" s="1"/>
      <c r="R354" s="1"/>
      <c r="S354" s="1"/>
      <c r="T354" s="1" t="s">
        <v>6565</v>
      </c>
      <c r="U354" s="1" t="s">
        <v>6566</v>
      </c>
      <c r="V354" s="1" t="s">
        <v>6567</v>
      </c>
      <c r="W354" s="1" t="s">
        <v>6568</v>
      </c>
      <c r="X354" s="1" t="s">
        <v>5310</v>
      </c>
      <c r="Y354" s="1" t="s">
        <v>6569</v>
      </c>
      <c r="Z354" s="1" t="s">
        <v>6570</v>
      </c>
      <c r="AA354" s="1" t="s">
        <v>6571</v>
      </c>
      <c r="AB354" s="1" t="s">
        <v>6572</v>
      </c>
      <c r="AC354" s="1" t="s">
        <v>6573</v>
      </c>
      <c r="AD354" s="1" t="s">
        <v>6574</v>
      </c>
      <c r="AE354" s="1" t="s">
        <v>6575</v>
      </c>
      <c r="AF354" s="1"/>
      <c r="AG354" s="1" t="n">
        <v>32</v>
      </c>
      <c r="AH354" s="1" t="n">
        <v>24</v>
      </c>
      <c r="AI354" s="1" t="n">
        <v>24</v>
      </c>
      <c r="AJ354" s="1" t="n">
        <v>3</v>
      </c>
      <c r="AK354" s="1" t="n">
        <v>35</v>
      </c>
      <c r="AL354" s="1" t="s">
        <v>600</v>
      </c>
      <c r="AM354" s="1" t="s">
        <v>601</v>
      </c>
      <c r="AN354" s="1" t="s">
        <v>602</v>
      </c>
      <c r="AO354" s="1" t="s">
        <v>6576</v>
      </c>
      <c r="AP354" s="1" t="s">
        <v>6577</v>
      </c>
      <c r="AQ354" s="1"/>
      <c r="AR354" s="1" t="s">
        <v>6578</v>
      </c>
      <c r="AS354" s="1" t="s">
        <v>6579</v>
      </c>
      <c r="AT354" s="1" t="s">
        <v>372</v>
      </c>
      <c r="AU354" s="1" t="n">
        <v>2022</v>
      </c>
      <c r="AV354" s="1" t="n">
        <v>7</v>
      </c>
      <c r="AW354" s="1" t="n">
        <v>4</v>
      </c>
      <c r="AX354" s="1"/>
      <c r="AY354" s="1"/>
      <c r="AZ354" s="1"/>
      <c r="BA354" s="1"/>
      <c r="BB354" s="1" t="n">
        <v>561</v>
      </c>
      <c r="BC354" s="1" t="n">
        <v>569</v>
      </c>
      <c r="BD354" s="1"/>
      <c r="BE354" s="1" t="s">
        <v>6580</v>
      </c>
      <c r="BF354" s="1" t="str">
        <f aca="false">HYPERLINK("http://dx.doi.org/10.1049/cit2.12140","http://dx.doi.org/10.1049/cit2.12140")</f>
        <v>http://dx.doi.org/10.1049/cit2.12140</v>
      </c>
      <c r="BG354" s="1"/>
      <c r="BH354" s="1" t="s">
        <v>3679</v>
      </c>
      <c r="BI354" s="1" t="n">
        <v>9</v>
      </c>
      <c r="BJ354" s="1" t="s">
        <v>1625</v>
      </c>
      <c r="BK354" s="1" t="s">
        <v>204</v>
      </c>
      <c r="BL354" s="1" t="s">
        <v>101</v>
      </c>
      <c r="BM354" s="1" t="s">
        <v>6581</v>
      </c>
      <c r="BN354" s="1"/>
      <c r="BO354" s="1" t="s">
        <v>401</v>
      </c>
      <c r="BP354" s="1"/>
      <c r="BQ354" s="1"/>
      <c r="BR354" s="1" t="s">
        <v>103</v>
      </c>
      <c r="BS354" s="1" t="s">
        <v>6582</v>
      </c>
      <c r="BT354" s="1" t="str">
        <f aca="false">HYPERLINK("https%3A%2F%2Fwww.webofscience.com%2Fwos%2Fwoscc%2Ffull-record%2FWOS:000858405300001","View Full Record in Web of Science")</f>
        <v>View Full Record in Web of Science</v>
      </c>
    </row>
    <row r="355" customFormat="false" ht="12.75" hidden="false" customHeight="false" outlineLevel="0" collapsed="false">
      <c r="A355" s="1" t="s">
        <v>72</v>
      </c>
      <c r="B355" s="1" t="s">
        <v>6583</v>
      </c>
      <c r="C355" s="1"/>
      <c r="D355" s="1" t="s">
        <v>6584</v>
      </c>
      <c r="E355" s="1"/>
      <c r="F355" s="1" t="s">
        <v>6585</v>
      </c>
      <c r="G355" s="1"/>
      <c r="H355" s="1"/>
      <c r="I355" s="1" t="s">
        <v>6586</v>
      </c>
      <c r="J355" s="1" t="s">
        <v>6587</v>
      </c>
      <c r="K355" s="1" t="s">
        <v>4307</v>
      </c>
      <c r="L355" s="1"/>
      <c r="M355" s="1" t="s">
        <v>78</v>
      </c>
      <c r="N355" s="1" t="s">
        <v>79</v>
      </c>
      <c r="O355" s="1" t="s">
        <v>6588</v>
      </c>
      <c r="P355" s="1" t="s">
        <v>6589</v>
      </c>
      <c r="Q355" s="1" t="s">
        <v>6590</v>
      </c>
      <c r="R355" s="1"/>
      <c r="S355" s="1"/>
      <c r="T355" s="1" t="s">
        <v>6591</v>
      </c>
      <c r="U355" s="1" t="s">
        <v>6592</v>
      </c>
      <c r="V355" s="1" t="s">
        <v>6593</v>
      </c>
      <c r="W355" s="1" t="s">
        <v>6594</v>
      </c>
      <c r="X355" s="1" t="s">
        <v>6595</v>
      </c>
      <c r="Y355" s="1" t="s">
        <v>6596</v>
      </c>
      <c r="Z355" s="1" t="s">
        <v>6597</v>
      </c>
      <c r="AA355" s="1" t="s">
        <v>6598</v>
      </c>
      <c r="AB355" s="1"/>
      <c r="AC355" s="1"/>
      <c r="AD355" s="1"/>
      <c r="AE355" s="1"/>
      <c r="AF355" s="1"/>
      <c r="AG355" s="1" t="n">
        <v>38</v>
      </c>
      <c r="AH355" s="1" t="n">
        <v>1</v>
      </c>
      <c r="AI355" s="1" t="n">
        <v>1</v>
      </c>
      <c r="AJ355" s="1" t="n">
        <v>1</v>
      </c>
      <c r="AK355" s="1" t="n">
        <v>1</v>
      </c>
      <c r="AL355" s="1" t="s">
        <v>302</v>
      </c>
      <c r="AM355" s="1" t="s">
        <v>303</v>
      </c>
      <c r="AN355" s="1" t="s">
        <v>304</v>
      </c>
      <c r="AO355" s="1" t="s">
        <v>4316</v>
      </c>
      <c r="AP355" s="1" t="s">
        <v>4317</v>
      </c>
      <c r="AQ355" s="1" t="s">
        <v>6599</v>
      </c>
      <c r="AR355" s="1" t="s">
        <v>4319</v>
      </c>
      <c r="AS355" s="1"/>
      <c r="AT355" s="1"/>
      <c r="AU355" s="1" t="n">
        <v>2022</v>
      </c>
      <c r="AV355" s="1" t="n">
        <v>393</v>
      </c>
      <c r="AW355" s="1"/>
      <c r="AX355" s="1"/>
      <c r="AY355" s="1"/>
      <c r="AZ355" s="1"/>
      <c r="BA355" s="1"/>
      <c r="BB355" s="1" t="n">
        <v>1085</v>
      </c>
      <c r="BC355" s="1" t="n">
        <v>1099</v>
      </c>
      <c r="BD355" s="1"/>
      <c r="BE355" s="1" t="s">
        <v>6600</v>
      </c>
      <c r="BF355" s="1" t="str">
        <f aca="false">HYPERLINK("http://dx.doi.org/10.1007/978-3-030-94191-8_88","http://dx.doi.org/10.1007/978-3-030-94191-8_88")</f>
        <v>http://dx.doi.org/10.1007/978-3-030-94191-8_88</v>
      </c>
      <c r="BG355" s="1"/>
      <c r="BH355" s="1"/>
      <c r="BI355" s="1" t="n">
        <v>15</v>
      </c>
      <c r="BJ355" s="1" t="s">
        <v>6601</v>
      </c>
      <c r="BK355" s="1" t="s">
        <v>100</v>
      </c>
      <c r="BL355" s="1" t="s">
        <v>6602</v>
      </c>
      <c r="BM355" s="1" t="s">
        <v>6603</v>
      </c>
      <c r="BN355" s="1"/>
      <c r="BO355" s="1"/>
      <c r="BP355" s="1"/>
      <c r="BQ355" s="1"/>
      <c r="BR355" s="1" t="s">
        <v>103</v>
      </c>
      <c r="BS355" s="1" t="s">
        <v>6604</v>
      </c>
      <c r="BT355" s="1" t="str">
        <f aca="false">HYPERLINK("https%3A%2F%2Fwww.webofscience.com%2Fwos%2Fwoscc%2Ffull-record%2FWOS:000928840400088","View Full Record in Web of Science")</f>
        <v>View Full Record in Web of Science</v>
      </c>
    </row>
    <row r="356" customFormat="false" ht="12.75" hidden="false" customHeight="false" outlineLevel="0" collapsed="false">
      <c r="A356" s="1" t="s">
        <v>72</v>
      </c>
      <c r="B356" s="1" t="s">
        <v>6605</v>
      </c>
      <c r="C356" s="1"/>
      <c r="D356" s="1"/>
      <c r="E356" s="1" t="s">
        <v>106</v>
      </c>
      <c r="F356" s="1" t="s">
        <v>6606</v>
      </c>
      <c r="G356" s="1"/>
      <c r="H356" s="1"/>
      <c r="I356" s="1" t="s">
        <v>6607</v>
      </c>
      <c r="J356" s="1" t="s">
        <v>1323</v>
      </c>
      <c r="K356" s="1" t="s">
        <v>1324</v>
      </c>
      <c r="L356" s="1"/>
      <c r="M356" s="1" t="s">
        <v>78</v>
      </c>
      <c r="N356" s="1" t="s">
        <v>79</v>
      </c>
      <c r="O356" s="1" t="s">
        <v>1325</v>
      </c>
      <c r="P356" s="1" t="s">
        <v>1326</v>
      </c>
      <c r="Q356" s="1" t="s">
        <v>1327</v>
      </c>
      <c r="R356" s="1"/>
      <c r="S356" s="1"/>
      <c r="T356" s="1"/>
      <c r="U356" s="1"/>
      <c r="V356" s="1" t="s">
        <v>6608</v>
      </c>
      <c r="W356" s="1" t="s">
        <v>6609</v>
      </c>
      <c r="X356" s="1" t="s">
        <v>4809</v>
      </c>
      <c r="Y356" s="1" t="s">
        <v>1901</v>
      </c>
      <c r="Z356" s="1" t="s">
        <v>6610</v>
      </c>
      <c r="AA356" s="1" t="s">
        <v>529</v>
      </c>
      <c r="AB356" s="1"/>
      <c r="AC356" s="1" t="s">
        <v>6611</v>
      </c>
      <c r="AD356" s="1" t="s">
        <v>6612</v>
      </c>
      <c r="AE356" s="1" t="s">
        <v>6613</v>
      </c>
      <c r="AF356" s="1"/>
      <c r="AG356" s="1" t="n">
        <v>12</v>
      </c>
      <c r="AH356" s="1" t="n">
        <v>0</v>
      </c>
      <c r="AI356" s="1" t="n">
        <v>0</v>
      </c>
      <c r="AJ356" s="1" t="n">
        <v>0</v>
      </c>
      <c r="AK356" s="1" t="n">
        <v>0</v>
      </c>
      <c r="AL356" s="1" t="s">
        <v>106</v>
      </c>
      <c r="AM356" s="1" t="s">
        <v>95</v>
      </c>
      <c r="AN356" s="1" t="s">
        <v>122</v>
      </c>
      <c r="AO356" s="1" t="s">
        <v>1335</v>
      </c>
      <c r="AP356" s="1" t="s">
        <v>1336</v>
      </c>
      <c r="AQ356" s="1" t="s">
        <v>1337</v>
      </c>
      <c r="AR356" s="1" t="s">
        <v>1338</v>
      </c>
      <c r="AS356" s="1"/>
      <c r="AT356" s="1"/>
      <c r="AU356" s="1" t="n">
        <v>2022</v>
      </c>
      <c r="AV356" s="1"/>
      <c r="AW356" s="1"/>
      <c r="AX356" s="1"/>
      <c r="AY356" s="1"/>
      <c r="AZ356" s="1"/>
      <c r="BA356" s="1"/>
      <c r="BB356" s="1"/>
      <c r="BC356" s="1"/>
      <c r="BD356" s="1"/>
      <c r="BE356" s="1" t="s">
        <v>6614</v>
      </c>
      <c r="BF356" s="1" t="str">
        <f aca="false">HYPERLINK("http://dx.doi.org/10.1109/QOMEX55416.2022.9900895","http://dx.doi.org/10.1109/QOMEX55416.2022.9900895")</f>
        <v>http://dx.doi.org/10.1109/QOMEX55416.2022.9900895</v>
      </c>
      <c r="BG356" s="1"/>
      <c r="BH356" s="1"/>
      <c r="BI356" s="1" t="n">
        <v>3</v>
      </c>
      <c r="BJ356" s="1" t="s">
        <v>1340</v>
      </c>
      <c r="BK356" s="1" t="s">
        <v>100</v>
      </c>
      <c r="BL356" s="1" t="s">
        <v>1341</v>
      </c>
      <c r="BM356" s="1" t="s">
        <v>1342</v>
      </c>
      <c r="BN356" s="1"/>
      <c r="BO356" s="1" t="s">
        <v>179</v>
      </c>
      <c r="BP356" s="1"/>
      <c r="BQ356" s="1"/>
      <c r="BR356" s="1" t="s">
        <v>103</v>
      </c>
      <c r="BS356" s="1" t="s">
        <v>6615</v>
      </c>
      <c r="BT356" s="1" t="str">
        <f aca="false">HYPERLINK("https%3A%2F%2Fwww.webofscience.com%2Fwos%2Fwoscc%2Ffull-record%2FWOS:001308684500021","View Full Record in Web of Science")</f>
        <v>View Full Record in Web of Science</v>
      </c>
    </row>
    <row r="357" customFormat="false" ht="12.75" hidden="false" customHeight="false" outlineLevel="0" collapsed="false">
      <c r="A357" s="1" t="s">
        <v>72</v>
      </c>
      <c r="B357" s="1" t="s">
        <v>6616</v>
      </c>
      <c r="C357" s="1"/>
      <c r="D357" s="1"/>
      <c r="E357" s="1" t="s">
        <v>106</v>
      </c>
      <c r="F357" s="1" t="s">
        <v>6617</v>
      </c>
      <c r="G357" s="1"/>
      <c r="H357" s="1"/>
      <c r="I357" s="1" t="s">
        <v>6618</v>
      </c>
      <c r="J357" s="1" t="s">
        <v>6619</v>
      </c>
      <c r="K357" s="1"/>
      <c r="L357" s="1"/>
      <c r="M357" s="1" t="s">
        <v>78</v>
      </c>
      <c r="N357" s="1" t="s">
        <v>79</v>
      </c>
      <c r="O357" s="1" t="s">
        <v>6620</v>
      </c>
      <c r="P357" s="1" t="s">
        <v>6621</v>
      </c>
      <c r="Q357" s="1" t="s">
        <v>6016</v>
      </c>
      <c r="R357" s="1" t="s">
        <v>6622</v>
      </c>
      <c r="S357" s="1"/>
      <c r="T357" s="1"/>
      <c r="U357" s="1" t="s">
        <v>6623</v>
      </c>
      <c r="V357" s="1" t="s">
        <v>6624</v>
      </c>
      <c r="W357" s="1" t="s">
        <v>6625</v>
      </c>
      <c r="X357" s="1" t="s">
        <v>5361</v>
      </c>
      <c r="Y357" s="1" t="s">
        <v>6626</v>
      </c>
      <c r="Z357" s="1" t="s">
        <v>6627</v>
      </c>
      <c r="AA357" s="1" t="s">
        <v>6628</v>
      </c>
      <c r="AB357" s="1"/>
      <c r="AC357" s="1" t="s">
        <v>1186</v>
      </c>
      <c r="AD357" s="1" t="s">
        <v>1186</v>
      </c>
      <c r="AE357" s="1" t="s">
        <v>6629</v>
      </c>
      <c r="AF357" s="1"/>
      <c r="AG357" s="1" t="n">
        <v>58</v>
      </c>
      <c r="AH357" s="1" t="n">
        <v>6</v>
      </c>
      <c r="AI357" s="1" t="n">
        <v>6</v>
      </c>
      <c r="AJ357" s="1" t="n">
        <v>2</v>
      </c>
      <c r="AK357" s="1" t="n">
        <v>9</v>
      </c>
      <c r="AL357" s="1" t="s">
        <v>106</v>
      </c>
      <c r="AM357" s="1" t="s">
        <v>95</v>
      </c>
      <c r="AN357" s="1" t="s">
        <v>122</v>
      </c>
      <c r="AO357" s="1"/>
      <c r="AP357" s="1"/>
      <c r="AQ357" s="1"/>
      <c r="AR357" s="1"/>
      <c r="AS357" s="1"/>
      <c r="AT357" s="1"/>
      <c r="AU357" s="1" t="n">
        <v>2022</v>
      </c>
      <c r="AV357" s="1"/>
      <c r="AW357" s="1"/>
      <c r="AX357" s="1"/>
      <c r="AY357" s="1"/>
      <c r="AZ357" s="1"/>
      <c r="BA357" s="1"/>
      <c r="BB357" s="1" t="n">
        <v>75</v>
      </c>
      <c r="BC357" s="1" t="n">
        <v>82</v>
      </c>
      <c r="BD357" s="1"/>
      <c r="BE357" s="1" t="s">
        <v>6630</v>
      </c>
      <c r="BF357" s="1" t="str">
        <f aca="false">HYPERLINK("http://dx.doi.org/10.1145/3524614.3528626","http://dx.doi.org/10.1145/3524614.3528626")</f>
        <v>http://dx.doi.org/10.1145/3524614.3528626</v>
      </c>
      <c r="BG357" s="1"/>
      <c r="BH357" s="1"/>
      <c r="BI357" s="1" t="n">
        <v>8</v>
      </c>
      <c r="BJ357" s="1" t="s">
        <v>252</v>
      </c>
      <c r="BK357" s="1" t="s">
        <v>100</v>
      </c>
      <c r="BL357" s="1" t="s">
        <v>101</v>
      </c>
      <c r="BM357" s="1" t="s">
        <v>6631</v>
      </c>
      <c r="BN357" s="1"/>
      <c r="BO357" s="1"/>
      <c r="BP357" s="1"/>
      <c r="BQ357" s="1"/>
      <c r="BR357" s="1" t="s">
        <v>103</v>
      </c>
      <c r="BS357" s="1" t="s">
        <v>6632</v>
      </c>
      <c r="BT357" s="1" t="str">
        <f aca="false">HYPERLINK("https%3A%2F%2Fwww.webofscience.com%2Fwos%2Fwoscc%2Ffull-record%2FWOS:000852880900011","View Full Record in Web of Science")</f>
        <v>View Full Record in Web of Science</v>
      </c>
    </row>
    <row r="358" customFormat="false" ht="12.75" hidden="false" customHeight="false" outlineLevel="0" collapsed="false">
      <c r="A358" s="1" t="s">
        <v>72</v>
      </c>
      <c r="B358" s="1" t="s">
        <v>6633</v>
      </c>
      <c r="C358" s="1"/>
      <c r="D358" s="1"/>
      <c r="E358" s="1" t="s">
        <v>6634</v>
      </c>
      <c r="F358" s="1" t="s">
        <v>6635</v>
      </c>
      <c r="G358" s="1"/>
      <c r="H358" s="1"/>
      <c r="I358" s="1" t="s">
        <v>6636</v>
      </c>
      <c r="J358" s="1" t="s">
        <v>6637</v>
      </c>
      <c r="K358" s="1" t="s">
        <v>6638</v>
      </c>
      <c r="L358" s="1"/>
      <c r="M358" s="1" t="s">
        <v>78</v>
      </c>
      <c r="N358" s="1" t="s">
        <v>79</v>
      </c>
      <c r="O358" s="1" t="s">
        <v>6639</v>
      </c>
      <c r="P358" s="1" t="s">
        <v>6640</v>
      </c>
      <c r="Q358" s="1" t="s">
        <v>320</v>
      </c>
      <c r="R358" s="1" t="s">
        <v>6641</v>
      </c>
      <c r="S358" s="1"/>
      <c r="T358" s="1" t="s">
        <v>6642</v>
      </c>
      <c r="U358" s="1"/>
      <c r="V358" s="1" t="s">
        <v>6643</v>
      </c>
      <c r="W358" s="1" t="s">
        <v>6644</v>
      </c>
      <c r="X358" s="1" t="s">
        <v>6645</v>
      </c>
      <c r="Y358" s="1" t="s">
        <v>6646</v>
      </c>
      <c r="Z358" s="1" t="s">
        <v>6647</v>
      </c>
      <c r="AA358" s="1" t="s">
        <v>6648</v>
      </c>
      <c r="AB358" s="1"/>
      <c r="AC358" s="1" t="s">
        <v>6649</v>
      </c>
      <c r="AD358" s="1" t="s">
        <v>6649</v>
      </c>
      <c r="AE358" s="1" t="s">
        <v>6650</v>
      </c>
      <c r="AF358" s="1"/>
      <c r="AG358" s="1" t="n">
        <v>27</v>
      </c>
      <c r="AH358" s="1" t="n">
        <v>1</v>
      </c>
      <c r="AI358" s="1" t="n">
        <v>1</v>
      </c>
      <c r="AJ358" s="1" t="n">
        <v>1</v>
      </c>
      <c r="AK358" s="1" t="n">
        <v>1</v>
      </c>
      <c r="AL358" s="1" t="s">
        <v>172</v>
      </c>
      <c r="AM358" s="1" t="s">
        <v>173</v>
      </c>
      <c r="AN358" s="1" t="s">
        <v>174</v>
      </c>
      <c r="AO358" s="1" t="s">
        <v>6651</v>
      </c>
      <c r="AP358" s="1"/>
      <c r="AQ358" s="1" t="s">
        <v>6652</v>
      </c>
      <c r="AR358" s="1" t="s">
        <v>6653</v>
      </c>
      <c r="AS358" s="1"/>
      <c r="AT358" s="1"/>
      <c r="AU358" s="1" t="n">
        <v>2021</v>
      </c>
      <c r="AV358" s="1"/>
      <c r="AW358" s="1"/>
      <c r="AX358" s="1"/>
      <c r="AY358" s="1"/>
      <c r="AZ358" s="1"/>
      <c r="BA358" s="1"/>
      <c r="BB358" s="1" t="n">
        <v>340</v>
      </c>
      <c r="BC358" s="1" t="n">
        <v>350</v>
      </c>
      <c r="BD358" s="1"/>
      <c r="BE358" s="1" t="s">
        <v>6654</v>
      </c>
      <c r="BF358" s="1" t="str">
        <f aca="false">HYPERLINK("http://dx.doi.org/10.1109/ICST49551.2021.00046","http://dx.doi.org/10.1109/ICST49551.2021.00046")</f>
        <v>http://dx.doi.org/10.1109/ICST49551.2021.00046</v>
      </c>
      <c r="BG358" s="1"/>
      <c r="BH358" s="1"/>
      <c r="BI358" s="1" t="n">
        <v>11</v>
      </c>
      <c r="BJ358" s="1" t="s">
        <v>994</v>
      </c>
      <c r="BK358" s="1" t="s">
        <v>100</v>
      </c>
      <c r="BL358" s="1" t="s">
        <v>101</v>
      </c>
      <c r="BM358" s="1" t="s">
        <v>6655</v>
      </c>
      <c r="BN358" s="1"/>
      <c r="BO358" s="1" t="s">
        <v>179</v>
      </c>
      <c r="BP358" s="1"/>
      <c r="BQ358" s="1"/>
      <c r="BR358" s="1" t="s">
        <v>103</v>
      </c>
      <c r="BS358" s="1" t="s">
        <v>6656</v>
      </c>
      <c r="BT358" s="1" t="str">
        <f aca="false">HYPERLINK("https%3A%2F%2Fwww.webofscience.com%2Fwos%2Fwoscc%2Ffull-record%2FWOS:000680831800034","View Full Record in Web of Science")</f>
        <v>View Full Record in Web of Science</v>
      </c>
    </row>
    <row r="359" customFormat="false" ht="12.75" hidden="false" customHeight="false" outlineLevel="0" collapsed="false">
      <c r="A359" s="1" t="s">
        <v>181</v>
      </c>
      <c r="B359" s="1" t="s">
        <v>6657</v>
      </c>
      <c r="C359" s="1"/>
      <c r="D359" s="1"/>
      <c r="E359" s="1"/>
      <c r="F359" s="1" t="s">
        <v>6658</v>
      </c>
      <c r="G359" s="1"/>
      <c r="H359" s="1"/>
      <c r="I359" s="1" t="s">
        <v>6659</v>
      </c>
      <c r="J359" s="1" t="s">
        <v>1378</v>
      </c>
      <c r="K359" s="1"/>
      <c r="L359" s="1"/>
      <c r="M359" s="1" t="s">
        <v>78</v>
      </c>
      <c r="N359" s="1" t="s">
        <v>186</v>
      </c>
      <c r="O359" s="1"/>
      <c r="P359" s="1"/>
      <c r="Q359" s="1"/>
      <c r="R359" s="1"/>
      <c r="S359" s="1"/>
      <c r="T359" s="1" t="s">
        <v>6660</v>
      </c>
      <c r="U359" s="1"/>
      <c r="V359" s="1" t="s">
        <v>6661</v>
      </c>
      <c r="W359" s="1" t="s">
        <v>6662</v>
      </c>
      <c r="X359" s="1" t="s">
        <v>86</v>
      </c>
      <c r="Y359" s="1" t="s">
        <v>6663</v>
      </c>
      <c r="Z359" s="1" t="s">
        <v>6664</v>
      </c>
      <c r="AA359" s="1" t="s">
        <v>6665</v>
      </c>
      <c r="AB359" s="1" t="s">
        <v>6666</v>
      </c>
      <c r="AC359" s="1" t="s">
        <v>6667</v>
      </c>
      <c r="AD359" s="1" t="s">
        <v>6668</v>
      </c>
      <c r="AE359" s="1" t="s">
        <v>6669</v>
      </c>
      <c r="AF359" s="1"/>
      <c r="AG359" s="1" t="n">
        <v>59</v>
      </c>
      <c r="AH359" s="1" t="n">
        <v>37</v>
      </c>
      <c r="AI359" s="1" t="n">
        <v>39</v>
      </c>
      <c r="AJ359" s="1" t="n">
        <v>1</v>
      </c>
      <c r="AK359" s="1" t="n">
        <v>4</v>
      </c>
      <c r="AL359" s="1" t="s">
        <v>893</v>
      </c>
      <c r="AM359" s="1" t="s">
        <v>894</v>
      </c>
      <c r="AN359" s="1" t="s">
        <v>895</v>
      </c>
      <c r="AO359" s="1" t="s">
        <v>1387</v>
      </c>
      <c r="AP359" s="1" t="s">
        <v>1388</v>
      </c>
      <c r="AQ359" s="1"/>
      <c r="AR359" s="1" t="s">
        <v>1389</v>
      </c>
      <c r="AS359" s="1" t="s">
        <v>1390</v>
      </c>
      <c r="AT359" s="1" t="s">
        <v>277</v>
      </c>
      <c r="AU359" s="1" t="n">
        <v>2020</v>
      </c>
      <c r="AV359" s="1" t="n">
        <v>119</v>
      </c>
      <c r="AW359" s="1"/>
      <c r="AX359" s="1"/>
      <c r="AY359" s="1"/>
      <c r="AZ359" s="1"/>
      <c r="BA359" s="1"/>
      <c r="BB359" s="1"/>
      <c r="BC359" s="1"/>
      <c r="BD359" s="1" t="n">
        <v>106240</v>
      </c>
      <c r="BE359" s="1" t="s">
        <v>6670</v>
      </c>
      <c r="BF359" s="1" t="str">
        <f aca="false">HYPERLINK("http://dx.doi.org/10.1016/j.infsof.2019.106240","http://dx.doi.org/10.1016/j.infsof.2019.106240")</f>
        <v>http://dx.doi.org/10.1016/j.infsof.2019.106240</v>
      </c>
      <c r="BG359" s="1"/>
      <c r="BH359" s="1"/>
      <c r="BI359" s="1" t="n">
        <v>21</v>
      </c>
      <c r="BJ359" s="1" t="s">
        <v>1394</v>
      </c>
      <c r="BK359" s="1" t="s">
        <v>204</v>
      </c>
      <c r="BL359" s="1" t="s">
        <v>101</v>
      </c>
      <c r="BM359" s="1" t="s">
        <v>6671</v>
      </c>
      <c r="BN359" s="1"/>
      <c r="BO359" s="1" t="s">
        <v>227</v>
      </c>
      <c r="BP359" s="1"/>
      <c r="BQ359" s="1"/>
      <c r="BR359" s="1" t="s">
        <v>103</v>
      </c>
      <c r="BS359" s="1" t="s">
        <v>6672</v>
      </c>
      <c r="BT359" s="1" t="str">
        <f aca="false">HYPERLINK("https%3A%2F%2Fwww.webofscience.com%2Fwos%2Fwoscc%2Ffull-record%2FWOS:000513290100009","View Full Record in Web of Science")</f>
        <v>View Full Record in Web of Science</v>
      </c>
    </row>
    <row r="360" customFormat="false" ht="12.75" hidden="false" customHeight="false" outlineLevel="0" collapsed="false">
      <c r="A360" s="1" t="s">
        <v>181</v>
      </c>
      <c r="B360" s="1" t="s">
        <v>6673</v>
      </c>
      <c r="C360" s="1"/>
      <c r="D360" s="1"/>
      <c r="E360" s="1"/>
      <c r="F360" s="1" t="s">
        <v>6674</v>
      </c>
      <c r="G360" s="1"/>
      <c r="H360" s="1"/>
      <c r="I360" s="1" t="s">
        <v>6675</v>
      </c>
      <c r="J360" s="1" t="s">
        <v>6676</v>
      </c>
      <c r="K360" s="1"/>
      <c r="L360" s="1"/>
      <c r="M360" s="1" t="s">
        <v>78</v>
      </c>
      <c r="N360" s="1" t="s">
        <v>186</v>
      </c>
      <c r="O360" s="1"/>
      <c r="P360" s="1"/>
      <c r="Q360" s="1"/>
      <c r="R360" s="1"/>
      <c r="S360" s="1"/>
      <c r="T360" s="1" t="s">
        <v>6677</v>
      </c>
      <c r="U360" s="1" t="s">
        <v>6678</v>
      </c>
      <c r="V360" s="1" t="s">
        <v>6679</v>
      </c>
      <c r="W360" s="1" t="s">
        <v>6680</v>
      </c>
      <c r="X360" s="1" t="s">
        <v>5576</v>
      </c>
      <c r="Y360" s="1" t="s">
        <v>6681</v>
      </c>
      <c r="Z360" s="1" t="s">
        <v>6682</v>
      </c>
      <c r="AA360" s="1" t="s">
        <v>6683</v>
      </c>
      <c r="AB360" s="1" t="s">
        <v>6684</v>
      </c>
      <c r="AC360" s="1" t="s">
        <v>6685</v>
      </c>
      <c r="AD360" s="1" t="s">
        <v>6685</v>
      </c>
      <c r="AE360" s="1" t="s">
        <v>6686</v>
      </c>
      <c r="AF360" s="1"/>
      <c r="AG360" s="1" t="n">
        <v>44</v>
      </c>
      <c r="AH360" s="1" t="n">
        <v>1</v>
      </c>
      <c r="AI360" s="1" t="n">
        <v>1</v>
      </c>
      <c r="AJ360" s="1" t="n">
        <v>1</v>
      </c>
      <c r="AK360" s="1" t="n">
        <v>7</v>
      </c>
      <c r="AL360" s="1" t="s">
        <v>1355</v>
      </c>
      <c r="AM360" s="1" t="s">
        <v>1356</v>
      </c>
      <c r="AN360" s="1" t="s">
        <v>1357</v>
      </c>
      <c r="AO360" s="1" t="s">
        <v>6687</v>
      </c>
      <c r="AP360" s="1" t="s">
        <v>6688</v>
      </c>
      <c r="AQ360" s="1"/>
      <c r="AR360" s="1" t="s">
        <v>6689</v>
      </c>
      <c r="AS360" s="1" t="s">
        <v>6690</v>
      </c>
      <c r="AT360" s="1"/>
      <c r="AU360" s="1" t="n">
        <v>2023</v>
      </c>
      <c r="AV360" s="1" t="n">
        <v>14</v>
      </c>
      <c r="AW360" s="1"/>
      <c r="AX360" s="1"/>
      <c r="AY360" s="1"/>
      <c r="AZ360" s="1"/>
      <c r="BA360" s="1"/>
      <c r="BB360" s="1"/>
      <c r="BC360" s="1"/>
      <c r="BD360" s="1" t="n">
        <v>21501319231198600</v>
      </c>
      <c r="BE360" s="1" t="s">
        <v>6691</v>
      </c>
      <c r="BF360" s="1" t="str">
        <f aca="false">HYPERLINK("http://dx.doi.org/10.1177/21501319231198644","http://dx.doi.org/10.1177/21501319231198644")</f>
        <v>http://dx.doi.org/10.1177/21501319231198644</v>
      </c>
      <c r="BG360" s="1"/>
      <c r="BH360" s="1"/>
      <c r="BI360" s="1" t="n">
        <v>9</v>
      </c>
      <c r="BJ360" s="1" t="s">
        <v>6692</v>
      </c>
      <c r="BK360" s="1" t="s">
        <v>253</v>
      </c>
      <c r="BL360" s="1" t="s">
        <v>6693</v>
      </c>
      <c r="BM360" s="1" t="s">
        <v>6694</v>
      </c>
      <c r="BN360" s="1" t="n">
        <v>37698121</v>
      </c>
      <c r="BO360" s="1" t="s">
        <v>401</v>
      </c>
      <c r="BP360" s="1"/>
      <c r="BQ360" s="1"/>
      <c r="BR360" s="1" t="s">
        <v>103</v>
      </c>
      <c r="BS360" s="1" t="s">
        <v>6695</v>
      </c>
      <c r="BT360" s="1" t="str">
        <f aca="false">HYPERLINK("https%3A%2F%2Fwww.webofscience.com%2Fwos%2Fwoscc%2Ffull-record%2FWOS:001064610600001","View Full Record in Web of Science")</f>
        <v>View Full Record in Web of Science</v>
      </c>
    </row>
    <row r="361" customFormat="false" ht="12.75" hidden="false" customHeight="false" outlineLevel="0" collapsed="false">
      <c r="A361" s="1" t="s">
        <v>72</v>
      </c>
      <c r="B361" s="1" t="s">
        <v>6696</v>
      </c>
      <c r="C361" s="1"/>
      <c r="D361" s="1"/>
      <c r="E361" s="1" t="s">
        <v>106</v>
      </c>
      <c r="F361" s="1" t="s">
        <v>6697</v>
      </c>
      <c r="G361" s="1"/>
      <c r="H361" s="1"/>
      <c r="I361" s="1" t="s">
        <v>6698</v>
      </c>
      <c r="J361" s="1" t="s">
        <v>6699</v>
      </c>
      <c r="K361" s="1" t="s">
        <v>1324</v>
      </c>
      <c r="L361" s="1"/>
      <c r="M361" s="1" t="s">
        <v>78</v>
      </c>
      <c r="N361" s="1" t="s">
        <v>79</v>
      </c>
      <c r="O361" s="1" t="s">
        <v>6700</v>
      </c>
      <c r="P361" s="1" t="s">
        <v>6701</v>
      </c>
      <c r="Q361" s="1" t="s">
        <v>6702</v>
      </c>
      <c r="R361" s="1" t="s">
        <v>6703</v>
      </c>
      <c r="S361" s="1" t="s">
        <v>6704</v>
      </c>
      <c r="T361" s="1"/>
      <c r="U361" s="1"/>
      <c r="V361" s="1" t="s">
        <v>6705</v>
      </c>
      <c r="W361" s="1" t="s">
        <v>6706</v>
      </c>
      <c r="X361" s="1" t="s">
        <v>4809</v>
      </c>
      <c r="Y361" s="1" t="s">
        <v>143</v>
      </c>
      <c r="Z361" s="1" t="s">
        <v>6707</v>
      </c>
      <c r="AA361" s="1" t="s">
        <v>6708</v>
      </c>
      <c r="AB361" s="1"/>
      <c r="AC361" s="1" t="s">
        <v>6709</v>
      </c>
      <c r="AD361" s="1" t="s">
        <v>6710</v>
      </c>
      <c r="AE361" s="1" t="s">
        <v>6711</v>
      </c>
      <c r="AF361" s="1"/>
      <c r="AG361" s="1" t="n">
        <v>12</v>
      </c>
      <c r="AH361" s="1" t="n">
        <v>0</v>
      </c>
      <c r="AI361" s="1" t="n">
        <v>0</v>
      </c>
      <c r="AJ361" s="1" t="n">
        <v>0</v>
      </c>
      <c r="AK361" s="1" t="n">
        <v>0</v>
      </c>
      <c r="AL361" s="1" t="s">
        <v>106</v>
      </c>
      <c r="AM361" s="1" t="s">
        <v>95</v>
      </c>
      <c r="AN361" s="1" t="s">
        <v>122</v>
      </c>
      <c r="AO361" s="1" t="s">
        <v>1335</v>
      </c>
      <c r="AP361" s="1" t="s">
        <v>1336</v>
      </c>
      <c r="AQ361" s="1" t="s">
        <v>6712</v>
      </c>
      <c r="AR361" s="1" t="s">
        <v>1338</v>
      </c>
      <c r="AS361" s="1"/>
      <c r="AT361" s="1"/>
      <c r="AU361" s="1" t="n">
        <v>2023</v>
      </c>
      <c r="AV361" s="1"/>
      <c r="AW361" s="1"/>
      <c r="AX361" s="1"/>
      <c r="AY361" s="1"/>
      <c r="AZ361" s="1"/>
      <c r="BA361" s="1"/>
      <c r="BB361" s="1" t="n">
        <v>201</v>
      </c>
      <c r="BC361" s="1" t="n">
        <v>204</v>
      </c>
      <c r="BD361" s="1"/>
      <c r="BE361" s="1" t="s">
        <v>6713</v>
      </c>
      <c r="BF361" s="1" t="str">
        <f aca="false">HYPERLINK("http://dx.doi.org/10.1109/QOMEX58391.2023.10178492","http://dx.doi.org/10.1109/QOMEX58391.2023.10178492")</f>
        <v>http://dx.doi.org/10.1109/QOMEX58391.2023.10178492</v>
      </c>
      <c r="BG361" s="1"/>
      <c r="BH361" s="1"/>
      <c r="BI361" s="1" t="n">
        <v>4</v>
      </c>
      <c r="BJ361" s="1" t="s">
        <v>1340</v>
      </c>
      <c r="BK361" s="1" t="s">
        <v>100</v>
      </c>
      <c r="BL361" s="1" t="s">
        <v>1341</v>
      </c>
      <c r="BM361" s="1" t="s">
        <v>6714</v>
      </c>
      <c r="BN361" s="1"/>
      <c r="BO361" s="1"/>
      <c r="BP361" s="1"/>
      <c r="BQ361" s="1"/>
      <c r="BR361" s="1" t="s">
        <v>103</v>
      </c>
      <c r="BS361" s="1" t="s">
        <v>6715</v>
      </c>
      <c r="BT361" s="1" t="str">
        <f aca="false">HYPERLINK("https%3A%2F%2Fwww.webofscience.com%2Fwos%2Fwoscc%2Ffull-record%2FWOS:001037196100040","View Full Record in Web of Science")</f>
        <v>View Full Record in Web of Science</v>
      </c>
    </row>
    <row r="362" customFormat="false" ht="12.75" hidden="false" customHeight="false" outlineLevel="0" collapsed="false">
      <c r="A362" s="1" t="s">
        <v>72</v>
      </c>
      <c r="B362" s="1" t="s">
        <v>6716</v>
      </c>
      <c r="C362" s="1"/>
      <c r="D362" s="1"/>
      <c r="E362" s="1" t="s">
        <v>106</v>
      </c>
      <c r="F362" s="1" t="s">
        <v>6717</v>
      </c>
      <c r="G362" s="1"/>
      <c r="H362" s="1"/>
      <c r="I362" s="1" t="s">
        <v>6718</v>
      </c>
      <c r="J362" s="1" t="s">
        <v>6719</v>
      </c>
      <c r="K362" s="1" t="s">
        <v>6720</v>
      </c>
      <c r="L362" s="1"/>
      <c r="M362" s="1" t="s">
        <v>78</v>
      </c>
      <c r="N362" s="1" t="s">
        <v>79</v>
      </c>
      <c r="O362" s="1" t="s">
        <v>6721</v>
      </c>
      <c r="P362" s="1" t="s">
        <v>6722</v>
      </c>
      <c r="Q362" s="1" t="s">
        <v>6723</v>
      </c>
      <c r="R362" s="1" t="s">
        <v>6724</v>
      </c>
      <c r="S362" s="1" t="s">
        <v>6725</v>
      </c>
      <c r="T362" s="1"/>
      <c r="U362" s="1"/>
      <c r="V362" s="1" t="s">
        <v>6726</v>
      </c>
      <c r="W362" s="1" t="s">
        <v>6727</v>
      </c>
      <c r="X362" s="1" t="s">
        <v>6728</v>
      </c>
      <c r="Y362" s="1" t="s">
        <v>143</v>
      </c>
      <c r="Z362" s="1" t="s">
        <v>6729</v>
      </c>
      <c r="AA362" s="1" t="s">
        <v>145</v>
      </c>
      <c r="AB362" s="1"/>
      <c r="AC362" s="1" t="s">
        <v>6730</v>
      </c>
      <c r="AD362" s="1" t="s">
        <v>6731</v>
      </c>
      <c r="AE362" s="1" t="s">
        <v>6732</v>
      </c>
      <c r="AF362" s="1"/>
      <c r="AG362" s="1" t="n">
        <v>17</v>
      </c>
      <c r="AH362" s="1" t="n">
        <v>4</v>
      </c>
      <c r="AI362" s="1" t="n">
        <v>4</v>
      </c>
      <c r="AJ362" s="1" t="n">
        <v>0</v>
      </c>
      <c r="AK362" s="1" t="n">
        <v>0</v>
      </c>
      <c r="AL362" s="1" t="s">
        <v>106</v>
      </c>
      <c r="AM362" s="1" t="s">
        <v>95</v>
      </c>
      <c r="AN362" s="1" t="s">
        <v>122</v>
      </c>
      <c r="AO362" s="1" t="s">
        <v>6733</v>
      </c>
      <c r="AP362" s="1" t="s">
        <v>6734</v>
      </c>
      <c r="AQ362" s="1" t="s">
        <v>6735</v>
      </c>
      <c r="AR362" s="1" t="s">
        <v>6736</v>
      </c>
      <c r="AS362" s="1"/>
      <c r="AT362" s="1"/>
      <c r="AU362" s="1" t="n">
        <v>2022</v>
      </c>
      <c r="AV362" s="1"/>
      <c r="AW362" s="1"/>
      <c r="AX362" s="1"/>
      <c r="AY362" s="1"/>
      <c r="AZ362" s="1"/>
      <c r="BA362" s="1"/>
      <c r="BB362" s="1" t="n">
        <v>1</v>
      </c>
      <c r="BC362" s="1" t="n">
        <v>6</v>
      </c>
      <c r="BD362" s="1"/>
      <c r="BE362" s="1" t="s">
        <v>6737</v>
      </c>
      <c r="BF362" s="1" t="str">
        <f aca="false">HYPERLINK("http://dx.doi.org/10.1109/ITNAC55475.2022.9998395","http://dx.doi.org/10.1109/ITNAC55475.2022.9998395")</f>
        <v>http://dx.doi.org/10.1109/ITNAC55475.2022.9998395</v>
      </c>
      <c r="BG362" s="1"/>
      <c r="BH362" s="1"/>
      <c r="BI362" s="1" t="n">
        <v>6</v>
      </c>
      <c r="BJ362" s="1" t="s">
        <v>153</v>
      </c>
      <c r="BK362" s="1" t="s">
        <v>100</v>
      </c>
      <c r="BL362" s="1" t="s">
        <v>154</v>
      </c>
      <c r="BM362" s="1" t="s">
        <v>6738</v>
      </c>
      <c r="BN362" s="1"/>
      <c r="BO362" s="1"/>
      <c r="BP362" s="1"/>
      <c r="BQ362" s="1"/>
      <c r="BR362" s="1" t="s">
        <v>103</v>
      </c>
      <c r="BS362" s="1" t="s">
        <v>6739</v>
      </c>
      <c r="BT362" s="1" t="str">
        <f aca="false">HYPERLINK("https%3A%2F%2Fwww.webofscience.com%2Fwos%2Fwoscc%2Ffull-record%2FWOS:000930821700001","View Full Record in Web of Science")</f>
        <v>View Full Record in Web of Science</v>
      </c>
    </row>
    <row r="363" customFormat="false" ht="12.75" hidden="false" customHeight="false" outlineLevel="0" collapsed="false">
      <c r="A363" s="1" t="s">
        <v>181</v>
      </c>
      <c r="B363" s="1" t="s">
        <v>6740</v>
      </c>
      <c r="C363" s="1"/>
      <c r="D363" s="1"/>
      <c r="E363" s="1"/>
      <c r="F363" s="1" t="s">
        <v>6741</v>
      </c>
      <c r="G363" s="1"/>
      <c r="H363" s="1"/>
      <c r="I363" s="1" t="s">
        <v>6742</v>
      </c>
      <c r="J363" s="1" t="s">
        <v>6743</v>
      </c>
      <c r="K363" s="1"/>
      <c r="L363" s="1"/>
      <c r="M363" s="1" t="s">
        <v>78</v>
      </c>
      <c r="N363" s="1" t="s">
        <v>186</v>
      </c>
      <c r="O363" s="1"/>
      <c r="P363" s="1"/>
      <c r="Q363" s="1"/>
      <c r="R363" s="1"/>
      <c r="S363" s="1"/>
      <c r="T363" s="1" t="s">
        <v>6744</v>
      </c>
      <c r="U363" s="1" t="s">
        <v>6745</v>
      </c>
      <c r="V363" s="1" t="s">
        <v>6746</v>
      </c>
      <c r="W363" s="1" t="s">
        <v>6747</v>
      </c>
      <c r="X363" s="1" t="s">
        <v>6748</v>
      </c>
      <c r="Y363" s="1" t="s">
        <v>6749</v>
      </c>
      <c r="Z363" s="1" t="s">
        <v>6750</v>
      </c>
      <c r="AA363" s="1" t="s">
        <v>6751</v>
      </c>
      <c r="AB363" s="1" t="s">
        <v>6752</v>
      </c>
      <c r="AC363" s="1" t="s">
        <v>6753</v>
      </c>
      <c r="AD363" s="1" t="s">
        <v>6754</v>
      </c>
      <c r="AE363" s="1" t="s">
        <v>6755</v>
      </c>
      <c r="AF363" s="1"/>
      <c r="AG363" s="1" t="n">
        <v>83</v>
      </c>
      <c r="AH363" s="1" t="n">
        <v>19</v>
      </c>
      <c r="AI363" s="1" t="n">
        <v>19</v>
      </c>
      <c r="AJ363" s="1" t="n">
        <v>9</v>
      </c>
      <c r="AK363" s="1" t="n">
        <v>43</v>
      </c>
      <c r="AL363" s="1" t="s">
        <v>1651</v>
      </c>
      <c r="AM363" s="1" t="s">
        <v>1026</v>
      </c>
      <c r="AN363" s="1" t="s">
        <v>1652</v>
      </c>
      <c r="AO363" s="1" t="s">
        <v>6756</v>
      </c>
      <c r="AP363" s="1" t="s">
        <v>6757</v>
      </c>
      <c r="AQ363" s="1"/>
      <c r="AR363" s="1" t="s">
        <v>6758</v>
      </c>
      <c r="AS363" s="1" t="s">
        <v>6759</v>
      </c>
      <c r="AT363" s="1" t="s">
        <v>277</v>
      </c>
      <c r="AU363" s="1" t="n">
        <v>2020</v>
      </c>
      <c r="AV363" s="1" t="n">
        <v>102</v>
      </c>
      <c r="AW363" s="1"/>
      <c r="AX363" s="1"/>
      <c r="AY363" s="1"/>
      <c r="AZ363" s="1"/>
      <c r="BA363" s="1"/>
      <c r="BB363" s="1"/>
      <c r="BC363" s="1"/>
      <c r="BD363" s="1" t="n">
        <v>106203</v>
      </c>
      <c r="BE363" s="1" t="s">
        <v>6760</v>
      </c>
      <c r="BF363" s="1" t="str">
        <f aca="false">HYPERLINK("http://dx.doi.org/10.1016/j.addbeh.2019.106203","http://dx.doi.org/10.1016/j.addbeh.2019.106203")</f>
        <v>http://dx.doi.org/10.1016/j.addbeh.2019.106203</v>
      </c>
      <c r="BG363" s="1"/>
      <c r="BH363" s="1"/>
      <c r="BI363" s="1" t="n">
        <v>9</v>
      </c>
      <c r="BJ363" s="1" t="s">
        <v>6761</v>
      </c>
      <c r="BK363" s="1" t="s">
        <v>398</v>
      </c>
      <c r="BL363" s="1" t="s">
        <v>6762</v>
      </c>
      <c r="BM363" s="1" t="s">
        <v>6763</v>
      </c>
      <c r="BN363" s="1" t="n">
        <v>31801104</v>
      </c>
      <c r="BO363" s="1"/>
      <c r="BP363" s="1"/>
      <c r="BQ363" s="1"/>
      <c r="BR363" s="1" t="s">
        <v>103</v>
      </c>
      <c r="BS363" s="1" t="s">
        <v>6764</v>
      </c>
      <c r="BT363" s="1" t="str">
        <f aca="false">HYPERLINK("https%3A%2F%2Fwww.webofscience.com%2Fwos%2Fwoscc%2Ffull-record%2FWOS:000508761500046","View Full Record in Web of Science")</f>
        <v>View Full Record in Web of Science</v>
      </c>
    </row>
    <row r="364" customFormat="false" ht="12.75" hidden="false" customHeight="false" outlineLevel="0" collapsed="false">
      <c r="A364" s="1" t="s">
        <v>181</v>
      </c>
      <c r="B364" s="1" t="s">
        <v>6765</v>
      </c>
      <c r="C364" s="1"/>
      <c r="D364" s="1"/>
      <c r="E364" s="1"/>
      <c r="F364" s="1" t="s">
        <v>6766</v>
      </c>
      <c r="G364" s="1"/>
      <c r="H364" s="1"/>
      <c r="I364" s="1" t="s">
        <v>6767</v>
      </c>
      <c r="J364" s="1" t="s">
        <v>6768</v>
      </c>
      <c r="K364" s="1"/>
      <c r="L364" s="1"/>
      <c r="M364" s="1" t="s">
        <v>78</v>
      </c>
      <c r="N364" s="1" t="s">
        <v>186</v>
      </c>
      <c r="O364" s="1"/>
      <c r="P364" s="1"/>
      <c r="Q364" s="1"/>
      <c r="R364" s="1"/>
      <c r="S364" s="1"/>
      <c r="T364" s="1" t="s">
        <v>6769</v>
      </c>
      <c r="U364" s="1"/>
      <c r="V364" s="1" t="s">
        <v>6770</v>
      </c>
      <c r="W364" s="1" t="s">
        <v>6771</v>
      </c>
      <c r="X364" s="1" t="s">
        <v>4809</v>
      </c>
      <c r="Y364" s="1" t="s">
        <v>6772</v>
      </c>
      <c r="Z364" s="1" t="s">
        <v>6773</v>
      </c>
      <c r="AA364" s="1" t="s">
        <v>5083</v>
      </c>
      <c r="AB364" s="1" t="s">
        <v>6774</v>
      </c>
      <c r="AC364" s="1" t="s">
        <v>6775</v>
      </c>
      <c r="AD364" s="1" t="s">
        <v>6776</v>
      </c>
      <c r="AE364" s="1" t="s">
        <v>6777</v>
      </c>
      <c r="AF364" s="1"/>
      <c r="AG364" s="1" t="n">
        <v>29</v>
      </c>
      <c r="AH364" s="1" t="n">
        <v>7</v>
      </c>
      <c r="AI364" s="1" t="n">
        <v>7</v>
      </c>
      <c r="AJ364" s="1" t="n">
        <v>0</v>
      </c>
      <c r="AK364" s="1" t="n">
        <v>4</v>
      </c>
      <c r="AL364" s="1" t="s">
        <v>2761</v>
      </c>
      <c r="AM364" s="1" t="s">
        <v>1908</v>
      </c>
      <c r="AN364" s="1" t="s">
        <v>2762</v>
      </c>
      <c r="AO364" s="1" t="s">
        <v>6778</v>
      </c>
      <c r="AP364" s="1" t="s">
        <v>6779</v>
      </c>
      <c r="AQ364" s="1"/>
      <c r="AR364" s="1" t="s">
        <v>6780</v>
      </c>
      <c r="AS364" s="1" t="s">
        <v>6781</v>
      </c>
      <c r="AT364" s="1" t="s">
        <v>537</v>
      </c>
      <c r="AU364" s="1" t="n">
        <v>2020</v>
      </c>
      <c r="AV364" s="1" t="n">
        <v>62</v>
      </c>
      <c r="AW364" s="1" t="n">
        <v>2</v>
      </c>
      <c r="AX364" s="1"/>
      <c r="AY364" s="1"/>
      <c r="AZ364" s="1"/>
      <c r="BA364" s="1"/>
      <c r="BB364" s="1" t="n">
        <v>669</v>
      </c>
      <c r="BC364" s="1" t="n">
        <v>686</v>
      </c>
      <c r="BD364" s="1"/>
      <c r="BE364" s="1" t="s">
        <v>6782</v>
      </c>
      <c r="BF364" s="1" t="str">
        <f aca="false">HYPERLINK("http://dx.doi.org/10.1007/s10115-019-01365-y","http://dx.doi.org/10.1007/s10115-019-01365-y")</f>
        <v>http://dx.doi.org/10.1007/s10115-019-01365-y</v>
      </c>
      <c r="BG364" s="1"/>
      <c r="BH364" s="1"/>
      <c r="BI364" s="1" t="n">
        <v>18</v>
      </c>
      <c r="BJ364" s="1" t="s">
        <v>6783</v>
      </c>
      <c r="BK364" s="1" t="s">
        <v>204</v>
      </c>
      <c r="BL364" s="1" t="s">
        <v>101</v>
      </c>
      <c r="BM364" s="1" t="s">
        <v>6784</v>
      </c>
      <c r="BN364" s="1"/>
      <c r="BO364" s="1" t="s">
        <v>282</v>
      </c>
      <c r="BP364" s="1"/>
      <c r="BQ364" s="1"/>
      <c r="BR364" s="1" t="s">
        <v>103</v>
      </c>
      <c r="BS364" s="1" t="s">
        <v>6785</v>
      </c>
      <c r="BT364" s="1" t="str">
        <f aca="false">HYPERLINK("https%3A%2F%2Fwww.webofscience.com%2Fwos%2Fwoscc%2Ffull-record%2FWOS:000512784400009","View Full Record in Web of Science")</f>
        <v>View Full Record in Web of Science</v>
      </c>
    </row>
    <row r="365" customFormat="false" ht="12.75" hidden="false" customHeight="false" outlineLevel="0" collapsed="false">
      <c r="A365" s="1" t="s">
        <v>181</v>
      </c>
      <c r="B365" s="1" t="s">
        <v>6786</v>
      </c>
      <c r="C365" s="1"/>
      <c r="D365" s="1"/>
      <c r="E365" s="1"/>
      <c r="F365" s="1" t="s">
        <v>6787</v>
      </c>
      <c r="G365" s="1"/>
      <c r="H365" s="1"/>
      <c r="I365" s="1" t="s">
        <v>6788</v>
      </c>
      <c r="J365" s="1" t="s">
        <v>6789</v>
      </c>
      <c r="K365" s="1"/>
      <c r="L365" s="1"/>
      <c r="M365" s="1" t="s">
        <v>78</v>
      </c>
      <c r="N365" s="1" t="s">
        <v>186</v>
      </c>
      <c r="O365" s="1"/>
      <c r="P365" s="1"/>
      <c r="Q365" s="1"/>
      <c r="R365" s="1"/>
      <c r="S365" s="1"/>
      <c r="T365" s="1" t="s">
        <v>6790</v>
      </c>
      <c r="U365" s="1" t="s">
        <v>6791</v>
      </c>
      <c r="V365" s="1" t="s">
        <v>6792</v>
      </c>
      <c r="W365" s="1" t="s">
        <v>6793</v>
      </c>
      <c r="X365" s="1" t="s">
        <v>6794</v>
      </c>
      <c r="Y365" s="1" t="s">
        <v>6795</v>
      </c>
      <c r="Z365" s="1" t="s">
        <v>6796</v>
      </c>
      <c r="AA365" s="1" t="s">
        <v>6797</v>
      </c>
      <c r="AB365" s="1" t="s">
        <v>6798</v>
      </c>
      <c r="AC365" s="1" t="s">
        <v>6799</v>
      </c>
      <c r="AD365" s="1" t="s">
        <v>6800</v>
      </c>
      <c r="AE365" s="1" t="s">
        <v>6801</v>
      </c>
      <c r="AF365" s="1"/>
      <c r="AG365" s="1" t="n">
        <v>162</v>
      </c>
      <c r="AH365" s="1" t="n">
        <v>7</v>
      </c>
      <c r="AI365" s="1" t="n">
        <v>7</v>
      </c>
      <c r="AJ365" s="1" t="n">
        <v>20</v>
      </c>
      <c r="AK365" s="1" t="n">
        <v>45</v>
      </c>
      <c r="AL365" s="1" t="s">
        <v>94</v>
      </c>
      <c r="AM365" s="1" t="s">
        <v>95</v>
      </c>
      <c r="AN365" s="1" t="s">
        <v>826</v>
      </c>
      <c r="AO365" s="1" t="s">
        <v>6802</v>
      </c>
      <c r="AP365" s="1"/>
      <c r="AQ365" s="1"/>
      <c r="AR365" s="1" t="s">
        <v>6803</v>
      </c>
      <c r="AS365" s="1" t="s">
        <v>6804</v>
      </c>
      <c r="AT365" s="1" t="s">
        <v>2698</v>
      </c>
      <c r="AU365" s="1" t="n">
        <v>2023</v>
      </c>
      <c r="AV365" s="1" t="n">
        <v>23</v>
      </c>
      <c r="AW365" s="1" t="n">
        <v>2</v>
      </c>
      <c r="AX365" s="1"/>
      <c r="AY365" s="1"/>
      <c r="AZ365" s="1"/>
      <c r="BA365" s="1"/>
      <c r="BB365" s="1"/>
      <c r="BC365" s="1"/>
      <c r="BD365" s="1" t="n">
        <v>25</v>
      </c>
      <c r="BE365" s="1" t="s">
        <v>6805</v>
      </c>
      <c r="BF365" s="1" t="str">
        <f aca="false">HYPERLINK("http://dx.doi.org/10.1145/3573205","http://dx.doi.org/10.1145/3573205")</f>
        <v>http://dx.doi.org/10.1145/3573205</v>
      </c>
      <c r="BG365" s="1"/>
      <c r="BH365" s="1"/>
      <c r="BI365" s="1" t="n">
        <v>33</v>
      </c>
      <c r="BJ365" s="1" t="s">
        <v>6806</v>
      </c>
      <c r="BK365" s="1" t="s">
        <v>204</v>
      </c>
      <c r="BL365" s="1" t="s">
        <v>924</v>
      </c>
      <c r="BM365" s="1" t="s">
        <v>6807</v>
      </c>
      <c r="BN365" s="1"/>
      <c r="BO365" s="1" t="s">
        <v>2258</v>
      </c>
      <c r="BP365" s="1"/>
      <c r="BQ365" s="1"/>
      <c r="BR365" s="1" t="s">
        <v>103</v>
      </c>
      <c r="BS365" s="1" t="s">
        <v>6808</v>
      </c>
      <c r="BT365" s="1" t="str">
        <f aca="false">HYPERLINK("https%3A%2F%2Fwww.webofscience.com%2Fwos%2Fwoscc%2Ffull-record%2FWOS:001018474800009","View Full Record in Web of Science")</f>
        <v>View Full Record in Web of Science</v>
      </c>
    </row>
    <row r="366" customFormat="false" ht="12.75" hidden="false" customHeight="false" outlineLevel="0" collapsed="false">
      <c r="A366" s="1" t="s">
        <v>72</v>
      </c>
      <c r="B366" s="1" t="s">
        <v>6809</v>
      </c>
      <c r="C366" s="1"/>
      <c r="D366" s="1" t="s">
        <v>494</v>
      </c>
      <c r="E366" s="1"/>
      <c r="F366" s="1" t="s">
        <v>6810</v>
      </c>
      <c r="G366" s="1"/>
      <c r="H366" s="1"/>
      <c r="I366" s="1" t="s">
        <v>6811</v>
      </c>
      <c r="J366" s="1" t="s">
        <v>497</v>
      </c>
      <c r="K366" s="1" t="s">
        <v>498</v>
      </c>
      <c r="L366" s="1"/>
      <c r="M366" s="1" t="s">
        <v>78</v>
      </c>
      <c r="N366" s="1" t="s">
        <v>79</v>
      </c>
      <c r="O366" s="1" t="s">
        <v>499</v>
      </c>
      <c r="P366" s="1" t="s">
        <v>500</v>
      </c>
      <c r="Q366" s="1" t="s">
        <v>501</v>
      </c>
      <c r="R366" s="1"/>
      <c r="S366" s="1"/>
      <c r="T366" s="1" t="s">
        <v>6812</v>
      </c>
      <c r="U366" s="1"/>
      <c r="V366" s="1" t="s">
        <v>6813</v>
      </c>
      <c r="W366" s="1" t="s">
        <v>6814</v>
      </c>
      <c r="X366" s="1" t="s">
        <v>4095</v>
      </c>
      <c r="Y366" s="1" t="s">
        <v>5038</v>
      </c>
      <c r="Z366" s="1" t="s">
        <v>4278</v>
      </c>
      <c r="AA366" s="1"/>
      <c r="AB366" s="1"/>
      <c r="AC366" s="1" t="s">
        <v>6815</v>
      </c>
      <c r="AD366" s="1" t="s">
        <v>6816</v>
      </c>
      <c r="AE366" s="1" t="s">
        <v>6817</v>
      </c>
      <c r="AF366" s="1"/>
      <c r="AG366" s="1" t="n">
        <v>21</v>
      </c>
      <c r="AH366" s="1" t="n">
        <v>1</v>
      </c>
      <c r="AI366" s="1" t="n">
        <v>1</v>
      </c>
      <c r="AJ366" s="1" t="n">
        <v>4</v>
      </c>
      <c r="AK366" s="1" t="n">
        <v>4</v>
      </c>
      <c r="AL366" s="1" t="s">
        <v>302</v>
      </c>
      <c r="AM366" s="1" t="s">
        <v>303</v>
      </c>
      <c r="AN366" s="1" t="s">
        <v>304</v>
      </c>
      <c r="AO366" s="1" t="s">
        <v>512</v>
      </c>
      <c r="AP366" s="1" t="s">
        <v>513</v>
      </c>
      <c r="AQ366" s="1" t="s">
        <v>514</v>
      </c>
      <c r="AR366" s="1" t="s">
        <v>515</v>
      </c>
      <c r="AS366" s="1"/>
      <c r="AT366" s="1"/>
      <c r="AU366" s="1" t="n">
        <v>2023</v>
      </c>
      <c r="AV366" s="1" t="n">
        <v>472</v>
      </c>
      <c r="AW366" s="1"/>
      <c r="AX366" s="1"/>
      <c r="AY366" s="1"/>
      <c r="AZ366" s="1"/>
      <c r="BA366" s="1"/>
      <c r="BB366" s="1" t="n">
        <v>3</v>
      </c>
      <c r="BC366" s="1" t="n">
        <v>13</v>
      </c>
      <c r="BD366" s="1"/>
      <c r="BE366" s="1" t="s">
        <v>6818</v>
      </c>
      <c r="BF366" s="1" t="str">
        <f aca="false">HYPERLINK("http://dx.doi.org/10.1007/978-3-031-31488-9_1","http://dx.doi.org/10.1007/978-3-031-31488-9_1")</f>
        <v>http://dx.doi.org/10.1007/978-3-031-31488-9_1</v>
      </c>
      <c r="BG366" s="1"/>
      <c r="BH366" s="1"/>
      <c r="BI366" s="1" t="n">
        <v>11</v>
      </c>
      <c r="BJ366" s="1" t="s">
        <v>517</v>
      </c>
      <c r="BK366" s="1" t="s">
        <v>100</v>
      </c>
      <c r="BL366" s="1" t="s">
        <v>101</v>
      </c>
      <c r="BM366" s="1" t="s">
        <v>518</v>
      </c>
      <c r="BN366" s="1"/>
      <c r="BO366" s="1"/>
      <c r="BP366" s="1"/>
      <c r="BQ366" s="1"/>
      <c r="BR366" s="1" t="s">
        <v>103</v>
      </c>
      <c r="BS366" s="1" t="s">
        <v>6819</v>
      </c>
      <c r="BT366" s="1" t="str">
        <f aca="false">HYPERLINK("https%3A%2F%2Fwww.webofscience.com%2Fwos%2Fwoscc%2Ffull-record%2FWOS:001269092500001","View Full Record in Web of Science")</f>
        <v>View Full Record in Web of Science</v>
      </c>
    </row>
    <row r="367" customFormat="false" ht="12.75" hidden="false" customHeight="false" outlineLevel="0" collapsed="false">
      <c r="A367" s="1" t="s">
        <v>72</v>
      </c>
      <c r="B367" s="1" t="s">
        <v>6820</v>
      </c>
      <c r="C367" s="1"/>
      <c r="D367" s="1"/>
      <c r="E367" s="1" t="s">
        <v>106</v>
      </c>
      <c r="F367" s="1" t="s">
        <v>6821</v>
      </c>
      <c r="G367" s="1"/>
      <c r="H367" s="1"/>
      <c r="I367" s="1" t="s">
        <v>6822</v>
      </c>
      <c r="J367" s="1" t="s">
        <v>1323</v>
      </c>
      <c r="K367" s="1" t="s">
        <v>1324</v>
      </c>
      <c r="L367" s="1"/>
      <c r="M367" s="1" t="s">
        <v>78</v>
      </c>
      <c r="N367" s="1" t="s">
        <v>79</v>
      </c>
      <c r="O367" s="1" t="s">
        <v>1325</v>
      </c>
      <c r="P367" s="1" t="s">
        <v>1326</v>
      </c>
      <c r="Q367" s="1" t="s">
        <v>1327</v>
      </c>
      <c r="R367" s="1"/>
      <c r="S367" s="1"/>
      <c r="T367" s="1"/>
      <c r="U367" s="1"/>
      <c r="V367" s="1" t="s">
        <v>6823</v>
      </c>
      <c r="W367" s="1" t="s">
        <v>6824</v>
      </c>
      <c r="X367" s="1" t="s">
        <v>6825</v>
      </c>
      <c r="Y367" s="1" t="s">
        <v>6482</v>
      </c>
      <c r="Z367" s="1" t="s">
        <v>6826</v>
      </c>
      <c r="AA367" s="1" t="s">
        <v>529</v>
      </c>
      <c r="AB367" s="1"/>
      <c r="AC367" s="1" t="s">
        <v>6611</v>
      </c>
      <c r="AD367" s="1" t="s">
        <v>6612</v>
      </c>
      <c r="AE367" s="1" t="s">
        <v>6613</v>
      </c>
      <c r="AF367" s="1"/>
      <c r="AG367" s="1" t="n">
        <v>30</v>
      </c>
      <c r="AH367" s="1" t="n">
        <v>0</v>
      </c>
      <c r="AI367" s="1" t="n">
        <v>0</v>
      </c>
      <c r="AJ367" s="1" t="n">
        <v>0</v>
      </c>
      <c r="AK367" s="1" t="n">
        <v>0</v>
      </c>
      <c r="AL367" s="1" t="s">
        <v>106</v>
      </c>
      <c r="AM367" s="1" t="s">
        <v>95</v>
      </c>
      <c r="AN367" s="1" t="s">
        <v>122</v>
      </c>
      <c r="AO367" s="1" t="s">
        <v>1335</v>
      </c>
      <c r="AP367" s="1" t="s">
        <v>1336</v>
      </c>
      <c r="AQ367" s="1" t="s">
        <v>1337</v>
      </c>
      <c r="AR367" s="1" t="s">
        <v>1338</v>
      </c>
      <c r="AS367" s="1"/>
      <c r="AT367" s="1"/>
      <c r="AU367" s="1" t="n">
        <v>2022</v>
      </c>
      <c r="AV367" s="1"/>
      <c r="AW367" s="1"/>
      <c r="AX367" s="1"/>
      <c r="AY367" s="1"/>
      <c r="AZ367" s="1"/>
      <c r="BA367" s="1"/>
      <c r="BB367" s="1"/>
      <c r="BC367" s="1"/>
      <c r="BD367" s="1"/>
      <c r="BE367" s="1" t="s">
        <v>6827</v>
      </c>
      <c r="BF367" s="1" t="str">
        <f aca="false">HYPERLINK("http://dx.doi.org/10.1109/QOMEX55416.2022.9900899","http://dx.doi.org/10.1109/QOMEX55416.2022.9900899")</f>
        <v>http://dx.doi.org/10.1109/QOMEX55416.2022.9900899</v>
      </c>
      <c r="BG367" s="1"/>
      <c r="BH367" s="1"/>
      <c r="BI367" s="1" t="n">
        <v>6</v>
      </c>
      <c r="BJ367" s="1" t="s">
        <v>1340</v>
      </c>
      <c r="BK367" s="1" t="s">
        <v>100</v>
      </c>
      <c r="BL367" s="1" t="s">
        <v>1341</v>
      </c>
      <c r="BM367" s="1" t="s">
        <v>1342</v>
      </c>
      <c r="BN367" s="1"/>
      <c r="BO367" s="1"/>
      <c r="BP367" s="1"/>
      <c r="BQ367" s="1"/>
      <c r="BR367" s="1" t="s">
        <v>103</v>
      </c>
      <c r="BS367" s="1" t="s">
        <v>6828</v>
      </c>
      <c r="BT367" s="1" t="str">
        <f aca="false">HYPERLINK("https%3A%2F%2Fwww.webofscience.com%2Fwos%2Fwoscc%2Ffull-record%2FWOS:001308684500025","View Full Record in Web of Science")</f>
        <v>View Full Record in Web of Science</v>
      </c>
    </row>
    <row r="368" customFormat="false" ht="12.75" hidden="false" customHeight="false" outlineLevel="0" collapsed="false">
      <c r="A368" s="1" t="s">
        <v>181</v>
      </c>
      <c r="B368" s="1" t="s">
        <v>6829</v>
      </c>
      <c r="C368" s="1"/>
      <c r="D368" s="1"/>
      <c r="E368" s="1"/>
      <c r="F368" s="1" t="s">
        <v>6830</v>
      </c>
      <c r="G368" s="1"/>
      <c r="H368" s="1"/>
      <c r="I368" s="1" t="s">
        <v>6831</v>
      </c>
      <c r="J368" s="1" t="s">
        <v>1733</v>
      </c>
      <c r="K368" s="1"/>
      <c r="L368" s="1"/>
      <c r="M368" s="1" t="s">
        <v>78</v>
      </c>
      <c r="N368" s="1" t="s">
        <v>186</v>
      </c>
      <c r="O368" s="1"/>
      <c r="P368" s="1"/>
      <c r="Q368" s="1"/>
      <c r="R368" s="1"/>
      <c r="S368" s="1"/>
      <c r="T368" s="1" t="s">
        <v>6832</v>
      </c>
      <c r="U368" s="1" t="s">
        <v>6833</v>
      </c>
      <c r="V368" s="1" t="s">
        <v>6834</v>
      </c>
      <c r="W368" s="1" t="s">
        <v>6835</v>
      </c>
      <c r="X368" s="1" t="s">
        <v>6836</v>
      </c>
      <c r="Y368" s="1" t="s">
        <v>6837</v>
      </c>
      <c r="Z368" s="1" t="s">
        <v>6838</v>
      </c>
      <c r="AA368" s="1" t="s">
        <v>6839</v>
      </c>
      <c r="AB368" s="1" t="s">
        <v>6840</v>
      </c>
      <c r="AC368" s="1" t="s">
        <v>6841</v>
      </c>
      <c r="AD368" s="1" t="s">
        <v>6841</v>
      </c>
      <c r="AE368" s="1" t="s">
        <v>6842</v>
      </c>
      <c r="AF368" s="1"/>
      <c r="AG368" s="1" t="n">
        <v>36</v>
      </c>
      <c r="AH368" s="1" t="n">
        <v>5</v>
      </c>
      <c r="AI368" s="1" t="n">
        <v>7</v>
      </c>
      <c r="AJ368" s="1" t="n">
        <v>2</v>
      </c>
      <c r="AK368" s="1" t="n">
        <v>20</v>
      </c>
      <c r="AL368" s="1" t="s">
        <v>600</v>
      </c>
      <c r="AM368" s="1" t="s">
        <v>601</v>
      </c>
      <c r="AN368" s="1" t="s">
        <v>1744</v>
      </c>
      <c r="AO368" s="1" t="s">
        <v>1745</v>
      </c>
      <c r="AP368" s="1"/>
      <c r="AQ368" s="1"/>
      <c r="AR368" s="1" t="s">
        <v>1746</v>
      </c>
      <c r="AS368" s="1" t="s">
        <v>1747</v>
      </c>
      <c r="AT368" s="1" t="s">
        <v>1453</v>
      </c>
      <c r="AU368" s="1" t="n">
        <v>2022</v>
      </c>
      <c r="AV368" s="1" t="n">
        <v>9</v>
      </c>
      <c r="AW368" s="1" t="n">
        <v>1</v>
      </c>
      <c r="AX368" s="1"/>
      <c r="AY368" s="1"/>
      <c r="AZ368" s="1"/>
      <c r="BA368" s="1"/>
      <c r="BB368" s="1" t="n">
        <v>569</v>
      </c>
      <c r="BC368" s="1" t="n">
        <v>577</v>
      </c>
      <c r="BD368" s="1"/>
      <c r="BE368" s="1" t="s">
        <v>6843</v>
      </c>
      <c r="BF368" s="1" t="str">
        <f aca="false">HYPERLINK("http://dx.doi.org/10.1002/nop2.1098","http://dx.doi.org/10.1002/nop2.1098")</f>
        <v>http://dx.doi.org/10.1002/nop2.1098</v>
      </c>
      <c r="BG368" s="1"/>
      <c r="BH368" s="1" t="s">
        <v>4153</v>
      </c>
      <c r="BI368" s="1" t="n">
        <v>9</v>
      </c>
      <c r="BJ368" s="1" t="s">
        <v>609</v>
      </c>
      <c r="BK368" s="1" t="s">
        <v>398</v>
      </c>
      <c r="BL368" s="1" t="s">
        <v>609</v>
      </c>
      <c r="BM368" s="1" t="s">
        <v>6844</v>
      </c>
      <c r="BN368" s="1" t="n">
        <v>34664786</v>
      </c>
      <c r="BO368" s="1" t="s">
        <v>179</v>
      </c>
      <c r="BP368" s="1"/>
      <c r="BQ368" s="1"/>
      <c r="BR368" s="1" t="s">
        <v>103</v>
      </c>
      <c r="BS368" s="1" t="s">
        <v>6845</v>
      </c>
      <c r="BT368" s="1" t="str">
        <f aca="false">HYPERLINK("https%3A%2F%2Fwww.webofscience.com%2Fwos%2Fwoscc%2Ffull-record%2FWOS:000708507800001","View Full Record in Web of Science")</f>
        <v>View Full Record in Web of Science</v>
      </c>
    </row>
    <row r="369" customFormat="false" ht="12.75" hidden="false" customHeight="false" outlineLevel="0" collapsed="false">
      <c r="A369" s="1" t="s">
        <v>181</v>
      </c>
      <c r="B369" s="1" t="s">
        <v>6846</v>
      </c>
      <c r="C369" s="1"/>
      <c r="D369" s="1"/>
      <c r="E369" s="1"/>
      <c r="F369" s="1" t="s">
        <v>6847</v>
      </c>
      <c r="G369" s="1"/>
      <c r="H369" s="1"/>
      <c r="I369" s="1" t="s">
        <v>6848</v>
      </c>
      <c r="J369" s="1" t="s">
        <v>6849</v>
      </c>
      <c r="K369" s="1"/>
      <c r="L369" s="1"/>
      <c r="M369" s="1" t="s">
        <v>78</v>
      </c>
      <c r="N369" s="1" t="s">
        <v>186</v>
      </c>
      <c r="O369" s="1"/>
      <c r="P369" s="1"/>
      <c r="Q369" s="1"/>
      <c r="R369" s="1"/>
      <c r="S369" s="1"/>
      <c r="T369" s="1" t="s">
        <v>6850</v>
      </c>
      <c r="U369" s="1" t="s">
        <v>6851</v>
      </c>
      <c r="V369" s="1" t="s">
        <v>6852</v>
      </c>
      <c r="W369" s="1" t="s">
        <v>6853</v>
      </c>
      <c r="X369" s="1" t="s">
        <v>6426</v>
      </c>
      <c r="Y369" s="1" t="s">
        <v>6854</v>
      </c>
      <c r="Z369" s="1" t="s">
        <v>1353</v>
      </c>
      <c r="AA369" s="1" t="s">
        <v>6855</v>
      </c>
      <c r="AB369" s="1"/>
      <c r="AC369" s="1" t="s">
        <v>6856</v>
      </c>
      <c r="AD369" s="1" t="s">
        <v>6856</v>
      </c>
      <c r="AE369" s="1" t="s">
        <v>6857</v>
      </c>
      <c r="AF369" s="1"/>
      <c r="AG369" s="1" t="n">
        <v>26</v>
      </c>
      <c r="AH369" s="1" t="n">
        <v>28</v>
      </c>
      <c r="AI369" s="1" t="n">
        <v>29</v>
      </c>
      <c r="AJ369" s="1" t="n">
        <v>2</v>
      </c>
      <c r="AK369" s="1" t="n">
        <v>32</v>
      </c>
      <c r="AL369" s="1" t="s">
        <v>1025</v>
      </c>
      <c r="AM369" s="1" t="s">
        <v>1026</v>
      </c>
      <c r="AN369" s="1" t="s">
        <v>1027</v>
      </c>
      <c r="AO369" s="1"/>
      <c r="AP369" s="1" t="s">
        <v>6858</v>
      </c>
      <c r="AQ369" s="1"/>
      <c r="AR369" s="1" t="s">
        <v>6859</v>
      </c>
      <c r="AS369" s="1" t="s">
        <v>6860</v>
      </c>
      <c r="AT369" s="1" t="s">
        <v>421</v>
      </c>
      <c r="AU369" s="1" t="n">
        <v>2021</v>
      </c>
      <c r="AV369" s="1" t="n">
        <v>9</v>
      </c>
      <c r="AW369" s="1" t="n">
        <v>2</v>
      </c>
      <c r="AX369" s="1"/>
      <c r="AY369" s="1"/>
      <c r="AZ369" s="1"/>
      <c r="BA369" s="1"/>
      <c r="BB369" s="1"/>
      <c r="BC369" s="1"/>
      <c r="BD369" s="1" t="n">
        <v>100316</v>
      </c>
      <c r="BE369" s="1" t="s">
        <v>6861</v>
      </c>
      <c r="BF369" s="1" t="str">
        <f aca="false">HYPERLINK("http://dx.doi.org/10.1016/j.esxm.2020.100316","http://dx.doi.org/10.1016/j.esxm.2020.100316")</f>
        <v>http://dx.doi.org/10.1016/j.esxm.2020.100316</v>
      </c>
      <c r="BG369" s="1"/>
      <c r="BH369" s="1" t="s">
        <v>1749</v>
      </c>
      <c r="BI369" s="1" t="n">
        <v>8</v>
      </c>
      <c r="BJ369" s="1" t="s">
        <v>6862</v>
      </c>
      <c r="BK369" s="1" t="s">
        <v>398</v>
      </c>
      <c r="BL369" s="1" t="s">
        <v>6863</v>
      </c>
      <c r="BM369" s="1" t="s">
        <v>6864</v>
      </c>
      <c r="BN369" s="1" t="n">
        <v>33676227</v>
      </c>
      <c r="BO369" s="1" t="s">
        <v>401</v>
      </c>
      <c r="BP369" s="1"/>
      <c r="BQ369" s="1"/>
      <c r="BR369" s="1" t="s">
        <v>103</v>
      </c>
      <c r="BS369" s="1" t="s">
        <v>6865</v>
      </c>
      <c r="BT369" s="1" t="str">
        <f aca="false">HYPERLINK("https%3A%2F%2Fwww.webofscience.com%2Fwos%2Fwoscc%2Ffull-record%2FWOS:000640009400011","View Full Record in Web of Science")</f>
        <v>View Full Record in Web of Science</v>
      </c>
    </row>
    <row r="370" customFormat="false" ht="12.75" hidden="false" customHeight="false" outlineLevel="0" collapsed="false">
      <c r="A370" s="1" t="s">
        <v>72</v>
      </c>
      <c r="B370" s="1" t="s">
        <v>6866</v>
      </c>
      <c r="C370" s="1"/>
      <c r="D370" s="1" t="s">
        <v>6867</v>
      </c>
      <c r="E370" s="1"/>
      <c r="F370" s="1" t="s">
        <v>6868</v>
      </c>
      <c r="G370" s="1"/>
      <c r="H370" s="1"/>
      <c r="I370" s="1" t="s">
        <v>6869</v>
      </c>
      <c r="J370" s="1" t="s">
        <v>6870</v>
      </c>
      <c r="K370" s="1" t="s">
        <v>498</v>
      </c>
      <c r="L370" s="1"/>
      <c r="M370" s="1" t="s">
        <v>78</v>
      </c>
      <c r="N370" s="1" t="s">
        <v>79</v>
      </c>
      <c r="O370" s="1" t="s">
        <v>6871</v>
      </c>
      <c r="P370" s="1" t="s">
        <v>6872</v>
      </c>
      <c r="Q370" s="1" t="s">
        <v>6873</v>
      </c>
      <c r="R370" s="1"/>
      <c r="S370" s="1" t="s">
        <v>6874</v>
      </c>
      <c r="T370" s="1" t="s">
        <v>6875</v>
      </c>
      <c r="U370" s="1" t="s">
        <v>6876</v>
      </c>
      <c r="V370" s="1" t="s">
        <v>6877</v>
      </c>
      <c r="W370" s="1" t="s">
        <v>6878</v>
      </c>
      <c r="X370" s="1" t="s">
        <v>4095</v>
      </c>
      <c r="Y370" s="1" t="s">
        <v>6879</v>
      </c>
      <c r="Z370" s="1" t="s">
        <v>6880</v>
      </c>
      <c r="AA370" s="1" t="s">
        <v>6107</v>
      </c>
      <c r="AB370" s="1"/>
      <c r="AC370" s="1" t="s">
        <v>6881</v>
      </c>
      <c r="AD370" s="1" t="s">
        <v>6882</v>
      </c>
      <c r="AE370" s="1" t="s">
        <v>6883</v>
      </c>
      <c r="AF370" s="1"/>
      <c r="AG370" s="1" t="n">
        <v>31</v>
      </c>
      <c r="AH370" s="1" t="n">
        <v>12</v>
      </c>
      <c r="AI370" s="1" t="n">
        <v>13</v>
      </c>
      <c r="AJ370" s="1" t="n">
        <v>0</v>
      </c>
      <c r="AK370" s="1" t="n">
        <v>7</v>
      </c>
      <c r="AL370" s="1" t="s">
        <v>302</v>
      </c>
      <c r="AM370" s="1" t="s">
        <v>303</v>
      </c>
      <c r="AN370" s="1" t="s">
        <v>304</v>
      </c>
      <c r="AO370" s="1" t="s">
        <v>512</v>
      </c>
      <c r="AP370" s="1" t="s">
        <v>513</v>
      </c>
      <c r="AQ370" s="1" t="s">
        <v>6884</v>
      </c>
      <c r="AR370" s="1" t="s">
        <v>515</v>
      </c>
      <c r="AS370" s="1"/>
      <c r="AT370" s="1"/>
      <c r="AU370" s="1" t="n">
        <v>2020</v>
      </c>
      <c r="AV370" s="1" t="n">
        <v>383</v>
      </c>
      <c r="AW370" s="1"/>
      <c r="AX370" s="1"/>
      <c r="AY370" s="1"/>
      <c r="AZ370" s="1"/>
      <c r="BA370" s="1"/>
      <c r="BB370" s="1" t="n">
        <v>145</v>
      </c>
      <c r="BC370" s="1" t="n">
        <v>161</v>
      </c>
      <c r="BD370" s="1"/>
      <c r="BE370" s="1" t="s">
        <v>6885</v>
      </c>
      <c r="BF370" s="1" t="str">
        <f aca="false">HYPERLINK("http://dx.doi.org/10.1007/978-3-030-49392-9_10","http://dx.doi.org/10.1007/978-3-030-49392-9_10")</f>
        <v>http://dx.doi.org/10.1007/978-3-030-49392-9_10</v>
      </c>
      <c r="BG370" s="1"/>
      <c r="BH370" s="1"/>
      <c r="BI370" s="1" t="n">
        <v>17</v>
      </c>
      <c r="BJ370" s="1" t="s">
        <v>994</v>
      </c>
      <c r="BK370" s="1" t="s">
        <v>100</v>
      </c>
      <c r="BL370" s="1" t="s">
        <v>101</v>
      </c>
      <c r="BM370" s="1" t="s">
        <v>6886</v>
      </c>
      <c r="BN370" s="1"/>
      <c r="BO370" s="1"/>
      <c r="BP370" s="1"/>
      <c r="BQ370" s="1"/>
      <c r="BR370" s="1" t="s">
        <v>103</v>
      </c>
      <c r="BS370" s="1" t="s">
        <v>6887</v>
      </c>
      <c r="BT370" s="1" t="str">
        <f aca="false">HYPERLINK("https%3A%2F%2Fwww.webofscience.com%2Fwos%2Fwoscc%2Ffull-record%2FWOS:000724681400010","View Full Record in Web of Science")</f>
        <v>View Full Record in Web of Science</v>
      </c>
    </row>
    <row r="371" customFormat="false" ht="12.75" hidden="false" customHeight="false" outlineLevel="0" collapsed="false">
      <c r="A371" s="1" t="s">
        <v>181</v>
      </c>
      <c r="B371" s="1" t="s">
        <v>6888</v>
      </c>
      <c r="C371" s="1"/>
      <c r="D371" s="1"/>
      <c r="E371" s="1"/>
      <c r="F371" s="1" t="s">
        <v>6889</v>
      </c>
      <c r="G371" s="1"/>
      <c r="H371" s="1"/>
      <c r="I371" s="1" t="s">
        <v>6890</v>
      </c>
      <c r="J371" s="1" t="s">
        <v>952</v>
      </c>
      <c r="K371" s="1"/>
      <c r="L371" s="1"/>
      <c r="M371" s="1" t="s">
        <v>78</v>
      </c>
      <c r="N371" s="1" t="s">
        <v>186</v>
      </c>
      <c r="O371" s="1"/>
      <c r="P371" s="1"/>
      <c r="Q371" s="1"/>
      <c r="R371" s="1"/>
      <c r="S371" s="1"/>
      <c r="T371" s="1" t="s">
        <v>6891</v>
      </c>
      <c r="U371" s="1" t="s">
        <v>6892</v>
      </c>
      <c r="V371" s="1" t="s">
        <v>6893</v>
      </c>
      <c r="W371" s="1" t="s">
        <v>6894</v>
      </c>
      <c r="X371" s="1" t="s">
        <v>6895</v>
      </c>
      <c r="Y371" s="1" t="s">
        <v>6896</v>
      </c>
      <c r="Z371" s="1" t="s">
        <v>6897</v>
      </c>
      <c r="AA371" s="1" t="s">
        <v>6898</v>
      </c>
      <c r="AB371" s="1" t="s">
        <v>960</v>
      </c>
      <c r="AC371" s="1" t="s">
        <v>6899</v>
      </c>
      <c r="AD371" s="1" t="s">
        <v>6900</v>
      </c>
      <c r="AE371" s="1" t="s">
        <v>6901</v>
      </c>
      <c r="AF371" s="1"/>
      <c r="AG371" s="1" t="n">
        <v>123</v>
      </c>
      <c r="AH371" s="1" t="n">
        <v>0</v>
      </c>
      <c r="AI371" s="1" t="n">
        <v>0</v>
      </c>
      <c r="AJ371" s="1" t="n">
        <v>10</v>
      </c>
      <c r="AK371" s="1" t="n">
        <v>10</v>
      </c>
      <c r="AL371" s="1" t="s">
        <v>893</v>
      </c>
      <c r="AM371" s="1" t="s">
        <v>894</v>
      </c>
      <c r="AN371" s="1" t="s">
        <v>895</v>
      </c>
      <c r="AO371" s="1" t="s">
        <v>963</v>
      </c>
      <c r="AP371" s="1"/>
      <c r="AQ371" s="1"/>
      <c r="AR371" s="1" t="s">
        <v>964</v>
      </c>
      <c r="AS371" s="1" t="s">
        <v>965</v>
      </c>
      <c r="AT371" s="1" t="s">
        <v>1391</v>
      </c>
      <c r="AU371" s="1" t="n">
        <v>2024</v>
      </c>
      <c r="AV371" s="1" t="n">
        <v>51</v>
      </c>
      <c r="AW371" s="1"/>
      <c r="AX371" s="1"/>
      <c r="AY371" s="1"/>
      <c r="AZ371" s="1"/>
      <c r="BA371" s="1"/>
      <c r="BB371" s="1" t="n">
        <v>137</v>
      </c>
      <c r="BC371" s="1" t="n">
        <v>158</v>
      </c>
      <c r="BD371" s="1"/>
      <c r="BE371" s="1" t="s">
        <v>6902</v>
      </c>
      <c r="BF371" s="1" t="str">
        <f aca="false">HYPERLINK("http://dx.doi.org/10.1016/j.spc.2024.08.023","http://dx.doi.org/10.1016/j.spc.2024.08.023")</f>
        <v>http://dx.doi.org/10.1016/j.spc.2024.08.023</v>
      </c>
      <c r="BG371" s="1"/>
      <c r="BH371" s="1" t="s">
        <v>6336</v>
      </c>
      <c r="BI371" s="1" t="n">
        <v>22</v>
      </c>
      <c r="BJ371" s="1" t="s">
        <v>968</v>
      </c>
      <c r="BK371" s="1" t="s">
        <v>398</v>
      </c>
      <c r="BL371" s="1" t="s">
        <v>399</v>
      </c>
      <c r="BM371" s="1" t="s">
        <v>6903</v>
      </c>
      <c r="BN371" s="1"/>
      <c r="BO371" s="1" t="s">
        <v>282</v>
      </c>
      <c r="BP371" s="1"/>
      <c r="BQ371" s="1"/>
      <c r="BR371" s="1" t="s">
        <v>103</v>
      </c>
      <c r="BS371" s="1" t="s">
        <v>6904</v>
      </c>
      <c r="BT371" s="1" t="str">
        <f aca="false">HYPERLINK("https%3A%2F%2Fwww.webofscience.com%2Fwos%2Fwoscc%2Ffull-record%2FWOS:001322711300001","View Full Record in Web of Science")</f>
        <v>View Full Record in Web of Science</v>
      </c>
    </row>
    <row r="372" customFormat="false" ht="12.75" hidden="false" customHeight="false" outlineLevel="0" collapsed="false">
      <c r="A372" s="1" t="s">
        <v>181</v>
      </c>
      <c r="B372" s="1" t="s">
        <v>6905</v>
      </c>
      <c r="C372" s="1"/>
      <c r="D372" s="1"/>
      <c r="E372" s="1"/>
      <c r="F372" s="1" t="s">
        <v>6906</v>
      </c>
      <c r="G372" s="1"/>
      <c r="H372" s="1"/>
      <c r="I372" s="1" t="s">
        <v>6907</v>
      </c>
      <c r="J372" s="1" t="s">
        <v>1104</v>
      </c>
      <c r="K372" s="1"/>
      <c r="L372" s="1"/>
      <c r="M372" s="1" t="s">
        <v>78</v>
      </c>
      <c r="N372" s="1" t="s">
        <v>186</v>
      </c>
      <c r="O372" s="1"/>
      <c r="P372" s="1"/>
      <c r="Q372" s="1"/>
      <c r="R372" s="1"/>
      <c r="S372" s="1"/>
      <c r="T372" s="1" t="s">
        <v>6908</v>
      </c>
      <c r="U372" s="1"/>
      <c r="V372" s="1" t="s">
        <v>6909</v>
      </c>
      <c r="W372" s="1" t="s">
        <v>6910</v>
      </c>
      <c r="X372" s="1" t="s">
        <v>6911</v>
      </c>
      <c r="Y372" s="1" t="s">
        <v>6912</v>
      </c>
      <c r="Z372" s="1" t="s">
        <v>6913</v>
      </c>
      <c r="AA372" s="1" t="s">
        <v>6914</v>
      </c>
      <c r="AB372" s="1" t="s">
        <v>6915</v>
      </c>
      <c r="AC372" s="1" t="s">
        <v>6916</v>
      </c>
      <c r="AD372" s="1" t="s">
        <v>6917</v>
      </c>
      <c r="AE372" s="1" t="s">
        <v>6918</v>
      </c>
      <c r="AF372" s="1"/>
      <c r="AG372" s="1" t="n">
        <v>43</v>
      </c>
      <c r="AH372" s="1" t="n">
        <v>0</v>
      </c>
      <c r="AI372" s="1" t="n">
        <v>0</v>
      </c>
      <c r="AJ372" s="1" t="n">
        <v>0</v>
      </c>
      <c r="AK372" s="1" t="n">
        <v>0</v>
      </c>
      <c r="AL372" s="1" t="s">
        <v>195</v>
      </c>
      <c r="AM372" s="1" t="s">
        <v>196</v>
      </c>
      <c r="AN372" s="1" t="s">
        <v>197</v>
      </c>
      <c r="AO372" s="1" t="s">
        <v>1114</v>
      </c>
      <c r="AP372" s="1"/>
      <c r="AQ372" s="1"/>
      <c r="AR372" s="1" t="s">
        <v>1104</v>
      </c>
      <c r="AS372" s="1" t="s">
        <v>1115</v>
      </c>
      <c r="AT372" s="1"/>
      <c r="AU372" s="1" t="n">
        <v>2024</v>
      </c>
      <c r="AV372" s="1" t="n">
        <v>12</v>
      </c>
      <c r="AW372" s="1"/>
      <c r="AX372" s="1"/>
      <c r="AY372" s="1"/>
      <c r="AZ372" s="1"/>
      <c r="BA372" s="1"/>
      <c r="BB372" s="1" t="n">
        <v>187099</v>
      </c>
      <c r="BC372" s="1" t="n">
        <v>187111</v>
      </c>
      <c r="BD372" s="1"/>
      <c r="BE372" s="1" t="s">
        <v>6919</v>
      </c>
      <c r="BF372" s="1" t="str">
        <f aca="false">HYPERLINK("http://dx.doi.org/10.1109/ACCESS.2024.3515647","http://dx.doi.org/10.1109/ACCESS.2024.3515647")</f>
        <v>http://dx.doi.org/10.1109/ACCESS.2024.3515647</v>
      </c>
      <c r="BG372" s="1"/>
      <c r="BH372" s="1"/>
      <c r="BI372" s="1" t="n">
        <v>13</v>
      </c>
      <c r="BJ372" s="1" t="s">
        <v>1117</v>
      </c>
      <c r="BK372" s="1" t="s">
        <v>204</v>
      </c>
      <c r="BL372" s="1" t="s">
        <v>1118</v>
      </c>
      <c r="BM372" s="1" t="s">
        <v>6920</v>
      </c>
      <c r="BN372" s="1"/>
      <c r="BO372" s="1" t="s">
        <v>642</v>
      </c>
      <c r="BP372" s="1"/>
      <c r="BQ372" s="1"/>
      <c r="BR372" s="1" t="s">
        <v>103</v>
      </c>
      <c r="BS372" s="1" t="s">
        <v>6921</v>
      </c>
      <c r="BT372" s="1" t="str">
        <f aca="false">HYPERLINK("https%3A%2F%2Fwww.webofscience.com%2Fwos%2Fwoscc%2Ffull-record%2FWOS:001380685100013","View Full Record in Web of Science")</f>
        <v>View Full Record in Web of Science</v>
      </c>
    </row>
    <row r="373" customFormat="false" ht="12.75" hidden="false" customHeight="false" outlineLevel="0" collapsed="false">
      <c r="A373" s="1" t="s">
        <v>181</v>
      </c>
      <c r="B373" s="1" t="s">
        <v>6922</v>
      </c>
      <c r="C373" s="1"/>
      <c r="D373" s="1"/>
      <c r="E373" s="1"/>
      <c r="F373" s="1" t="s">
        <v>5180</v>
      </c>
      <c r="G373" s="1"/>
      <c r="H373" s="1"/>
      <c r="I373" s="1" t="s">
        <v>6923</v>
      </c>
      <c r="J373" s="1" t="s">
        <v>860</v>
      </c>
      <c r="K373" s="1"/>
      <c r="L373" s="1"/>
      <c r="M373" s="1" t="s">
        <v>78</v>
      </c>
      <c r="N373" s="1" t="s">
        <v>186</v>
      </c>
      <c r="O373" s="1"/>
      <c r="P373" s="1"/>
      <c r="Q373" s="1"/>
      <c r="R373" s="1"/>
      <c r="S373" s="1"/>
      <c r="T373" s="1" t="s">
        <v>6924</v>
      </c>
      <c r="U373" s="1" t="s">
        <v>6925</v>
      </c>
      <c r="V373" s="1" t="s">
        <v>6926</v>
      </c>
      <c r="W373" s="1" t="s">
        <v>6927</v>
      </c>
      <c r="X373" s="1" t="s">
        <v>5124</v>
      </c>
      <c r="Y373" s="1" t="s">
        <v>6928</v>
      </c>
      <c r="Z373" s="1" t="s">
        <v>5126</v>
      </c>
      <c r="AA373" s="1" t="s">
        <v>5189</v>
      </c>
      <c r="AB373" s="1" t="s">
        <v>5190</v>
      </c>
      <c r="AC373" s="1" t="s">
        <v>6929</v>
      </c>
      <c r="AD373" s="1" t="s">
        <v>6929</v>
      </c>
      <c r="AE373" s="1" t="s">
        <v>6930</v>
      </c>
      <c r="AF373" s="1"/>
      <c r="AG373" s="1" t="n">
        <v>16</v>
      </c>
      <c r="AH373" s="1" t="n">
        <v>2</v>
      </c>
      <c r="AI373" s="1" t="n">
        <v>2</v>
      </c>
      <c r="AJ373" s="1" t="n">
        <v>0</v>
      </c>
      <c r="AK373" s="1" t="n">
        <v>0</v>
      </c>
      <c r="AL373" s="1" t="s">
        <v>679</v>
      </c>
      <c r="AM373" s="1" t="s">
        <v>680</v>
      </c>
      <c r="AN373" s="1" t="s">
        <v>681</v>
      </c>
      <c r="AO373" s="1" t="s">
        <v>870</v>
      </c>
      <c r="AP373" s="1" t="s">
        <v>871</v>
      </c>
      <c r="AQ373" s="1"/>
      <c r="AR373" s="1" t="s">
        <v>872</v>
      </c>
      <c r="AS373" s="1" t="s">
        <v>873</v>
      </c>
      <c r="AT373" s="1" t="s">
        <v>711</v>
      </c>
      <c r="AU373" s="1" t="n">
        <v>2023</v>
      </c>
      <c r="AV373" s="1" t="n">
        <v>26</v>
      </c>
      <c r="AW373" s="1" t="n">
        <v>4</v>
      </c>
      <c r="AX373" s="1"/>
      <c r="AY373" s="1"/>
      <c r="AZ373" s="1"/>
      <c r="BA373" s="1"/>
      <c r="BB373" s="1" t="n">
        <v>1051</v>
      </c>
      <c r="BC373" s="1" t="n">
        <v>1065</v>
      </c>
      <c r="BD373" s="1"/>
      <c r="BE373" s="1" t="s">
        <v>6931</v>
      </c>
      <c r="BF373" s="1" t="str">
        <f aca="false">HYPERLINK("http://dx.doi.org/10.1007/s10468-022-10123-8","http://dx.doi.org/10.1007/s10468-022-10123-8")</f>
        <v>http://dx.doi.org/10.1007/s10468-022-10123-8</v>
      </c>
      <c r="BG373" s="1"/>
      <c r="BH373" s="1" t="s">
        <v>1934</v>
      </c>
      <c r="BI373" s="1" t="n">
        <v>15</v>
      </c>
      <c r="BJ373" s="1" t="s">
        <v>280</v>
      </c>
      <c r="BK373" s="1" t="s">
        <v>204</v>
      </c>
      <c r="BL373" s="1" t="s">
        <v>280</v>
      </c>
      <c r="BM373" s="1" t="s">
        <v>6932</v>
      </c>
      <c r="BN373" s="1"/>
      <c r="BO373" s="1" t="s">
        <v>282</v>
      </c>
      <c r="BP373" s="1"/>
      <c r="BQ373" s="1"/>
      <c r="BR373" s="1" t="s">
        <v>103</v>
      </c>
      <c r="BS373" s="1" t="s">
        <v>6933</v>
      </c>
      <c r="BT373" s="1" t="str">
        <f aca="false">HYPERLINK("https%3A%2F%2Fwww.webofscience.com%2Fwos%2Fwoscc%2Ffull-record%2FWOS:000784962700001","View Full Record in Web of Science")</f>
        <v>View Full Record in Web of Science</v>
      </c>
    </row>
    <row r="374" customFormat="false" ht="12.75" hidden="false" customHeight="false" outlineLevel="0" collapsed="false">
      <c r="A374" s="1" t="s">
        <v>181</v>
      </c>
      <c r="B374" s="1" t="s">
        <v>6934</v>
      </c>
      <c r="C374" s="1"/>
      <c r="D374" s="1"/>
      <c r="E374" s="1"/>
      <c r="F374" s="1" t="s">
        <v>6935</v>
      </c>
      <c r="G374" s="1"/>
      <c r="H374" s="1"/>
      <c r="I374" s="1" t="s">
        <v>6936</v>
      </c>
      <c r="J374" s="1" t="s">
        <v>6937</v>
      </c>
      <c r="K374" s="1"/>
      <c r="L374" s="1"/>
      <c r="M374" s="1" t="s">
        <v>78</v>
      </c>
      <c r="N374" s="1" t="s">
        <v>186</v>
      </c>
      <c r="O374" s="1"/>
      <c r="P374" s="1"/>
      <c r="Q374" s="1"/>
      <c r="R374" s="1"/>
      <c r="S374" s="1"/>
      <c r="T374" s="1" t="s">
        <v>6938</v>
      </c>
      <c r="U374" s="1" t="s">
        <v>6939</v>
      </c>
      <c r="V374" s="1" t="s">
        <v>6940</v>
      </c>
      <c r="W374" s="1" t="s">
        <v>6941</v>
      </c>
      <c r="X374" s="1" t="s">
        <v>6728</v>
      </c>
      <c r="Y374" s="1" t="s">
        <v>143</v>
      </c>
      <c r="Z374" s="1" t="s">
        <v>6942</v>
      </c>
      <c r="AA374" s="1" t="s">
        <v>145</v>
      </c>
      <c r="AB374" s="1" t="s">
        <v>3866</v>
      </c>
      <c r="AC374" s="1" t="s">
        <v>268</v>
      </c>
      <c r="AD374" s="1" t="s">
        <v>268</v>
      </c>
      <c r="AE374" s="1" t="s">
        <v>269</v>
      </c>
      <c r="AF374" s="1"/>
      <c r="AG374" s="1" t="n">
        <v>21</v>
      </c>
      <c r="AH374" s="1" t="n">
        <v>9</v>
      </c>
      <c r="AI374" s="1" t="n">
        <v>10</v>
      </c>
      <c r="AJ374" s="1" t="n">
        <v>0</v>
      </c>
      <c r="AK374" s="1" t="n">
        <v>12</v>
      </c>
      <c r="AL374" s="1" t="s">
        <v>679</v>
      </c>
      <c r="AM374" s="1" t="s">
        <v>95</v>
      </c>
      <c r="AN374" s="1" t="s">
        <v>803</v>
      </c>
      <c r="AO374" s="1" t="s">
        <v>6943</v>
      </c>
      <c r="AP374" s="1" t="s">
        <v>6944</v>
      </c>
      <c r="AQ374" s="1"/>
      <c r="AR374" s="1" t="s">
        <v>6945</v>
      </c>
      <c r="AS374" s="1" t="s">
        <v>6946</v>
      </c>
      <c r="AT374" s="1" t="s">
        <v>711</v>
      </c>
      <c r="AU374" s="1" t="n">
        <v>2022</v>
      </c>
      <c r="AV374" s="1" t="n">
        <v>27</v>
      </c>
      <c r="AW374" s="1" t="n">
        <v>4</v>
      </c>
      <c r="AX374" s="1"/>
      <c r="AY374" s="1"/>
      <c r="AZ374" s="1" t="s">
        <v>1698</v>
      </c>
      <c r="BA374" s="1"/>
      <c r="BB374" s="1" t="n">
        <v>1746</v>
      </c>
      <c r="BC374" s="1" t="n">
        <v>1756</v>
      </c>
      <c r="BD374" s="1"/>
      <c r="BE374" s="1" t="s">
        <v>6947</v>
      </c>
      <c r="BF374" s="1" t="str">
        <f aca="false">HYPERLINK("http://dx.doi.org/10.1007/s11036-022-01928-4","http://dx.doi.org/10.1007/s11036-022-01928-4")</f>
        <v>http://dx.doi.org/10.1007/s11036-022-01928-4</v>
      </c>
      <c r="BG374" s="1"/>
      <c r="BH374" s="1" t="s">
        <v>1505</v>
      </c>
      <c r="BI374" s="1" t="n">
        <v>11</v>
      </c>
      <c r="BJ374" s="1" t="s">
        <v>6948</v>
      </c>
      <c r="BK374" s="1" t="s">
        <v>204</v>
      </c>
      <c r="BL374" s="1" t="s">
        <v>311</v>
      </c>
      <c r="BM374" s="1" t="s">
        <v>6949</v>
      </c>
      <c r="BN374" s="1"/>
      <c r="BO374" s="1" t="s">
        <v>282</v>
      </c>
      <c r="BP374" s="1"/>
      <c r="BQ374" s="1"/>
      <c r="BR374" s="1" t="s">
        <v>103</v>
      </c>
      <c r="BS374" s="1" t="s">
        <v>6950</v>
      </c>
      <c r="BT374" s="1" t="str">
        <f aca="false">HYPERLINK("https%3A%2F%2Fwww.webofscience.com%2Fwos%2Fwoscc%2Ffull-record%2FWOS:000761134500001","View Full Record in Web of Science")</f>
        <v>View Full Record in Web of Science</v>
      </c>
    </row>
    <row r="375" customFormat="false" ht="12.75" hidden="false" customHeight="false" outlineLevel="0" collapsed="false">
      <c r="A375" s="1" t="s">
        <v>181</v>
      </c>
      <c r="B375" s="1" t="s">
        <v>6951</v>
      </c>
      <c r="C375" s="1"/>
      <c r="D375" s="1"/>
      <c r="E375" s="1"/>
      <c r="F375" s="1" t="s">
        <v>6952</v>
      </c>
      <c r="G375" s="1"/>
      <c r="H375" s="1"/>
      <c r="I375" s="1" t="s">
        <v>6953</v>
      </c>
      <c r="J375" s="1" t="s">
        <v>4022</v>
      </c>
      <c r="K375" s="1"/>
      <c r="L375" s="1"/>
      <c r="M375" s="1" t="s">
        <v>78</v>
      </c>
      <c r="N375" s="1" t="s">
        <v>186</v>
      </c>
      <c r="O375" s="1"/>
      <c r="P375" s="1"/>
      <c r="Q375" s="1"/>
      <c r="R375" s="1"/>
      <c r="S375" s="1"/>
      <c r="T375" s="1" t="s">
        <v>6954</v>
      </c>
      <c r="U375" s="1" t="s">
        <v>6955</v>
      </c>
      <c r="V375" s="1" t="s">
        <v>6956</v>
      </c>
      <c r="W375" s="1" t="s">
        <v>6957</v>
      </c>
      <c r="X375" s="1" t="s">
        <v>6958</v>
      </c>
      <c r="Y375" s="1" t="s">
        <v>6959</v>
      </c>
      <c r="Z375" s="1" t="s">
        <v>6960</v>
      </c>
      <c r="AA375" s="1" t="s">
        <v>5981</v>
      </c>
      <c r="AB375" s="1" t="s">
        <v>4924</v>
      </c>
      <c r="AC375" s="1"/>
      <c r="AD375" s="1"/>
      <c r="AE375" s="1"/>
      <c r="AF375" s="1"/>
      <c r="AG375" s="1" t="n">
        <v>98</v>
      </c>
      <c r="AH375" s="1" t="n">
        <v>19</v>
      </c>
      <c r="AI375" s="1" t="n">
        <v>19</v>
      </c>
      <c r="AJ375" s="1" t="n">
        <v>3</v>
      </c>
      <c r="AK375" s="1" t="n">
        <v>52</v>
      </c>
      <c r="AL375" s="1" t="s">
        <v>367</v>
      </c>
      <c r="AM375" s="1" t="s">
        <v>368</v>
      </c>
      <c r="AN375" s="1" t="s">
        <v>369</v>
      </c>
      <c r="AO375" s="1"/>
      <c r="AP375" s="1" t="s">
        <v>4032</v>
      </c>
      <c r="AQ375" s="1"/>
      <c r="AR375" s="1" t="s">
        <v>4022</v>
      </c>
      <c r="AS375" s="1" t="s">
        <v>4033</v>
      </c>
      <c r="AT375" s="1" t="s">
        <v>1453</v>
      </c>
      <c r="AU375" s="1" t="n">
        <v>2022</v>
      </c>
      <c r="AV375" s="1" t="n">
        <v>15</v>
      </c>
      <c r="AW375" s="1" t="n">
        <v>1</v>
      </c>
      <c r="AX375" s="1"/>
      <c r="AY375" s="1"/>
      <c r="AZ375" s="1"/>
      <c r="BA375" s="1"/>
      <c r="BB375" s="1"/>
      <c r="BC375" s="1"/>
      <c r="BD375" s="1" t="n">
        <v>193</v>
      </c>
      <c r="BE375" s="1" t="s">
        <v>6961</v>
      </c>
      <c r="BF375" s="1" t="str">
        <f aca="false">HYPERLINK("http://dx.doi.org/10.3390/en15010193","http://dx.doi.org/10.3390/en15010193")</f>
        <v>http://dx.doi.org/10.3390/en15010193</v>
      </c>
      <c r="BG375" s="1"/>
      <c r="BH375" s="1"/>
      <c r="BI375" s="1" t="n">
        <v>26</v>
      </c>
      <c r="BJ375" s="1" t="s">
        <v>4035</v>
      </c>
      <c r="BK375" s="1" t="s">
        <v>204</v>
      </c>
      <c r="BL375" s="1" t="s">
        <v>4035</v>
      </c>
      <c r="BM375" s="1" t="s">
        <v>6962</v>
      </c>
      <c r="BN375" s="1"/>
      <c r="BO375" s="1" t="s">
        <v>401</v>
      </c>
      <c r="BP375" s="1"/>
      <c r="BQ375" s="1"/>
      <c r="BR375" s="1" t="s">
        <v>103</v>
      </c>
      <c r="BS375" s="1" t="s">
        <v>6963</v>
      </c>
      <c r="BT375" s="1" t="str">
        <f aca="false">HYPERLINK("https%3A%2F%2Fwww.webofscience.com%2Fwos%2Fwoscc%2Ffull-record%2FWOS:000742967800001","View Full Record in Web of Science")</f>
        <v>View Full Record in Web of Science</v>
      </c>
    </row>
    <row r="376" customFormat="false" ht="12.75" hidden="false" customHeight="false" outlineLevel="0" collapsed="false">
      <c r="A376" s="1" t="s">
        <v>181</v>
      </c>
      <c r="B376" s="1" t="s">
        <v>6964</v>
      </c>
      <c r="C376" s="1"/>
      <c r="D376" s="1"/>
      <c r="E376" s="1"/>
      <c r="F376" s="1" t="s">
        <v>6965</v>
      </c>
      <c r="G376" s="1"/>
      <c r="H376" s="1"/>
      <c r="I376" s="1" t="s">
        <v>6966</v>
      </c>
      <c r="J376" s="1" t="s">
        <v>1378</v>
      </c>
      <c r="K376" s="1"/>
      <c r="L376" s="1"/>
      <c r="M376" s="1" t="s">
        <v>78</v>
      </c>
      <c r="N376" s="1" t="s">
        <v>186</v>
      </c>
      <c r="O376" s="1"/>
      <c r="P376" s="1"/>
      <c r="Q376" s="1"/>
      <c r="R376" s="1"/>
      <c r="S376" s="1"/>
      <c r="T376" s="1" t="s">
        <v>6967</v>
      </c>
      <c r="U376" s="1" t="s">
        <v>6876</v>
      </c>
      <c r="V376" s="1" t="s">
        <v>6968</v>
      </c>
      <c r="W376" s="1" t="s">
        <v>6969</v>
      </c>
      <c r="X376" s="1" t="s">
        <v>4809</v>
      </c>
      <c r="Y376" s="1" t="s">
        <v>6970</v>
      </c>
      <c r="Z376" s="1" t="s">
        <v>6971</v>
      </c>
      <c r="AA376" s="1" t="s">
        <v>3908</v>
      </c>
      <c r="AB376" s="1" t="s">
        <v>3187</v>
      </c>
      <c r="AC376" s="1"/>
      <c r="AD376" s="1"/>
      <c r="AE376" s="1"/>
      <c r="AF376" s="1"/>
      <c r="AG376" s="1" t="n">
        <v>57</v>
      </c>
      <c r="AH376" s="1" t="n">
        <v>4</v>
      </c>
      <c r="AI376" s="1" t="n">
        <v>4</v>
      </c>
      <c r="AJ376" s="1" t="n">
        <v>1</v>
      </c>
      <c r="AK376" s="1" t="n">
        <v>3</v>
      </c>
      <c r="AL376" s="1" t="s">
        <v>893</v>
      </c>
      <c r="AM376" s="1" t="s">
        <v>894</v>
      </c>
      <c r="AN376" s="1" t="s">
        <v>895</v>
      </c>
      <c r="AO376" s="1" t="s">
        <v>1387</v>
      </c>
      <c r="AP376" s="1" t="s">
        <v>1388</v>
      </c>
      <c r="AQ376" s="1"/>
      <c r="AR376" s="1" t="s">
        <v>1389</v>
      </c>
      <c r="AS376" s="1" t="s">
        <v>1390</v>
      </c>
      <c r="AT376" s="1" t="s">
        <v>1453</v>
      </c>
      <c r="AU376" s="1" t="n">
        <v>2022</v>
      </c>
      <c r="AV376" s="1" t="n">
        <v>141</v>
      </c>
      <c r="AW376" s="1"/>
      <c r="AX376" s="1"/>
      <c r="AY376" s="1"/>
      <c r="AZ376" s="1"/>
      <c r="BA376" s="1"/>
      <c r="BB376" s="1"/>
      <c r="BC376" s="1"/>
      <c r="BD376" s="1" t="n">
        <v>106717</v>
      </c>
      <c r="BE376" s="1" t="s">
        <v>6972</v>
      </c>
      <c r="BF376" s="1" t="str">
        <f aca="false">HYPERLINK("http://dx.doi.org/10.1016/j.infsof.2021.106717","http://dx.doi.org/10.1016/j.infsof.2021.106717")</f>
        <v>http://dx.doi.org/10.1016/j.infsof.2021.106717</v>
      </c>
      <c r="BG376" s="1"/>
      <c r="BH376" s="1" t="s">
        <v>5561</v>
      </c>
      <c r="BI376" s="1" t="n">
        <v>13</v>
      </c>
      <c r="BJ376" s="1" t="s">
        <v>1394</v>
      </c>
      <c r="BK376" s="1" t="s">
        <v>204</v>
      </c>
      <c r="BL376" s="1" t="s">
        <v>101</v>
      </c>
      <c r="BM376" s="1" t="s">
        <v>6973</v>
      </c>
      <c r="BN376" s="1"/>
      <c r="BO376" s="1" t="s">
        <v>612</v>
      </c>
      <c r="BP376" s="1"/>
      <c r="BQ376" s="1"/>
      <c r="BR376" s="1" t="s">
        <v>103</v>
      </c>
      <c r="BS376" s="1" t="s">
        <v>6974</v>
      </c>
      <c r="BT376" s="1" t="str">
        <f aca="false">HYPERLINK("https%3A%2F%2Fwww.webofscience.com%2Fwos%2Fwoscc%2Ffull-record%2FWOS:000701988700002","View Full Record in Web of Science")</f>
        <v>View Full Record in Web of Science</v>
      </c>
    </row>
    <row r="377" customFormat="false" ht="12.75" hidden="false" customHeight="false" outlineLevel="0" collapsed="false">
      <c r="A377" s="1" t="s">
        <v>181</v>
      </c>
      <c r="B377" s="1" t="s">
        <v>6975</v>
      </c>
      <c r="C377" s="1"/>
      <c r="D377" s="1"/>
      <c r="E377" s="1"/>
      <c r="F377" s="1" t="s">
        <v>6976</v>
      </c>
      <c r="G377" s="1"/>
      <c r="H377" s="1"/>
      <c r="I377" s="1" t="s">
        <v>6977</v>
      </c>
      <c r="J377" s="1" t="s">
        <v>6978</v>
      </c>
      <c r="K377" s="1"/>
      <c r="L377" s="1"/>
      <c r="M377" s="1" t="s">
        <v>78</v>
      </c>
      <c r="N377" s="1" t="s">
        <v>186</v>
      </c>
      <c r="O377" s="1"/>
      <c r="P377" s="1"/>
      <c r="Q377" s="1"/>
      <c r="R377" s="1"/>
      <c r="S377" s="1"/>
      <c r="T377" s="1" t="s">
        <v>6979</v>
      </c>
      <c r="U377" s="1"/>
      <c r="V377" s="1" t="s">
        <v>6980</v>
      </c>
      <c r="W377" s="1" t="s">
        <v>6981</v>
      </c>
      <c r="X377" s="1" t="s">
        <v>6982</v>
      </c>
      <c r="Y377" s="1" t="s">
        <v>6983</v>
      </c>
      <c r="Z377" s="1"/>
      <c r="AA377" s="1" t="s">
        <v>6984</v>
      </c>
      <c r="AB377" s="1"/>
      <c r="AC377" s="1" t="s">
        <v>6985</v>
      </c>
      <c r="AD377" s="1" t="s">
        <v>6986</v>
      </c>
      <c r="AE377" s="1" t="s">
        <v>6987</v>
      </c>
      <c r="AF377" s="1"/>
      <c r="AG377" s="1" t="n">
        <v>25</v>
      </c>
      <c r="AH377" s="1" t="n">
        <v>4</v>
      </c>
      <c r="AI377" s="1" t="n">
        <v>5</v>
      </c>
      <c r="AJ377" s="1" t="n">
        <v>0</v>
      </c>
      <c r="AK377" s="1" t="n">
        <v>7</v>
      </c>
      <c r="AL377" s="1" t="s">
        <v>6988</v>
      </c>
      <c r="AM377" s="1" t="s">
        <v>6989</v>
      </c>
      <c r="AN377" s="1" t="s">
        <v>6990</v>
      </c>
      <c r="AO377" s="1" t="s">
        <v>6991</v>
      </c>
      <c r="AP377" s="1" t="s">
        <v>6992</v>
      </c>
      <c r="AQ377" s="1"/>
      <c r="AR377" s="1" t="s">
        <v>6993</v>
      </c>
      <c r="AS377" s="1" t="s">
        <v>6994</v>
      </c>
      <c r="AT377" s="1" t="s">
        <v>537</v>
      </c>
      <c r="AU377" s="1" t="n">
        <v>2021</v>
      </c>
      <c r="AV377" s="1" t="n">
        <v>12</v>
      </c>
      <c r="AW377" s="1" t="n">
        <v>2</v>
      </c>
      <c r="AX377" s="1"/>
      <c r="AY377" s="1"/>
      <c r="AZ377" s="1"/>
      <c r="BA377" s="1"/>
      <c r="BB377" s="1" t="n">
        <v>584</v>
      </c>
      <c r="BC377" s="1" t="n">
        <v>590</v>
      </c>
      <c r="BD377" s="1"/>
      <c r="BE377" s="1"/>
      <c r="BF377" s="1"/>
      <c r="BG377" s="1"/>
      <c r="BH377" s="1"/>
      <c r="BI377" s="1" t="n">
        <v>7</v>
      </c>
      <c r="BJ377" s="1" t="s">
        <v>2136</v>
      </c>
      <c r="BK377" s="1" t="s">
        <v>253</v>
      </c>
      <c r="BL377" s="1" t="s">
        <v>101</v>
      </c>
      <c r="BM377" s="1" t="s">
        <v>6995</v>
      </c>
      <c r="BN377" s="1"/>
      <c r="BO377" s="1"/>
      <c r="BP377" s="1"/>
      <c r="BQ377" s="1"/>
      <c r="BR377" s="1" t="s">
        <v>103</v>
      </c>
      <c r="BS377" s="1" t="s">
        <v>6996</v>
      </c>
      <c r="BT377" s="1" t="str">
        <f aca="false">HYPERLINK("https%3A%2F%2Fwww.webofscience.com%2Fwos%2Fwoscc%2Ffull-record%2FWOS:000630189900074","View Full Record in Web of Science")</f>
        <v>View Full Record in Web of Science</v>
      </c>
    </row>
    <row r="378" customFormat="false" ht="12.75" hidden="false" customHeight="false" outlineLevel="0" collapsed="false">
      <c r="A378" s="1" t="s">
        <v>181</v>
      </c>
      <c r="B378" s="1" t="s">
        <v>5735</v>
      </c>
      <c r="C378" s="1"/>
      <c r="D378" s="1"/>
      <c r="E378" s="1"/>
      <c r="F378" s="1" t="s">
        <v>5736</v>
      </c>
      <c r="G378" s="1"/>
      <c r="H378" s="1"/>
      <c r="I378" s="1" t="s">
        <v>6997</v>
      </c>
      <c r="J378" s="1" t="s">
        <v>6998</v>
      </c>
      <c r="K378" s="1"/>
      <c r="L378" s="1"/>
      <c r="M378" s="1" t="s">
        <v>78</v>
      </c>
      <c r="N378" s="1" t="s">
        <v>186</v>
      </c>
      <c r="O378" s="1"/>
      <c r="P378" s="1"/>
      <c r="Q378" s="1"/>
      <c r="R378" s="1"/>
      <c r="S378" s="1"/>
      <c r="T378" s="1" t="s">
        <v>6999</v>
      </c>
      <c r="U378" s="1" t="s">
        <v>7000</v>
      </c>
      <c r="V378" s="1" t="s">
        <v>7001</v>
      </c>
      <c r="W378" s="1" t="s">
        <v>7002</v>
      </c>
      <c r="X378" s="1" t="s">
        <v>7003</v>
      </c>
      <c r="Y378" s="1" t="s">
        <v>7004</v>
      </c>
      <c r="Z378" s="1" t="s">
        <v>7005</v>
      </c>
      <c r="AA378" s="1" t="s">
        <v>5746</v>
      </c>
      <c r="AB378" s="1"/>
      <c r="AC378" s="1" t="s">
        <v>7006</v>
      </c>
      <c r="AD378" s="1" t="s">
        <v>7007</v>
      </c>
      <c r="AE378" s="1" t="s">
        <v>7008</v>
      </c>
      <c r="AF378" s="1"/>
      <c r="AG378" s="1" t="n">
        <v>115</v>
      </c>
      <c r="AH378" s="1" t="n">
        <v>9</v>
      </c>
      <c r="AI378" s="1" t="n">
        <v>12</v>
      </c>
      <c r="AJ378" s="1" t="n">
        <v>3</v>
      </c>
      <c r="AK378" s="1" t="n">
        <v>27</v>
      </c>
      <c r="AL378" s="1" t="s">
        <v>893</v>
      </c>
      <c r="AM378" s="1" t="s">
        <v>894</v>
      </c>
      <c r="AN378" s="1" t="s">
        <v>895</v>
      </c>
      <c r="AO378" s="1" t="s">
        <v>7009</v>
      </c>
      <c r="AP378" s="1" t="s">
        <v>7010</v>
      </c>
      <c r="AQ378" s="1"/>
      <c r="AR378" s="1" t="s">
        <v>7011</v>
      </c>
      <c r="AS378" s="1" t="s">
        <v>7012</v>
      </c>
      <c r="AT378" s="1" t="s">
        <v>537</v>
      </c>
      <c r="AU378" s="1" t="n">
        <v>2020</v>
      </c>
      <c r="AV378" s="1" t="n">
        <v>15</v>
      </c>
      <c r="AW378" s="1"/>
      <c r="AX378" s="1"/>
      <c r="AY378" s="1"/>
      <c r="AZ378" s="1"/>
      <c r="BA378" s="1"/>
      <c r="BB378" s="1"/>
      <c r="BC378" s="1"/>
      <c r="BD378" s="1" t="n">
        <v>100215</v>
      </c>
      <c r="BE378" s="1" t="s">
        <v>7013</v>
      </c>
      <c r="BF378" s="1" t="str">
        <f aca="false">HYPERLINK("http://dx.doi.org/10.1016/j.jeoa.2019.100215","http://dx.doi.org/10.1016/j.jeoa.2019.100215")</f>
        <v>http://dx.doi.org/10.1016/j.jeoa.2019.100215</v>
      </c>
      <c r="BG378" s="1"/>
      <c r="BH378" s="1"/>
      <c r="BI378" s="1" t="n">
        <v>14</v>
      </c>
      <c r="BJ378" s="1" t="s">
        <v>7014</v>
      </c>
      <c r="BK378" s="1" t="s">
        <v>610</v>
      </c>
      <c r="BL378" s="1" t="s">
        <v>7015</v>
      </c>
      <c r="BM378" s="1" t="s">
        <v>7016</v>
      </c>
      <c r="BN378" s="1"/>
      <c r="BO378" s="1" t="s">
        <v>227</v>
      </c>
      <c r="BP378" s="1"/>
      <c r="BQ378" s="1"/>
      <c r="BR378" s="1" t="s">
        <v>103</v>
      </c>
      <c r="BS378" s="1" t="s">
        <v>7017</v>
      </c>
      <c r="BT378" s="1" t="str">
        <f aca="false">HYPERLINK("https%3A%2F%2Fwww.webofscience.com%2Fwos%2Fwoscc%2Ffull-record%2FWOS:000516721400001","View Full Record in Web of Science")</f>
        <v>View Full Record in Web of Science</v>
      </c>
    </row>
    <row r="379" customFormat="false" ht="12.75" hidden="false" customHeight="false" outlineLevel="0" collapsed="false">
      <c r="A379" s="1" t="s">
        <v>181</v>
      </c>
      <c r="B379" s="1" t="s">
        <v>7018</v>
      </c>
      <c r="C379" s="1"/>
      <c r="D379" s="1"/>
      <c r="E379" s="1"/>
      <c r="F379" s="1" t="s">
        <v>7019</v>
      </c>
      <c r="G379" s="1"/>
      <c r="H379" s="1"/>
      <c r="I379" s="1" t="s">
        <v>7020</v>
      </c>
      <c r="J379" s="1" t="s">
        <v>7021</v>
      </c>
      <c r="K379" s="1"/>
      <c r="L379" s="1"/>
      <c r="M379" s="1" t="s">
        <v>78</v>
      </c>
      <c r="N379" s="1" t="s">
        <v>186</v>
      </c>
      <c r="O379" s="1"/>
      <c r="P379" s="1"/>
      <c r="Q379" s="1"/>
      <c r="R379" s="1"/>
      <c r="S379" s="1"/>
      <c r="T379" s="1" t="s">
        <v>7022</v>
      </c>
      <c r="U379" s="1" t="s">
        <v>7023</v>
      </c>
      <c r="V379" s="1" t="s">
        <v>7024</v>
      </c>
      <c r="W379" s="1" t="s">
        <v>7025</v>
      </c>
      <c r="X379" s="1" t="s">
        <v>6264</v>
      </c>
      <c r="Y379" s="1" t="s">
        <v>7026</v>
      </c>
      <c r="Z379" s="1" t="s">
        <v>7027</v>
      </c>
      <c r="AA379" s="1" t="s">
        <v>7028</v>
      </c>
      <c r="AB379" s="1" t="s">
        <v>7029</v>
      </c>
      <c r="AC379" s="1" t="s">
        <v>7030</v>
      </c>
      <c r="AD379" s="1" t="s">
        <v>7030</v>
      </c>
      <c r="AE379" s="1" t="s">
        <v>7031</v>
      </c>
      <c r="AF379" s="1"/>
      <c r="AG379" s="1" t="n">
        <v>50</v>
      </c>
      <c r="AH379" s="1" t="n">
        <v>5</v>
      </c>
      <c r="AI379" s="1" t="n">
        <v>5</v>
      </c>
      <c r="AJ379" s="1" t="n">
        <v>2</v>
      </c>
      <c r="AK379" s="1" t="n">
        <v>16</v>
      </c>
      <c r="AL379" s="1" t="s">
        <v>2710</v>
      </c>
      <c r="AM379" s="1" t="s">
        <v>1221</v>
      </c>
      <c r="AN379" s="1" t="s">
        <v>2711</v>
      </c>
      <c r="AO379" s="1" t="s">
        <v>7032</v>
      </c>
      <c r="AP379" s="1" t="s">
        <v>7033</v>
      </c>
      <c r="AQ379" s="1"/>
      <c r="AR379" s="1" t="s">
        <v>7034</v>
      </c>
      <c r="AS379" s="1" t="s">
        <v>7035</v>
      </c>
      <c r="AT379" s="1" t="s">
        <v>7036</v>
      </c>
      <c r="AU379" s="1" t="n">
        <v>2021</v>
      </c>
      <c r="AV379" s="1" t="n">
        <v>97</v>
      </c>
      <c r="AW379" s="1" t="n">
        <v>7</v>
      </c>
      <c r="AX379" s="1"/>
      <c r="AY379" s="1"/>
      <c r="AZ379" s="1"/>
      <c r="BA379" s="1"/>
      <c r="BB379" s="1" t="n">
        <v>672</v>
      </c>
      <c r="BC379" s="1" t="n">
        <v>703</v>
      </c>
      <c r="BD379" s="1"/>
      <c r="BE379" s="1" t="s">
        <v>7037</v>
      </c>
      <c r="BF379" s="1" t="str">
        <f aca="false">HYPERLINK("http://dx.doi.org/10.1080/00218464.2019.1696678","http://dx.doi.org/10.1080/00218464.2019.1696678")</f>
        <v>http://dx.doi.org/10.1080/00218464.2019.1696678</v>
      </c>
      <c r="BG379" s="1"/>
      <c r="BH379" s="1" t="s">
        <v>1141</v>
      </c>
      <c r="BI379" s="1" t="n">
        <v>32</v>
      </c>
      <c r="BJ379" s="1" t="s">
        <v>7038</v>
      </c>
      <c r="BK379" s="1" t="s">
        <v>204</v>
      </c>
      <c r="BL379" s="1" t="s">
        <v>4528</v>
      </c>
      <c r="BM379" s="1" t="s">
        <v>7039</v>
      </c>
      <c r="BN379" s="1"/>
      <c r="BO379" s="1" t="s">
        <v>207</v>
      </c>
      <c r="BP379" s="1"/>
      <c r="BQ379" s="1"/>
      <c r="BR379" s="1" t="s">
        <v>103</v>
      </c>
      <c r="BS379" s="1" t="s">
        <v>7040</v>
      </c>
      <c r="BT379" s="1" t="str">
        <f aca="false">HYPERLINK("https%3A%2F%2Fwww.webofscience.com%2Fwos%2Fwoscc%2Ffull-record%2FWOS:000502676600001","View Full Record in Web of Science")</f>
        <v>View Full Record in Web of Science</v>
      </c>
    </row>
    <row r="380" customFormat="false" ht="12.75" hidden="false" customHeight="false" outlineLevel="0" collapsed="false">
      <c r="A380" s="1" t="s">
        <v>181</v>
      </c>
      <c r="B380" s="1" t="s">
        <v>7041</v>
      </c>
      <c r="C380" s="1"/>
      <c r="D380" s="1"/>
      <c r="E380" s="1"/>
      <c r="F380" s="1" t="s">
        <v>7042</v>
      </c>
      <c r="G380" s="1"/>
      <c r="H380" s="1"/>
      <c r="I380" s="1" t="s">
        <v>7043</v>
      </c>
      <c r="J380" s="1" t="s">
        <v>7044</v>
      </c>
      <c r="K380" s="1"/>
      <c r="L380" s="1"/>
      <c r="M380" s="1" t="s">
        <v>78</v>
      </c>
      <c r="N380" s="1" t="s">
        <v>186</v>
      </c>
      <c r="O380" s="1"/>
      <c r="P380" s="1"/>
      <c r="Q380" s="1"/>
      <c r="R380" s="1"/>
      <c r="S380" s="1"/>
      <c r="T380" s="1" t="s">
        <v>7045</v>
      </c>
      <c r="U380" s="1" t="s">
        <v>7046</v>
      </c>
      <c r="V380" s="1" t="s">
        <v>7047</v>
      </c>
      <c r="W380" s="1" t="s">
        <v>7048</v>
      </c>
      <c r="X380" s="1" t="s">
        <v>7049</v>
      </c>
      <c r="Y380" s="1" t="s">
        <v>7050</v>
      </c>
      <c r="Z380" s="1" t="s">
        <v>7051</v>
      </c>
      <c r="AA380" s="1" t="s">
        <v>6855</v>
      </c>
      <c r="AB380" s="1" t="s">
        <v>7052</v>
      </c>
      <c r="AC380" s="1" t="s">
        <v>7053</v>
      </c>
      <c r="AD380" s="1" t="s">
        <v>7053</v>
      </c>
      <c r="AE380" s="1" t="s">
        <v>916</v>
      </c>
      <c r="AF380" s="1"/>
      <c r="AG380" s="1" t="n">
        <v>37</v>
      </c>
      <c r="AH380" s="1" t="n">
        <v>2</v>
      </c>
      <c r="AI380" s="1" t="n">
        <v>2</v>
      </c>
      <c r="AJ380" s="1" t="n">
        <v>0</v>
      </c>
      <c r="AK380" s="1" t="n">
        <v>1</v>
      </c>
      <c r="AL380" s="1" t="s">
        <v>7054</v>
      </c>
      <c r="AM380" s="1" t="s">
        <v>3317</v>
      </c>
      <c r="AN380" s="1" t="s">
        <v>7055</v>
      </c>
      <c r="AO380" s="1" t="s">
        <v>7056</v>
      </c>
      <c r="AP380" s="1"/>
      <c r="AQ380" s="1"/>
      <c r="AR380" s="1" t="s">
        <v>7057</v>
      </c>
      <c r="AS380" s="1" t="s">
        <v>7058</v>
      </c>
      <c r="AT380" s="1" t="s">
        <v>7059</v>
      </c>
      <c r="AU380" s="1" t="n">
        <v>2024</v>
      </c>
      <c r="AV380" s="1" t="n">
        <v>14</v>
      </c>
      <c r="AW380" s="1" t="n">
        <v>1</v>
      </c>
      <c r="AX380" s="1"/>
      <c r="AY380" s="1"/>
      <c r="AZ380" s="1"/>
      <c r="BA380" s="1"/>
      <c r="BB380" s="1"/>
      <c r="BC380" s="1"/>
      <c r="BD380" s="1" t="n">
        <v>4362</v>
      </c>
      <c r="BE380" s="1" t="s">
        <v>7060</v>
      </c>
      <c r="BF380" s="1" t="str">
        <f aca="false">HYPERLINK("http://dx.doi.org/10.1038/s41598-024-54879-z","http://dx.doi.org/10.1038/s41598-024-54879-z")</f>
        <v>http://dx.doi.org/10.1038/s41598-024-54879-z</v>
      </c>
      <c r="BG380" s="1"/>
      <c r="BH380" s="1"/>
      <c r="BI380" s="1" t="n">
        <v>9</v>
      </c>
      <c r="BJ380" s="1" t="s">
        <v>6557</v>
      </c>
      <c r="BK380" s="1" t="s">
        <v>204</v>
      </c>
      <c r="BL380" s="1" t="s">
        <v>6558</v>
      </c>
      <c r="BM380" s="1" t="s">
        <v>7061</v>
      </c>
      <c r="BN380" s="1" t="n">
        <v>38388652</v>
      </c>
      <c r="BO380" s="1" t="s">
        <v>642</v>
      </c>
      <c r="BP380" s="1"/>
      <c r="BQ380" s="1"/>
      <c r="BR380" s="1" t="s">
        <v>103</v>
      </c>
      <c r="BS380" s="1" t="s">
        <v>7062</v>
      </c>
      <c r="BT380" s="1" t="str">
        <f aca="false">HYPERLINK("https%3A%2F%2Fwww.webofscience.com%2Fwos%2Fwoscc%2Ffull-record%2FWOS:001174529200008","View Full Record in Web of Science")</f>
        <v>View Full Record in Web of Science</v>
      </c>
    </row>
    <row r="381" customFormat="false" ht="12.75" hidden="false" customHeight="false" outlineLevel="0" collapsed="false">
      <c r="A381" s="1" t="s">
        <v>72</v>
      </c>
      <c r="B381" s="1" t="s">
        <v>7063</v>
      </c>
      <c r="C381" s="1"/>
      <c r="D381" s="1"/>
      <c r="E381" s="1" t="s">
        <v>74</v>
      </c>
      <c r="F381" s="1" t="s">
        <v>7064</v>
      </c>
      <c r="G381" s="1"/>
      <c r="H381" s="1"/>
      <c r="I381" s="1" t="s">
        <v>7065</v>
      </c>
      <c r="J381" s="1" t="s">
        <v>7066</v>
      </c>
      <c r="K381" s="1"/>
      <c r="L381" s="1"/>
      <c r="M381" s="1" t="s">
        <v>78</v>
      </c>
      <c r="N381" s="1" t="s">
        <v>79</v>
      </c>
      <c r="O381" s="1" t="s">
        <v>7067</v>
      </c>
      <c r="P381" s="1" t="s">
        <v>7068</v>
      </c>
      <c r="Q381" s="1" t="s">
        <v>7069</v>
      </c>
      <c r="R381" s="1"/>
      <c r="S381" s="1"/>
      <c r="T381" s="1" t="s">
        <v>7070</v>
      </c>
      <c r="U381" s="1"/>
      <c r="V381" s="1" t="s">
        <v>7071</v>
      </c>
      <c r="W381" s="1" t="s">
        <v>7072</v>
      </c>
      <c r="X381" s="1" t="s">
        <v>5099</v>
      </c>
      <c r="Y381" s="1" t="s">
        <v>7073</v>
      </c>
      <c r="Z381" s="1" t="s">
        <v>7074</v>
      </c>
      <c r="AA381" s="1" t="s">
        <v>362</v>
      </c>
      <c r="AB381" s="1" t="s">
        <v>2065</v>
      </c>
      <c r="AC381" s="1" t="s">
        <v>7075</v>
      </c>
      <c r="AD381" s="1" t="s">
        <v>7076</v>
      </c>
      <c r="AE381" s="1" t="s">
        <v>7077</v>
      </c>
      <c r="AF381" s="1"/>
      <c r="AG381" s="1" t="n">
        <v>4</v>
      </c>
      <c r="AH381" s="1" t="n">
        <v>0</v>
      </c>
      <c r="AI381" s="1" t="n">
        <v>0</v>
      </c>
      <c r="AJ381" s="1" t="n">
        <v>1</v>
      </c>
      <c r="AK381" s="1" t="n">
        <v>2</v>
      </c>
      <c r="AL381" s="1" t="s">
        <v>94</v>
      </c>
      <c r="AM381" s="1" t="s">
        <v>95</v>
      </c>
      <c r="AN381" s="1" t="s">
        <v>96</v>
      </c>
      <c r="AO381" s="1"/>
      <c r="AP381" s="1"/>
      <c r="AQ381" s="1" t="s">
        <v>7078</v>
      </c>
      <c r="AR381" s="1"/>
      <c r="AS381" s="1"/>
      <c r="AT381" s="1"/>
      <c r="AU381" s="1" t="n">
        <v>2023</v>
      </c>
      <c r="AV381" s="1"/>
      <c r="AW381" s="1"/>
      <c r="AX381" s="1"/>
      <c r="AY381" s="1"/>
      <c r="AZ381" s="1"/>
      <c r="BA381" s="1"/>
      <c r="BB381" s="1" t="n">
        <v>192</v>
      </c>
      <c r="BC381" s="1" t="n">
        <v>195</v>
      </c>
      <c r="BD381" s="1"/>
      <c r="BE381" s="1" t="s">
        <v>7079</v>
      </c>
      <c r="BF381" s="1" t="str">
        <f aca="false">HYPERLINK("http://dx.doi.org/10.1145/3593434.3593472","http://dx.doi.org/10.1145/3593434.3593472")</f>
        <v>http://dx.doi.org/10.1145/3593434.3593472</v>
      </c>
      <c r="BG381" s="1"/>
      <c r="BH381" s="1"/>
      <c r="BI381" s="1" t="n">
        <v>4</v>
      </c>
      <c r="BJ381" s="1" t="s">
        <v>252</v>
      </c>
      <c r="BK381" s="1" t="s">
        <v>100</v>
      </c>
      <c r="BL381" s="1" t="s">
        <v>101</v>
      </c>
      <c r="BM381" s="1" t="s">
        <v>7080</v>
      </c>
      <c r="BN381" s="1"/>
      <c r="BO381" s="1" t="s">
        <v>7081</v>
      </c>
      <c r="BP381" s="1"/>
      <c r="BQ381" s="1"/>
      <c r="BR381" s="1" t="s">
        <v>103</v>
      </c>
      <c r="BS381" s="1" t="s">
        <v>7082</v>
      </c>
      <c r="BT381" s="1" t="str">
        <f aca="false">HYPERLINK("https%3A%2F%2Fwww.webofscience.com%2Fwos%2Fwoscc%2Ffull-record%2FWOS:001112128800021","View Full Record in Web of Science")</f>
        <v>View Full Record in Web of Science</v>
      </c>
    </row>
    <row r="382" customFormat="false" ht="12.75" hidden="false" customHeight="false" outlineLevel="0" collapsed="false">
      <c r="A382" s="1" t="s">
        <v>181</v>
      </c>
      <c r="B382" s="1" t="s">
        <v>7083</v>
      </c>
      <c r="C382" s="1"/>
      <c r="D382" s="1"/>
      <c r="E382" s="1"/>
      <c r="F382" s="1" t="s">
        <v>7084</v>
      </c>
      <c r="G382" s="1"/>
      <c r="H382" s="1"/>
      <c r="I382" s="1" t="s">
        <v>7085</v>
      </c>
      <c r="J382" s="1" t="s">
        <v>4407</v>
      </c>
      <c r="K382" s="1"/>
      <c r="L382" s="1"/>
      <c r="M382" s="1" t="s">
        <v>78</v>
      </c>
      <c r="N382" s="1" t="s">
        <v>186</v>
      </c>
      <c r="O382" s="1"/>
      <c r="P382" s="1"/>
      <c r="Q382" s="1"/>
      <c r="R382" s="1"/>
      <c r="S382" s="1"/>
      <c r="T382" s="1" t="s">
        <v>7086</v>
      </c>
      <c r="U382" s="1" t="s">
        <v>7087</v>
      </c>
      <c r="V382" s="1" t="s">
        <v>7088</v>
      </c>
      <c r="W382" s="1" t="s">
        <v>7089</v>
      </c>
      <c r="X382" s="1" t="s">
        <v>86</v>
      </c>
      <c r="Y382" s="1" t="s">
        <v>7090</v>
      </c>
      <c r="Z382" s="1" t="s">
        <v>7091</v>
      </c>
      <c r="AA382" s="1" t="s">
        <v>7092</v>
      </c>
      <c r="AB382" s="1" t="s">
        <v>7093</v>
      </c>
      <c r="AC382" s="1" t="s">
        <v>7094</v>
      </c>
      <c r="AD382" s="1" t="s">
        <v>7095</v>
      </c>
      <c r="AE382" s="1" t="s">
        <v>7096</v>
      </c>
      <c r="AF382" s="1"/>
      <c r="AG382" s="1" t="n">
        <v>37</v>
      </c>
      <c r="AH382" s="1" t="n">
        <v>3</v>
      </c>
      <c r="AI382" s="1" t="n">
        <v>3</v>
      </c>
      <c r="AJ382" s="1" t="n">
        <v>0</v>
      </c>
      <c r="AK382" s="1" t="n">
        <v>5</v>
      </c>
      <c r="AL382" s="1" t="s">
        <v>4414</v>
      </c>
      <c r="AM382" s="1" t="s">
        <v>4415</v>
      </c>
      <c r="AN382" s="1" t="s">
        <v>4416</v>
      </c>
      <c r="AO382" s="1" t="s">
        <v>4417</v>
      </c>
      <c r="AP382" s="1"/>
      <c r="AQ382" s="1"/>
      <c r="AR382" s="1" t="s">
        <v>4418</v>
      </c>
      <c r="AS382" s="1" t="s">
        <v>4419</v>
      </c>
      <c r="AT382" s="1"/>
      <c r="AU382" s="1" t="n">
        <v>2022</v>
      </c>
      <c r="AV382" s="1" t="n">
        <v>28</v>
      </c>
      <c r="AW382" s="1" t="n">
        <v>3</v>
      </c>
      <c r="AX382" s="1"/>
      <c r="AY382" s="1"/>
      <c r="AZ382" s="1"/>
      <c r="BA382" s="1"/>
      <c r="BB382" s="1" t="n">
        <v>45</v>
      </c>
      <c r="BC382" s="1" t="n">
        <v>53</v>
      </c>
      <c r="BD382" s="1"/>
      <c r="BE382" s="1"/>
      <c r="BF382" s="1"/>
      <c r="BG382" s="1"/>
      <c r="BH382" s="1"/>
      <c r="BI382" s="1" t="n">
        <v>9</v>
      </c>
      <c r="BJ382" s="1" t="s">
        <v>4421</v>
      </c>
      <c r="BK382" s="1" t="s">
        <v>204</v>
      </c>
      <c r="BL382" s="1" t="s">
        <v>640</v>
      </c>
      <c r="BM382" s="1" t="s">
        <v>7097</v>
      </c>
      <c r="BN382" s="1"/>
      <c r="BO382" s="1"/>
      <c r="BP382" s="1"/>
      <c r="BQ382" s="1"/>
      <c r="BR382" s="1" t="s">
        <v>103</v>
      </c>
      <c r="BS382" s="1" t="s">
        <v>7098</v>
      </c>
      <c r="BT382" s="1" t="str">
        <f aca="false">HYPERLINK("https%3A%2F%2Fwww.webofscience.com%2Fwos%2Fwoscc%2Ffull-record%2FWOS:000838025400006","View Full Record in Web of Science")</f>
        <v>View Full Record in Web of Science</v>
      </c>
    </row>
    <row r="383" customFormat="false" ht="12.75" hidden="false" customHeight="false" outlineLevel="0" collapsed="false">
      <c r="A383" s="1" t="s">
        <v>181</v>
      </c>
      <c r="B383" s="1" t="s">
        <v>7099</v>
      </c>
      <c r="C383" s="1"/>
      <c r="D383" s="1"/>
      <c r="E383" s="1"/>
      <c r="F383" s="1" t="s">
        <v>7100</v>
      </c>
      <c r="G383" s="1"/>
      <c r="H383" s="1"/>
      <c r="I383" s="1" t="s">
        <v>7101</v>
      </c>
      <c r="J383" s="1" t="s">
        <v>7102</v>
      </c>
      <c r="K383" s="1"/>
      <c r="L383" s="1"/>
      <c r="M383" s="1" t="s">
        <v>78</v>
      </c>
      <c r="N383" s="1" t="s">
        <v>186</v>
      </c>
      <c r="O383" s="1"/>
      <c r="P383" s="1"/>
      <c r="Q383" s="1"/>
      <c r="R383" s="1"/>
      <c r="S383" s="1"/>
      <c r="T383" s="1" t="s">
        <v>7103</v>
      </c>
      <c r="U383" s="1" t="s">
        <v>7104</v>
      </c>
      <c r="V383" s="1" t="s">
        <v>7105</v>
      </c>
      <c r="W383" s="1" t="s">
        <v>7106</v>
      </c>
      <c r="X383" s="1" t="s">
        <v>5847</v>
      </c>
      <c r="Y383" s="1" t="s">
        <v>7107</v>
      </c>
      <c r="Z383" s="1" t="s">
        <v>4786</v>
      </c>
      <c r="AA383" s="1" t="s">
        <v>7108</v>
      </c>
      <c r="AB383" s="1" t="s">
        <v>7109</v>
      </c>
      <c r="AC383" s="1"/>
      <c r="AD383" s="1"/>
      <c r="AE383" s="1"/>
      <c r="AF383" s="1"/>
      <c r="AG383" s="1" t="n">
        <v>35</v>
      </c>
      <c r="AH383" s="1" t="n">
        <v>3</v>
      </c>
      <c r="AI383" s="1" t="n">
        <v>3</v>
      </c>
      <c r="AJ383" s="1" t="n">
        <v>0</v>
      </c>
      <c r="AK383" s="1" t="n">
        <v>10</v>
      </c>
      <c r="AL383" s="1" t="s">
        <v>5713</v>
      </c>
      <c r="AM383" s="1" t="s">
        <v>1908</v>
      </c>
      <c r="AN383" s="1" t="s">
        <v>5714</v>
      </c>
      <c r="AO383" s="1" t="s">
        <v>7110</v>
      </c>
      <c r="AP383" s="1" t="s">
        <v>7111</v>
      </c>
      <c r="AQ383" s="1"/>
      <c r="AR383" s="1" t="s">
        <v>7112</v>
      </c>
      <c r="AS383" s="1" t="s">
        <v>7113</v>
      </c>
      <c r="AT383" s="1" t="s">
        <v>537</v>
      </c>
      <c r="AU383" s="1" t="n">
        <v>2023</v>
      </c>
      <c r="AV383" s="1" t="n">
        <v>44</v>
      </c>
      <c r="AW383" s="1" t="n">
        <v>1</v>
      </c>
      <c r="AX383" s="1"/>
      <c r="AY383" s="1"/>
      <c r="AZ383" s="1"/>
      <c r="BA383" s="1"/>
      <c r="BB383" s="1" t="n">
        <v>161</v>
      </c>
      <c r="BC383" s="1" t="n">
        <v>183</v>
      </c>
      <c r="BD383" s="1" t="s">
        <v>7114</v>
      </c>
      <c r="BE383" s="1" t="s">
        <v>7115</v>
      </c>
      <c r="BF383" s="1" t="str">
        <f aca="false">HYPERLINK("http://dx.doi.org/10.1177/0143831X211064338","http://dx.doi.org/10.1177/0143831X211064338")</f>
        <v>http://dx.doi.org/10.1177/0143831X211064338</v>
      </c>
      <c r="BG383" s="1"/>
      <c r="BH383" s="1" t="s">
        <v>7116</v>
      </c>
      <c r="BI383" s="1" t="n">
        <v>23</v>
      </c>
      <c r="BJ383" s="1" t="s">
        <v>7117</v>
      </c>
      <c r="BK383" s="1" t="s">
        <v>610</v>
      </c>
      <c r="BL383" s="1" t="s">
        <v>715</v>
      </c>
      <c r="BM383" s="1" t="s">
        <v>7118</v>
      </c>
      <c r="BN383" s="1"/>
      <c r="BO383" s="1" t="s">
        <v>612</v>
      </c>
      <c r="BP383" s="1"/>
      <c r="BQ383" s="1"/>
      <c r="BR383" s="1" t="s">
        <v>103</v>
      </c>
      <c r="BS383" s="1" t="s">
        <v>7119</v>
      </c>
      <c r="BT383" s="1" t="str">
        <f aca="false">HYPERLINK("https%3A%2F%2Fwww.webofscience.com%2Fwos%2Fwoscc%2Ffull-record%2FWOS:000736622100001","View Full Record in Web of Science")</f>
        <v>View Full Record in Web of Science</v>
      </c>
    </row>
    <row r="384" customFormat="false" ht="12.75" hidden="false" customHeight="false" outlineLevel="0" collapsed="false">
      <c r="A384" s="1" t="s">
        <v>72</v>
      </c>
      <c r="B384" s="1" t="s">
        <v>7120</v>
      </c>
      <c r="C384" s="1"/>
      <c r="D384" s="1" t="s">
        <v>7121</v>
      </c>
      <c r="E384" s="1"/>
      <c r="F384" s="1" t="s">
        <v>7122</v>
      </c>
      <c r="G384" s="1"/>
      <c r="H384" s="1"/>
      <c r="I384" s="1" t="s">
        <v>7123</v>
      </c>
      <c r="J384" s="1" t="s">
        <v>7124</v>
      </c>
      <c r="K384" s="1" t="s">
        <v>7125</v>
      </c>
      <c r="L384" s="1"/>
      <c r="M384" s="1" t="s">
        <v>78</v>
      </c>
      <c r="N384" s="1" t="s">
        <v>79</v>
      </c>
      <c r="O384" s="1" t="s">
        <v>7126</v>
      </c>
      <c r="P384" s="1" t="s">
        <v>7127</v>
      </c>
      <c r="Q384" s="1" t="s">
        <v>7128</v>
      </c>
      <c r="R384" s="1" t="s">
        <v>7129</v>
      </c>
      <c r="S384" s="1" t="s">
        <v>7130</v>
      </c>
      <c r="T384" s="1" t="s">
        <v>7131</v>
      </c>
      <c r="U384" s="1"/>
      <c r="V384" s="1" t="s">
        <v>7132</v>
      </c>
      <c r="W384" s="1" t="s">
        <v>7133</v>
      </c>
      <c r="X384" s="1" t="s">
        <v>6290</v>
      </c>
      <c r="Y384" s="1" t="s">
        <v>7134</v>
      </c>
      <c r="Z384" s="1" t="s">
        <v>7135</v>
      </c>
      <c r="AA384" s="1"/>
      <c r="AB384" s="1"/>
      <c r="AC384" s="1"/>
      <c r="AD384" s="1"/>
      <c r="AE384" s="1"/>
      <c r="AF384" s="1"/>
      <c r="AG384" s="1" t="n">
        <v>11</v>
      </c>
      <c r="AH384" s="1" t="n">
        <v>0</v>
      </c>
      <c r="AI384" s="1" t="n">
        <v>0</v>
      </c>
      <c r="AJ384" s="1" t="n">
        <v>3</v>
      </c>
      <c r="AK384" s="1" t="n">
        <v>13</v>
      </c>
      <c r="AL384" s="1" t="s">
        <v>302</v>
      </c>
      <c r="AM384" s="1" t="s">
        <v>303</v>
      </c>
      <c r="AN384" s="1" t="s">
        <v>304</v>
      </c>
      <c r="AO384" s="1" t="s">
        <v>7136</v>
      </c>
      <c r="AP384" s="1" t="s">
        <v>7137</v>
      </c>
      <c r="AQ384" s="1" t="s">
        <v>7138</v>
      </c>
      <c r="AR384" s="1" t="s">
        <v>7139</v>
      </c>
      <c r="AS384" s="1"/>
      <c r="AT384" s="1"/>
      <c r="AU384" s="1" t="n">
        <v>2021</v>
      </c>
      <c r="AV384" s="1" t="n">
        <v>1231</v>
      </c>
      <c r="AW384" s="1"/>
      <c r="AX384" s="1"/>
      <c r="AY384" s="1"/>
      <c r="AZ384" s="1"/>
      <c r="BA384" s="1"/>
      <c r="BB384" s="1" t="n">
        <v>46</v>
      </c>
      <c r="BC384" s="1" t="n">
        <v>62</v>
      </c>
      <c r="BD384" s="1"/>
      <c r="BE384" s="1" t="s">
        <v>7140</v>
      </c>
      <c r="BF384" s="1" t="str">
        <f aca="false">HYPERLINK("http://dx.doi.org/10.1007/978-3-030-52575-0_4","http://dx.doi.org/10.1007/978-3-030-52575-0_4")</f>
        <v>http://dx.doi.org/10.1007/978-3-030-52575-0_4</v>
      </c>
      <c r="BG384" s="1"/>
      <c r="BH384" s="1"/>
      <c r="BI384" s="1" t="n">
        <v>17</v>
      </c>
      <c r="BJ384" s="1" t="s">
        <v>7141</v>
      </c>
      <c r="BK384" s="1" t="s">
        <v>100</v>
      </c>
      <c r="BL384" s="1" t="s">
        <v>1255</v>
      </c>
      <c r="BM384" s="1" t="s">
        <v>7142</v>
      </c>
      <c r="BN384" s="1"/>
      <c r="BO384" s="1"/>
      <c r="BP384" s="1"/>
      <c r="BQ384" s="1"/>
      <c r="BR384" s="1" t="s">
        <v>103</v>
      </c>
      <c r="BS384" s="1" t="s">
        <v>7143</v>
      </c>
      <c r="BT384" s="1" t="str">
        <f aca="false">HYPERLINK("https%3A%2F%2Fwww.webofscience.com%2Fwos%2Fwoscc%2Ffull-record%2FWOS:000772176100004","View Full Record in Web of Science")</f>
        <v>View Full Record in Web of Science</v>
      </c>
    </row>
    <row r="385" customFormat="false" ht="12.75" hidden="false" customHeight="false" outlineLevel="0" collapsed="false">
      <c r="A385" s="1" t="s">
        <v>181</v>
      </c>
      <c r="B385" s="1" t="s">
        <v>7144</v>
      </c>
      <c r="C385" s="1"/>
      <c r="D385" s="1"/>
      <c r="E385" s="1"/>
      <c r="F385" s="1" t="s">
        <v>7145</v>
      </c>
      <c r="G385" s="1"/>
      <c r="H385" s="1"/>
      <c r="I385" s="1" t="s">
        <v>7146</v>
      </c>
      <c r="J385" s="1" t="s">
        <v>1104</v>
      </c>
      <c r="K385" s="1"/>
      <c r="L385" s="1"/>
      <c r="M385" s="1" t="s">
        <v>78</v>
      </c>
      <c r="N385" s="1" t="s">
        <v>186</v>
      </c>
      <c r="O385" s="1"/>
      <c r="P385" s="1"/>
      <c r="Q385" s="1"/>
      <c r="R385" s="1"/>
      <c r="S385" s="1"/>
      <c r="T385" s="1" t="s">
        <v>7147</v>
      </c>
      <c r="U385" s="1" t="s">
        <v>7148</v>
      </c>
      <c r="V385" s="1" t="s">
        <v>7149</v>
      </c>
      <c r="W385" s="1" t="s">
        <v>7150</v>
      </c>
      <c r="X385" s="1" t="s">
        <v>7151</v>
      </c>
      <c r="Y385" s="1" t="s">
        <v>7152</v>
      </c>
      <c r="Z385" s="1" t="s">
        <v>7153</v>
      </c>
      <c r="AA385" s="1" t="s">
        <v>2165</v>
      </c>
      <c r="AB385" s="1" t="s">
        <v>2166</v>
      </c>
      <c r="AC385" s="1" t="s">
        <v>2913</v>
      </c>
      <c r="AD385" s="1" t="s">
        <v>391</v>
      </c>
      <c r="AE385" s="1" t="s">
        <v>7154</v>
      </c>
      <c r="AF385" s="1"/>
      <c r="AG385" s="1" t="n">
        <v>36</v>
      </c>
      <c r="AH385" s="1" t="n">
        <v>2</v>
      </c>
      <c r="AI385" s="1" t="n">
        <v>2</v>
      </c>
      <c r="AJ385" s="1" t="n">
        <v>0</v>
      </c>
      <c r="AK385" s="1" t="n">
        <v>1</v>
      </c>
      <c r="AL385" s="1" t="s">
        <v>195</v>
      </c>
      <c r="AM385" s="1" t="s">
        <v>196</v>
      </c>
      <c r="AN385" s="1" t="s">
        <v>197</v>
      </c>
      <c r="AO385" s="1" t="s">
        <v>1114</v>
      </c>
      <c r="AP385" s="1"/>
      <c r="AQ385" s="1"/>
      <c r="AR385" s="1" t="s">
        <v>1104</v>
      </c>
      <c r="AS385" s="1" t="s">
        <v>1115</v>
      </c>
      <c r="AT385" s="1"/>
      <c r="AU385" s="1" t="n">
        <v>2021</v>
      </c>
      <c r="AV385" s="1" t="n">
        <v>9</v>
      </c>
      <c r="AW385" s="1"/>
      <c r="AX385" s="1"/>
      <c r="AY385" s="1"/>
      <c r="AZ385" s="1"/>
      <c r="BA385" s="1"/>
      <c r="BB385" s="1" t="n">
        <v>99455</v>
      </c>
      <c r="BC385" s="1" t="n">
        <v>99466</v>
      </c>
      <c r="BD385" s="1"/>
      <c r="BE385" s="1" t="s">
        <v>7155</v>
      </c>
      <c r="BF385" s="1" t="str">
        <f aca="false">HYPERLINK("http://dx.doi.org/10.1109/ACCESS.2021.3096201","http://dx.doi.org/10.1109/ACCESS.2021.3096201")</f>
        <v>http://dx.doi.org/10.1109/ACCESS.2021.3096201</v>
      </c>
      <c r="BG385" s="1"/>
      <c r="BH385" s="1"/>
      <c r="BI385" s="1" t="n">
        <v>12</v>
      </c>
      <c r="BJ385" s="1" t="s">
        <v>1117</v>
      </c>
      <c r="BK385" s="1" t="s">
        <v>204</v>
      </c>
      <c r="BL385" s="1" t="s">
        <v>1118</v>
      </c>
      <c r="BM385" s="1" t="s">
        <v>7156</v>
      </c>
      <c r="BN385" s="1"/>
      <c r="BO385" s="1" t="s">
        <v>1209</v>
      </c>
      <c r="BP385" s="1"/>
      <c r="BQ385" s="1"/>
      <c r="BR385" s="1" t="s">
        <v>103</v>
      </c>
      <c r="BS385" s="1" t="s">
        <v>7157</v>
      </c>
      <c r="BT385" s="1" t="str">
        <f aca="false">HYPERLINK("https%3A%2F%2Fwww.webofscience.com%2Fwos%2Fwoscc%2Ffull-record%2FWOS:000675195700001","View Full Record in Web of Science")</f>
        <v>View Full Record in Web of Science</v>
      </c>
    </row>
    <row r="386" customFormat="false" ht="12.75" hidden="false" customHeight="false" outlineLevel="0" collapsed="false">
      <c r="A386" s="1" t="s">
        <v>181</v>
      </c>
      <c r="B386" s="1" t="s">
        <v>7158</v>
      </c>
      <c r="C386" s="1"/>
      <c r="D386" s="1"/>
      <c r="E386" s="1"/>
      <c r="F386" s="1" t="s">
        <v>7159</v>
      </c>
      <c r="G386" s="1"/>
      <c r="H386" s="1"/>
      <c r="I386" s="1" t="s">
        <v>7160</v>
      </c>
      <c r="J386" s="1" t="s">
        <v>2816</v>
      </c>
      <c r="K386" s="1"/>
      <c r="L386" s="1"/>
      <c r="M386" s="1" t="s">
        <v>78</v>
      </c>
      <c r="N386" s="1" t="s">
        <v>186</v>
      </c>
      <c r="O386" s="1"/>
      <c r="P386" s="1"/>
      <c r="Q386" s="1"/>
      <c r="R386" s="1"/>
      <c r="S386" s="1"/>
      <c r="T386" s="1" t="s">
        <v>7161</v>
      </c>
      <c r="U386" s="1" t="s">
        <v>7162</v>
      </c>
      <c r="V386" s="1" t="s">
        <v>7163</v>
      </c>
      <c r="W386" s="1" t="s">
        <v>7164</v>
      </c>
      <c r="X386" s="1" t="s">
        <v>5999</v>
      </c>
      <c r="Y386" s="1" t="s">
        <v>7165</v>
      </c>
      <c r="Z386" s="1" t="s">
        <v>7166</v>
      </c>
      <c r="AA386" s="1"/>
      <c r="AB386" s="1" t="s">
        <v>7167</v>
      </c>
      <c r="AC386" s="1" t="s">
        <v>268</v>
      </c>
      <c r="AD386" s="1" t="s">
        <v>268</v>
      </c>
      <c r="AE386" s="1" t="s">
        <v>7168</v>
      </c>
      <c r="AF386" s="1"/>
      <c r="AG386" s="1" t="n">
        <v>30</v>
      </c>
      <c r="AH386" s="1" t="n">
        <v>17</v>
      </c>
      <c r="AI386" s="1" t="n">
        <v>18</v>
      </c>
      <c r="AJ386" s="1" t="n">
        <v>1</v>
      </c>
      <c r="AK386" s="1" t="n">
        <v>9</v>
      </c>
      <c r="AL386" s="1" t="s">
        <v>2825</v>
      </c>
      <c r="AM386" s="1" t="s">
        <v>2826</v>
      </c>
      <c r="AN386" s="1" t="s">
        <v>2827</v>
      </c>
      <c r="AO386" s="1" t="s">
        <v>2828</v>
      </c>
      <c r="AP386" s="1" t="s">
        <v>2829</v>
      </c>
      <c r="AQ386" s="1"/>
      <c r="AR386" s="1" t="s">
        <v>2830</v>
      </c>
      <c r="AS386" s="1" t="s">
        <v>2831</v>
      </c>
      <c r="AT386" s="1" t="s">
        <v>754</v>
      </c>
      <c r="AU386" s="1" t="n">
        <v>2021</v>
      </c>
      <c r="AV386" s="1" t="n">
        <v>16</v>
      </c>
      <c r="AW386" s="1" t="n">
        <v>3</v>
      </c>
      <c r="AX386" s="1"/>
      <c r="AY386" s="1"/>
      <c r="AZ386" s="1" t="s">
        <v>1698</v>
      </c>
      <c r="BA386" s="1"/>
      <c r="BB386" s="1" t="n">
        <v>795</v>
      </c>
      <c r="BC386" s="1" t="n">
        <v>807</v>
      </c>
      <c r="BD386" s="1"/>
      <c r="BE386" s="1" t="s">
        <v>7169</v>
      </c>
      <c r="BF386" s="1" t="str">
        <f aca="false">HYPERLINK("http://dx.doi.org/10.1007/s11625-020-00808-8","http://dx.doi.org/10.1007/s11625-020-00808-8")</f>
        <v>http://dx.doi.org/10.1007/s11625-020-00808-8</v>
      </c>
      <c r="BG386" s="1"/>
      <c r="BH386" s="1" t="s">
        <v>7170</v>
      </c>
      <c r="BI386" s="1" t="n">
        <v>13</v>
      </c>
      <c r="BJ386" s="1" t="s">
        <v>2834</v>
      </c>
      <c r="BK386" s="1" t="s">
        <v>204</v>
      </c>
      <c r="BL386" s="1" t="s">
        <v>399</v>
      </c>
      <c r="BM386" s="1" t="s">
        <v>7171</v>
      </c>
      <c r="BN386" s="1"/>
      <c r="BO386" s="1" t="s">
        <v>612</v>
      </c>
      <c r="BP386" s="1"/>
      <c r="BQ386" s="1"/>
      <c r="BR386" s="1" t="s">
        <v>103</v>
      </c>
      <c r="BS386" s="1" t="s">
        <v>7172</v>
      </c>
      <c r="BT386" s="1" t="str">
        <f aca="false">HYPERLINK("https%3A%2F%2Fwww.webofscience.com%2Fwos%2Fwoscc%2Ffull-record%2FWOS:000529705900001","View Full Record in Web of Science")</f>
        <v>View Full Record in Web of Science</v>
      </c>
    </row>
    <row r="387" customFormat="false" ht="12.75" hidden="false" customHeight="false" outlineLevel="0" collapsed="false">
      <c r="A387" s="1" t="s">
        <v>181</v>
      </c>
      <c r="B387" s="1" t="s">
        <v>7173</v>
      </c>
      <c r="C387" s="1"/>
      <c r="D387" s="1"/>
      <c r="E387" s="1"/>
      <c r="F387" s="1" t="s">
        <v>7174</v>
      </c>
      <c r="G387" s="1"/>
      <c r="H387" s="1"/>
      <c r="I387" s="1" t="s">
        <v>7175</v>
      </c>
      <c r="J387" s="1" t="s">
        <v>1378</v>
      </c>
      <c r="K387" s="1"/>
      <c r="L387" s="1"/>
      <c r="M387" s="1" t="s">
        <v>78</v>
      </c>
      <c r="N387" s="1" t="s">
        <v>186</v>
      </c>
      <c r="O387" s="1"/>
      <c r="P387" s="1"/>
      <c r="Q387" s="1"/>
      <c r="R387" s="1"/>
      <c r="S387" s="1"/>
      <c r="T387" s="1" t="s">
        <v>7176</v>
      </c>
      <c r="U387" s="1" t="s">
        <v>7177</v>
      </c>
      <c r="V387" s="1" t="s">
        <v>7178</v>
      </c>
      <c r="W387" s="1" t="s">
        <v>7179</v>
      </c>
      <c r="X387" s="1" t="s">
        <v>7180</v>
      </c>
      <c r="Y387" s="1" t="s">
        <v>7181</v>
      </c>
      <c r="Z387" s="1" t="s">
        <v>7182</v>
      </c>
      <c r="AA387" s="1" t="s">
        <v>7183</v>
      </c>
      <c r="AB387" s="1" t="s">
        <v>7184</v>
      </c>
      <c r="AC387" s="1" t="s">
        <v>7185</v>
      </c>
      <c r="AD387" s="1" t="s">
        <v>7186</v>
      </c>
      <c r="AE387" s="1" t="s">
        <v>7187</v>
      </c>
      <c r="AF387" s="1"/>
      <c r="AG387" s="1" t="n">
        <v>75</v>
      </c>
      <c r="AH387" s="1" t="n">
        <v>12</v>
      </c>
      <c r="AI387" s="1" t="n">
        <v>12</v>
      </c>
      <c r="AJ387" s="1" t="n">
        <v>2</v>
      </c>
      <c r="AK387" s="1" t="n">
        <v>8</v>
      </c>
      <c r="AL387" s="1" t="s">
        <v>893</v>
      </c>
      <c r="AM387" s="1" t="s">
        <v>894</v>
      </c>
      <c r="AN387" s="1" t="s">
        <v>895</v>
      </c>
      <c r="AO387" s="1" t="s">
        <v>1387</v>
      </c>
      <c r="AP387" s="1" t="s">
        <v>1388</v>
      </c>
      <c r="AQ387" s="1"/>
      <c r="AR387" s="1" t="s">
        <v>1389</v>
      </c>
      <c r="AS387" s="1" t="s">
        <v>1390</v>
      </c>
      <c r="AT387" s="1" t="s">
        <v>277</v>
      </c>
      <c r="AU387" s="1" t="n">
        <v>2023</v>
      </c>
      <c r="AV387" s="1" t="n">
        <v>155</v>
      </c>
      <c r="AW387" s="1"/>
      <c r="AX387" s="1"/>
      <c r="AY387" s="1"/>
      <c r="AZ387" s="1"/>
      <c r="BA387" s="1"/>
      <c r="BB387" s="1"/>
      <c r="BC387" s="1"/>
      <c r="BD387" s="1" t="n">
        <v>107112</v>
      </c>
      <c r="BE387" s="1" t="s">
        <v>7188</v>
      </c>
      <c r="BF387" s="1" t="str">
        <f aca="false">HYPERLINK("http://dx.doi.org/10.1016/j.infsof.2022.107112","http://dx.doi.org/10.1016/j.infsof.2022.107112")</f>
        <v>http://dx.doi.org/10.1016/j.infsof.2022.107112</v>
      </c>
      <c r="BG387" s="1"/>
      <c r="BH387" s="1" t="s">
        <v>3236</v>
      </c>
      <c r="BI387" s="1" t="n">
        <v>15</v>
      </c>
      <c r="BJ387" s="1" t="s">
        <v>1394</v>
      </c>
      <c r="BK387" s="1" t="s">
        <v>204</v>
      </c>
      <c r="BL387" s="1" t="s">
        <v>101</v>
      </c>
      <c r="BM387" s="1" t="s">
        <v>7189</v>
      </c>
      <c r="BN387" s="1"/>
      <c r="BO387" s="1"/>
      <c r="BP387" s="1"/>
      <c r="BQ387" s="1"/>
      <c r="BR387" s="1" t="s">
        <v>103</v>
      </c>
      <c r="BS387" s="1" t="s">
        <v>7190</v>
      </c>
      <c r="BT387" s="1" t="str">
        <f aca="false">HYPERLINK("https%3A%2F%2Fwww.webofscience.com%2Fwos%2Fwoscc%2Ffull-record%2FWOS:000901826200018","View Full Record in Web of Science")</f>
        <v>View Full Record in Web of Science</v>
      </c>
    </row>
    <row r="388" customFormat="false" ht="12.75" hidden="false" customHeight="false" outlineLevel="0" collapsed="false">
      <c r="A388" s="1" t="s">
        <v>181</v>
      </c>
      <c r="B388" s="1" t="s">
        <v>7191</v>
      </c>
      <c r="C388" s="1"/>
      <c r="D388" s="1"/>
      <c r="E388" s="1"/>
      <c r="F388" s="1" t="s">
        <v>7192</v>
      </c>
      <c r="G388" s="1"/>
      <c r="H388" s="1"/>
      <c r="I388" s="1" t="s">
        <v>7193</v>
      </c>
      <c r="J388" s="1" t="s">
        <v>7194</v>
      </c>
      <c r="K388" s="1"/>
      <c r="L388" s="1"/>
      <c r="M388" s="1" t="s">
        <v>78</v>
      </c>
      <c r="N388" s="1" t="s">
        <v>186</v>
      </c>
      <c r="O388" s="1"/>
      <c r="P388" s="1"/>
      <c r="Q388" s="1"/>
      <c r="R388" s="1"/>
      <c r="S388" s="1"/>
      <c r="T388" s="1" t="s">
        <v>7195</v>
      </c>
      <c r="U388" s="1" t="s">
        <v>7196</v>
      </c>
      <c r="V388" s="1" t="s">
        <v>7197</v>
      </c>
      <c r="W388" s="1" t="s">
        <v>7198</v>
      </c>
      <c r="X388" s="1" t="s">
        <v>7199</v>
      </c>
      <c r="Y388" s="1" t="s">
        <v>7200</v>
      </c>
      <c r="Z388" s="1" t="s">
        <v>7201</v>
      </c>
      <c r="AA388" s="1" t="s">
        <v>7202</v>
      </c>
      <c r="AB388" s="1"/>
      <c r="AC388" s="1"/>
      <c r="AD388" s="1"/>
      <c r="AE388" s="1"/>
      <c r="AF388" s="1"/>
      <c r="AG388" s="1" t="n">
        <v>48</v>
      </c>
      <c r="AH388" s="1" t="n">
        <v>4</v>
      </c>
      <c r="AI388" s="1" t="n">
        <v>4</v>
      </c>
      <c r="AJ388" s="1" t="n">
        <v>0</v>
      </c>
      <c r="AK388" s="1" t="n">
        <v>4</v>
      </c>
      <c r="AL388" s="1" t="s">
        <v>7203</v>
      </c>
      <c r="AM388" s="1" t="s">
        <v>7204</v>
      </c>
      <c r="AN388" s="1" t="s">
        <v>7205</v>
      </c>
      <c r="AO388" s="1" t="s">
        <v>7206</v>
      </c>
      <c r="AP388" s="1" t="s">
        <v>7207</v>
      </c>
      <c r="AQ388" s="1"/>
      <c r="AR388" s="1" t="s">
        <v>7208</v>
      </c>
      <c r="AS388" s="1" t="s">
        <v>7209</v>
      </c>
      <c r="AT388" s="1" t="s">
        <v>372</v>
      </c>
      <c r="AU388" s="1" t="n">
        <v>2021</v>
      </c>
      <c r="AV388" s="1" t="n">
        <v>50</v>
      </c>
      <c r="AW388" s="1" t="n">
        <v>4</v>
      </c>
      <c r="AX388" s="1"/>
      <c r="AY388" s="1"/>
      <c r="AZ388" s="1"/>
      <c r="BA388" s="1"/>
      <c r="BB388" s="1" t="n">
        <v>569</v>
      </c>
      <c r="BC388" s="1" t="n">
        <v>582</v>
      </c>
      <c r="BD388" s="1"/>
      <c r="BE388" s="1" t="s">
        <v>7210</v>
      </c>
      <c r="BF388" s="1" t="str">
        <f aca="false">HYPERLINK("http://dx.doi.org/10.1007/s12596-021-00770-3","http://dx.doi.org/10.1007/s12596-021-00770-3")</f>
        <v>http://dx.doi.org/10.1007/s12596-021-00770-3</v>
      </c>
      <c r="BG388" s="1"/>
      <c r="BH388" s="1" t="s">
        <v>2315</v>
      </c>
      <c r="BI388" s="1" t="n">
        <v>14</v>
      </c>
      <c r="BJ388" s="1" t="s">
        <v>7211</v>
      </c>
      <c r="BK388" s="1" t="s">
        <v>253</v>
      </c>
      <c r="BL388" s="1" t="s">
        <v>7211</v>
      </c>
      <c r="BM388" s="1" t="s">
        <v>7212</v>
      </c>
      <c r="BN388" s="1"/>
      <c r="BO388" s="1"/>
      <c r="BP388" s="1"/>
      <c r="BQ388" s="1"/>
      <c r="BR388" s="1" t="s">
        <v>103</v>
      </c>
      <c r="BS388" s="1" t="s">
        <v>7213</v>
      </c>
      <c r="BT388" s="1" t="str">
        <f aca="false">HYPERLINK("https%3A%2F%2Fwww.webofscience.com%2Fwos%2Fwoscc%2Ffull-record%2FWOS:000696751200001","View Full Record in Web of Science")</f>
        <v>View Full Record in Web of Science</v>
      </c>
    </row>
    <row r="389" customFormat="false" ht="12.75" hidden="false" customHeight="false" outlineLevel="0" collapsed="false">
      <c r="A389" s="1" t="s">
        <v>72</v>
      </c>
      <c r="B389" s="1" t="s">
        <v>7214</v>
      </c>
      <c r="C389" s="1"/>
      <c r="D389" s="1" t="s">
        <v>6491</v>
      </c>
      <c r="E389" s="1"/>
      <c r="F389" s="1" t="s">
        <v>7215</v>
      </c>
      <c r="G389" s="1"/>
      <c r="H389" s="1"/>
      <c r="I389" s="1" t="s">
        <v>7216</v>
      </c>
      <c r="J389" s="1" t="s">
        <v>6494</v>
      </c>
      <c r="K389" s="1" t="s">
        <v>3043</v>
      </c>
      <c r="L389" s="1"/>
      <c r="M389" s="1" t="s">
        <v>78</v>
      </c>
      <c r="N389" s="1" t="s">
        <v>79</v>
      </c>
      <c r="O389" s="1" t="s">
        <v>6495</v>
      </c>
      <c r="P389" s="1" t="s">
        <v>6496</v>
      </c>
      <c r="Q389" s="1" t="s">
        <v>320</v>
      </c>
      <c r="R389" s="1" t="s">
        <v>1086</v>
      </c>
      <c r="S389" s="1"/>
      <c r="T389" s="1"/>
      <c r="U389" s="1"/>
      <c r="V389" s="1" t="s">
        <v>7217</v>
      </c>
      <c r="W389" s="1" t="s">
        <v>7218</v>
      </c>
      <c r="X389" s="1" t="s">
        <v>7219</v>
      </c>
      <c r="Y389" s="1" t="s">
        <v>7220</v>
      </c>
      <c r="Z389" s="1" t="s">
        <v>7221</v>
      </c>
      <c r="AA389" s="1" t="s">
        <v>7222</v>
      </c>
      <c r="AB389" s="1" t="s">
        <v>7223</v>
      </c>
      <c r="AC389" s="1"/>
      <c r="AD389" s="1"/>
      <c r="AE389" s="1"/>
      <c r="AF389" s="1"/>
      <c r="AG389" s="1" t="n">
        <v>5</v>
      </c>
      <c r="AH389" s="1" t="n">
        <v>1</v>
      </c>
      <c r="AI389" s="1" t="n">
        <v>1</v>
      </c>
      <c r="AJ389" s="1" t="n">
        <v>0</v>
      </c>
      <c r="AK389" s="1" t="n">
        <v>2</v>
      </c>
      <c r="AL389" s="1" t="s">
        <v>172</v>
      </c>
      <c r="AM389" s="1" t="s">
        <v>173</v>
      </c>
      <c r="AN389" s="1" t="s">
        <v>174</v>
      </c>
      <c r="AO389" s="1" t="s">
        <v>3054</v>
      </c>
      <c r="AP389" s="1"/>
      <c r="AQ389" s="1" t="s">
        <v>6502</v>
      </c>
      <c r="AR389" s="1" t="s">
        <v>3056</v>
      </c>
      <c r="AS389" s="1"/>
      <c r="AT389" s="1"/>
      <c r="AU389" s="1" t="n">
        <v>2021</v>
      </c>
      <c r="AV389" s="1"/>
      <c r="AW389" s="1"/>
      <c r="AX389" s="1"/>
      <c r="AY389" s="1"/>
      <c r="AZ389" s="1"/>
      <c r="BA389" s="1"/>
      <c r="BB389" s="1" t="n">
        <v>512</v>
      </c>
      <c r="BC389" s="1" t="n">
        <v>513</v>
      </c>
      <c r="BD389" s="1"/>
      <c r="BE389" s="1" t="s">
        <v>7224</v>
      </c>
      <c r="BF389" s="1" t="str">
        <f aca="false">HYPERLINK("http://dx.doi.org/10.1109/RE51729.2021.00080","http://dx.doi.org/10.1109/RE51729.2021.00080")</f>
        <v>http://dx.doi.org/10.1109/RE51729.2021.00080</v>
      </c>
      <c r="BG389" s="1"/>
      <c r="BH389" s="1"/>
      <c r="BI389" s="1" t="n">
        <v>2</v>
      </c>
      <c r="BJ389" s="1" t="s">
        <v>994</v>
      </c>
      <c r="BK389" s="1" t="s">
        <v>100</v>
      </c>
      <c r="BL389" s="1" t="s">
        <v>101</v>
      </c>
      <c r="BM389" s="1" t="s">
        <v>6504</v>
      </c>
      <c r="BN389" s="1"/>
      <c r="BO389" s="1"/>
      <c r="BP389" s="1"/>
      <c r="BQ389" s="1"/>
      <c r="BR389" s="1" t="s">
        <v>103</v>
      </c>
      <c r="BS389" s="1" t="s">
        <v>7225</v>
      </c>
      <c r="BT389" s="1" t="str">
        <f aca="false">HYPERLINK("https%3A%2F%2Fwww.webofscience.com%2Fwos%2Fwoscc%2Ffull-record%2FWOS:000788292800073","View Full Record in Web of Science")</f>
        <v>View Full Record in Web of Science</v>
      </c>
    </row>
    <row r="390" customFormat="false" ht="12.75" hidden="false" customHeight="false" outlineLevel="0" collapsed="false">
      <c r="A390" s="1" t="s">
        <v>181</v>
      </c>
      <c r="B390" s="1" t="s">
        <v>7226</v>
      </c>
      <c r="C390" s="1"/>
      <c r="D390" s="1"/>
      <c r="E390" s="1"/>
      <c r="F390" s="1" t="s">
        <v>7227</v>
      </c>
      <c r="G390" s="1"/>
      <c r="H390" s="1"/>
      <c r="I390" s="1" t="s">
        <v>7228</v>
      </c>
      <c r="J390" s="1" t="s">
        <v>7229</v>
      </c>
      <c r="K390" s="1"/>
      <c r="L390" s="1"/>
      <c r="M390" s="1" t="s">
        <v>78</v>
      </c>
      <c r="N390" s="1" t="s">
        <v>907</v>
      </c>
      <c r="O390" s="1"/>
      <c r="P390" s="1"/>
      <c r="Q390" s="1"/>
      <c r="R390" s="1"/>
      <c r="S390" s="1"/>
      <c r="T390" s="1" t="s">
        <v>7230</v>
      </c>
      <c r="U390" s="1"/>
      <c r="V390" s="1" t="s">
        <v>7231</v>
      </c>
      <c r="W390" s="1" t="s">
        <v>7232</v>
      </c>
      <c r="X390" s="1" t="s">
        <v>7233</v>
      </c>
      <c r="Y390" s="1" t="s">
        <v>7234</v>
      </c>
      <c r="Z390" s="1" t="s">
        <v>7235</v>
      </c>
      <c r="AA390" s="1" t="s">
        <v>7236</v>
      </c>
      <c r="AB390" s="1"/>
      <c r="AC390" s="1" t="s">
        <v>7237</v>
      </c>
      <c r="AD390" s="1" t="s">
        <v>7238</v>
      </c>
      <c r="AE390" s="1" t="s">
        <v>7239</v>
      </c>
      <c r="AF390" s="1"/>
      <c r="AG390" s="1" t="n">
        <v>15</v>
      </c>
      <c r="AH390" s="1" t="n">
        <v>0</v>
      </c>
      <c r="AI390" s="1" t="n">
        <v>0</v>
      </c>
      <c r="AJ390" s="1" t="n">
        <v>1</v>
      </c>
      <c r="AK390" s="1" t="n">
        <v>2</v>
      </c>
      <c r="AL390" s="1" t="s">
        <v>7240</v>
      </c>
      <c r="AM390" s="1" t="s">
        <v>7241</v>
      </c>
      <c r="AN390" s="1" t="s">
        <v>7242</v>
      </c>
      <c r="AO390" s="1" t="s">
        <v>7243</v>
      </c>
      <c r="AP390" s="1" t="s">
        <v>7244</v>
      </c>
      <c r="AQ390" s="1"/>
      <c r="AR390" s="1" t="s">
        <v>7245</v>
      </c>
      <c r="AS390" s="1" t="s">
        <v>7246</v>
      </c>
      <c r="AT390" s="1" t="s">
        <v>7247</v>
      </c>
      <c r="AU390" s="1" t="n">
        <v>2024</v>
      </c>
      <c r="AV390" s="1"/>
      <c r="AW390" s="1"/>
      <c r="AX390" s="1"/>
      <c r="AY390" s="1"/>
      <c r="AZ390" s="1"/>
      <c r="BA390" s="1"/>
      <c r="BB390" s="1"/>
      <c r="BC390" s="1"/>
      <c r="BD390" s="1"/>
      <c r="BE390" s="1" t="s">
        <v>7248</v>
      </c>
      <c r="BF390" s="1" t="str">
        <f aca="false">HYPERLINK("http://dx.doi.org/10.1520/MPC20230079","http://dx.doi.org/10.1520/MPC20230079")</f>
        <v>http://dx.doi.org/10.1520/MPC20230079</v>
      </c>
      <c r="BG390" s="1"/>
      <c r="BH390" s="1" t="s">
        <v>4909</v>
      </c>
      <c r="BI390" s="1" t="n">
        <v>9</v>
      </c>
      <c r="BJ390" s="1" t="s">
        <v>7249</v>
      </c>
      <c r="BK390" s="1" t="s">
        <v>253</v>
      </c>
      <c r="BL390" s="1" t="s">
        <v>6415</v>
      </c>
      <c r="BM390" s="1" t="s">
        <v>7250</v>
      </c>
      <c r="BN390" s="1"/>
      <c r="BO390" s="1"/>
      <c r="BP390" s="1"/>
      <c r="BQ390" s="1"/>
      <c r="BR390" s="1" t="s">
        <v>103</v>
      </c>
      <c r="BS390" s="1" t="s">
        <v>7251</v>
      </c>
      <c r="BT390" s="1" t="str">
        <f aca="false">HYPERLINK("https%3A%2F%2Fwww.webofscience.com%2Fwos%2Fwoscc%2Ffull-record%2FWOS:001276928700001","View Full Record in Web of Science")</f>
        <v>View Full Record in Web of Science</v>
      </c>
    </row>
    <row r="391" customFormat="false" ht="12.75" hidden="false" customHeight="false" outlineLevel="0" collapsed="false">
      <c r="A391" s="1" t="s">
        <v>72</v>
      </c>
      <c r="B391" s="1" t="s">
        <v>7252</v>
      </c>
      <c r="C391" s="1"/>
      <c r="D391" s="1" t="s">
        <v>7253</v>
      </c>
      <c r="E391" s="1"/>
      <c r="F391" s="1" t="s">
        <v>7254</v>
      </c>
      <c r="G391" s="1"/>
      <c r="H391" s="1"/>
      <c r="I391" s="1" t="s">
        <v>7255</v>
      </c>
      <c r="J391" s="1" t="s">
        <v>7256</v>
      </c>
      <c r="K391" s="1"/>
      <c r="L391" s="1"/>
      <c r="M391" s="1" t="s">
        <v>78</v>
      </c>
      <c r="N391" s="1" t="s">
        <v>79</v>
      </c>
      <c r="O391" s="1" t="s">
        <v>7257</v>
      </c>
      <c r="P391" s="1" t="s">
        <v>7258</v>
      </c>
      <c r="Q391" s="1" t="s">
        <v>1792</v>
      </c>
      <c r="R391" s="1" t="s">
        <v>7259</v>
      </c>
      <c r="S391" s="1"/>
      <c r="T391" s="1" t="s">
        <v>7260</v>
      </c>
      <c r="U391" s="1"/>
      <c r="V391" s="1" t="s">
        <v>7261</v>
      </c>
      <c r="W391" s="1" t="s">
        <v>7262</v>
      </c>
      <c r="X391" s="1" t="s">
        <v>7263</v>
      </c>
      <c r="Y391" s="1" t="s">
        <v>7264</v>
      </c>
      <c r="Z391" s="1" t="s">
        <v>7265</v>
      </c>
      <c r="AA391" s="1" t="s">
        <v>7266</v>
      </c>
      <c r="AB391" s="1" t="s">
        <v>7267</v>
      </c>
      <c r="AC391" s="1" t="s">
        <v>7268</v>
      </c>
      <c r="AD391" s="1" t="s">
        <v>7269</v>
      </c>
      <c r="AE391" s="1" t="s">
        <v>7270</v>
      </c>
      <c r="AF391" s="1"/>
      <c r="AG391" s="1" t="n">
        <v>25</v>
      </c>
      <c r="AH391" s="1" t="n">
        <v>0</v>
      </c>
      <c r="AI391" s="1" t="n">
        <v>0</v>
      </c>
      <c r="AJ391" s="1" t="n">
        <v>0</v>
      </c>
      <c r="AK391" s="1" t="n">
        <v>0</v>
      </c>
      <c r="AL391" s="1" t="s">
        <v>94</v>
      </c>
      <c r="AM391" s="1" t="s">
        <v>95</v>
      </c>
      <c r="AN391" s="1" t="s">
        <v>96</v>
      </c>
      <c r="AO391" s="1"/>
      <c r="AP391" s="1"/>
      <c r="AQ391" s="1" t="s">
        <v>7271</v>
      </c>
      <c r="AR391" s="1"/>
      <c r="AS391" s="1"/>
      <c r="AT391" s="1"/>
      <c r="AU391" s="1" t="n">
        <v>2024</v>
      </c>
      <c r="AV391" s="1"/>
      <c r="AW391" s="1"/>
      <c r="AX391" s="1"/>
      <c r="AY391" s="1"/>
      <c r="AZ391" s="1"/>
      <c r="BA391" s="1"/>
      <c r="BB391" s="1" t="n">
        <v>34</v>
      </c>
      <c r="BC391" s="1" t="n">
        <v>37</v>
      </c>
      <c r="BD391" s="1"/>
      <c r="BE391" s="1" t="s">
        <v>7272</v>
      </c>
      <c r="BF391" s="1" t="str">
        <f aca="false">HYPERLINK("http://dx.doi.org/10.1145/3678869.3685688","http://dx.doi.org/10.1145/3678869.3685688")</f>
        <v>http://dx.doi.org/10.1145/3678869.3685688</v>
      </c>
      <c r="BG391" s="1"/>
      <c r="BH391" s="1"/>
      <c r="BI391" s="1" t="n">
        <v>4</v>
      </c>
      <c r="BJ391" s="1" t="s">
        <v>994</v>
      </c>
      <c r="BK391" s="1" t="s">
        <v>100</v>
      </c>
      <c r="BL391" s="1" t="s">
        <v>101</v>
      </c>
      <c r="BM391" s="1" t="s">
        <v>7273</v>
      </c>
      <c r="BN391" s="1"/>
      <c r="BO391" s="1"/>
      <c r="BP391" s="1"/>
      <c r="BQ391" s="1"/>
      <c r="BR391" s="1" t="s">
        <v>103</v>
      </c>
      <c r="BS391" s="1" t="s">
        <v>7274</v>
      </c>
      <c r="BT391" s="1" t="str">
        <f aca="false">HYPERLINK("https%3A%2F%2Fwww.webofscience.com%2Fwos%2Fwoscc%2Ffull-record%2FWOS:001323635100006","View Full Record in Web of Science")</f>
        <v>View Full Record in Web of Science</v>
      </c>
    </row>
    <row r="392" customFormat="false" ht="12.75" hidden="false" customHeight="false" outlineLevel="0" collapsed="false">
      <c r="A392" s="1" t="s">
        <v>181</v>
      </c>
      <c r="B392" s="1" t="s">
        <v>7275</v>
      </c>
      <c r="C392" s="1"/>
      <c r="D392" s="1"/>
      <c r="E392" s="1"/>
      <c r="F392" s="1" t="s">
        <v>7276</v>
      </c>
      <c r="G392" s="1"/>
      <c r="H392" s="1"/>
      <c r="I392" s="1" t="s">
        <v>7277</v>
      </c>
      <c r="J392" s="1" t="s">
        <v>1772</v>
      </c>
      <c r="K392" s="1"/>
      <c r="L392" s="1"/>
      <c r="M392" s="1" t="s">
        <v>78</v>
      </c>
      <c r="N392" s="1" t="s">
        <v>186</v>
      </c>
      <c r="O392" s="1"/>
      <c r="P392" s="1"/>
      <c r="Q392" s="1"/>
      <c r="R392" s="1"/>
      <c r="S392" s="1"/>
      <c r="T392" s="1" t="s">
        <v>7278</v>
      </c>
      <c r="U392" s="1" t="s">
        <v>7279</v>
      </c>
      <c r="V392" s="1" t="s">
        <v>7280</v>
      </c>
      <c r="W392" s="1" t="s">
        <v>7281</v>
      </c>
      <c r="X392" s="1" t="s">
        <v>5847</v>
      </c>
      <c r="Y392" s="1" t="s">
        <v>7282</v>
      </c>
      <c r="Z392" s="1" t="s">
        <v>7283</v>
      </c>
      <c r="AA392" s="1"/>
      <c r="AB392" s="1" t="s">
        <v>7284</v>
      </c>
      <c r="AC392" s="1" t="s">
        <v>7285</v>
      </c>
      <c r="AD392" s="1" t="s">
        <v>7286</v>
      </c>
      <c r="AE392" s="1" t="s">
        <v>7287</v>
      </c>
      <c r="AF392" s="1"/>
      <c r="AG392" s="1" t="n">
        <v>51</v>
      </c>
      <c r="AH392" s="1" t="n">
        <v>1</v>
      </c>
      <c r="AI392" s="1" t="n">
        <v>2</v>
      </c>
      <c r="AJ392" s="1" t="n">
        <v>5</v>
      </c>
      <c r="AK392" s="1" t="n">
        <v>22</v>
      </c>
      <c r="AL392" s="1" t="s">
        <v>367</v>
      </c>
      <c r="AM392" s="1" t="s">
        <v>368</v>
      </c>
      <c r="AN392" s="1" t="s">
        <v>369</v>
      </c>
      <c r="AO392" s="1"/>
      <c r="AP392" s="1" t="s">
        <v>1780</v>
      </c>
      <c r="AQ392" s="1"/>
      <c r="AR392" s="1" t="s">
        <v>1781</v>
      </c>
      <c r="AS392" s="1" t="s">
        <v>1782</v>
      </c>
      <c r="AT392" s="1" t="s">
        <v>711</v>
      </c>
      <c r="AU392" s="1" t="n">
        <v>2022</v>
      </c>
      <c r="AV392" s="1" t="n">
        <v>12</v>
      </c>
      <c r="AW392" s="1" t="n">
        <v>8</v>
      </c>
      <c r="AX392" s="1"/>
      <c r="AY392" s="1"/>
      <c r="AZ392" s="1"/>
      <c r="BA392" s="1"/>
      <c r="BB392" s="1"/>
      <c r="BC392" s="1"/>
      <c r="BD392" s="1" t="n">
        <v>553</v>
      </c>
      <c r="BE392" s="1" t="s">
        <v>7288</v>
      </c>
      <c r="BF392" s="1" t="str">
        <f aca="false">HYPERLINK("http://dx.doi.org/10.3390/educsci12080553","http://dx.doi.org/10.3390/educsci12080553")</f>
        <v>http://dx.doi.org/10.3390/educsci12080553</v>
      </c>
      <c r="BG392" s="1"/>
      <c r="BH392" s="1"/>
      <c r="BI392" s="1" t="n">
        <v>18</v>
      </c>
      <c r="BJ392" s="1" t="s">
        <v>924</v>
      </c>
      <c r="BK392" s="1" t="s">
        <v>253</v>
      </c>
      <c r="BL392" s="1" t="s">
        <v>924</v>
      </c>
      <c r="BM392" s="1" t="s">
        <v>7289</v>
      </c>
      <c r="BN392" s="1"/>
      <c r="BO392" s="1" t="s">
        <v>542</v>
      </c>
      <c r="BP392" s="1"/>
      <c r="BQ392" s="1"/>
      <c r="BR392" s="1" t="s">
        <v>103</v>
      </c>
      <c r="BS392" s="1" t="s">
        <v>7290</v>
      </c>
      <c r="BT392" s="1" t="str">
        <f aca="false">HYPERLINK("https%3A%2F%2Fwww.webofscience.com%2Fwos%2Fwoscc%2Ffull-record%2FWOS:000845985500001","View Full Record in Web of Science")</f>
        <v>View Full Record in Web of Science</v>
      </c>
    </row>
    <row r="393" customFormat="false" ht="12.75" hidden="false" customHeight="false" outlineLevel="0" collapsed="false">
      <c r="A393" s="1" t="s">
        <v>181</v>
      </c>
      <c r="B393" s="1" t="s">
        <v>5503</v>
      </c>
      <c r="C393" s="1"/>
      <c r="D393" s="1"/>
      <c r="E393" s="1"/>
      <c r="F393" s="1" t="s">
        <v>5504</v>
      </c>
      <c r="G393" s="1"/>
      <c r="H393" s="1"/>
      <c r="I393" s="1" t="s">
        <v>7291</v>
      </c>
      <c r="J393" s="1" t="s">
        <v>1378</v>
      </c>
      <c r="K393" s="1"/>
      <c r="L393" s="1"/>
      <c r="M393" s="1" t="s">
        <v>78</v>
      </c>
      <c r="N393" s="1" t="s">
        <v>186</v>
      </c>
      <c r="O393" s="1"/>
      <c r="P393" s="1"/>
      <c r="Q393" s="1"/>
      <c r="R393" s="1"/>
      <c r="S393" s="1"/>
      <c r="T393" s="1" t="s">
        <v>7292</v>
      </c>
      <c r="U393" s="1" t="s">
        <v>7293</v>
      </c>
      <c r="V393" s="1" t="s">
        <v>7294</v>
      </c>
      <c r="W393" s="1" t="s">
        <v>5508</v>
      </c>
      <c r="X393" s="1" t="s">
        <v>5509</v>
      </c>
      <c r="Y393" s="1" t="s">
        <v>5429</v>
      </c>
      <c r="Z393" s="1" t="s">
        <v>1999</v>
      </c>
      <c r="AA393" s="1"/>
      <c r="AB393" s="1" t="s">
        <v>7295</v>
      </c>
      <c r="AC393" s="1"/>
      <c r="AD393" s="1"/>
      <c r="AE393" s="1"/>
      <c r="AF393" s="1"/>
      <c r="AG393" s="1" t="n">
        <v>38</v>
      </c>
      <c r="AH393" s="1" t="n">
        <v>5</v>
      </c>
      <c r="AI393" s="1" t="n">
        <v>8</v>
      </c>
      <c r="AJ393" s="1" t="n">
        <v>0</v>
      </c>
      <c r="AK393" s="1" t="n">
        <v>3</v>
      </c>
      <c r="AL393" s="1" t="s">
        <v>893</v>
      </c>
      <c r="AM393" s="1" t="s">
        <v>894</v>
      </c>
      <c r="AN393" s="1" t="s">
        <v>895</v>
      </c>
      <c r="AO393" s="1" t="s">
        <v>1387</v>
      </c>
      <c r="AP393" s="1" t="s">
        <v>1388</v>
      </c>
      <c r="AQ393" s="1"/>
      <c r="AR393" s="1" t="s">
        <v>1389</v>
      </c>
      <c r="AS393" s="1" t="s">
        <v>1390</v>
      </c>
      <c r="AT393" s="1" t="s">
        <v>1391</v>
      </c>
      <c r="AU393" s="1" t="n">
        <v>2022</v>
      </c>
      <c r="AV393" s="1" t="n">
        <v>151</v>
      </c>
      <c r="AW393" s="1"/>
      <c r="AX393" s="1"/>
      <c r="AY393" s="1"/>
      <c r="AZ393" s="1"/>
      <c r="BA393" s="1"/>
      <c r="BB393" s="1"/>
      <c r="BC393" s="1"/>
      <c r="BD393" s="1" t="n">
        <v>107002</v>
      </c>
      <c r="BE393" s="1" t="s">
        <v>7296</v>
      </c>
      <c r="BF393" s="1" t="str">
        <f aca="false">HYPERLINK("http://dx.doi.org/10.1016/j.infsof.2022.107002","http://dx.doi.org/10.1016/j.infsof.2022.107002")</f>
        <v>http://dx.doi.org/10.1016/j.infsof.2022.107002</v>
      </c>
      <c r="BG393" s="1"/>
      <c r="BH393" s="1" t="s">
        <v>1701</v>
      </c>
      <c r="BI393" s="1" t="n">
        <v>15</v>
      </c>
      <c r="BJ393" s="1" t="s">
        <v>1394</v>
      </c>
      <c r="BK393" s="1" t="s">
        <v>204</v>
      </c>
      <c r="BL393" s="1" t="s">
        <v>101</v>
      </c>
      <c r="BM393" s="1" t="s">
        <v>7297</v>
      </c>
      <c r="BN393" s="1"/>
      <c r="BO393" s="1" t="s">
        <v>876</v>
      </c>
      <c r="BP393" s="1"/>
      <c r="BQ393" s="1"/>
      <c r="BR393" s="1" t="s">
        <v>103</v>
      </c>
      <c r="BS393" s="1" t="s">
        <v>7298</v>
      </c>
      <c r="BT393" s="1" t="str">
        <f aca="false">HYPERLINK("https%3A%2F%2Fwww.webofscience.com%2Fwos%2Fwoscc%2Ffull-record%2FWOS:000859493100003","View Full Record in Web of Science")</f>
        <v>View Full Record in Web of Science</v>
      </c>
    </row>
    <row r="394" customFormat="false" ht="12.75" hidden="false" customHeight="false" outlineLevel="0" collapsed="false">
      <c r="A394" s="1" t="s">
        <v>72</v>
      </c>
      <c r="B394" s="1" t="s">
        <v>7299</v>
      </c>
      <c r="C394" s="1"/>
      <c r="D394" s="1" t="s">
        <v>7300</v>
      </c>
      <c r="E394" s="1"/>
      <c r="F394" s="1" t="s">
        <v>7301</v>
      </c>
      <c r="G394" s="1"/>
      <c r="H394" s="1"/>
      <c r="I394" s="1" t="s">
        <v>7302</v>
      </c>
      <c r="J394" s="1" t="s">
        <v>7303</v>
      </c>
      <c r="K394" s="1" t="s">
        <v>498</v>
      </c>
      <c r="L394" s="1"/>
      <c r="M394" s="1" t="s">
        <v>78</v>
      </c>
      <c r="N394" s="1" t="s">
        <v>79</v>
      </c>
      <c r="O394" s="1" t="s">
        <v>7304</v>
      </c>
      <c r="P394" s="1" t="s">
        <v>7305</v>
      </c>
      <c r="Q394" s="1" t="s">
        <v>1792</v>
      </c>
      <c r="R394" s="1" t="s">
        <v>7306</v>
      </c>
      <c r="S394" s="1"/>
      <c r="T394" s="1"/>
      <c r="U394" s="1"/>
      <c r="V394" s="1" t="s">
        <v>7307</v>
      </c>
      <c r="W394" s="1" t="s">
        <v>7308</v>
      </c>
      <c r="X394" s="1" t="s">
        <v>5274</v>
      </c>
      <c r="Y394" s="1" t="s">
        <v>7309</v>
      </c>
      <c r="Z394" s="1" t="s">
        <v>7310</v>
      </c>
      <c r="AA394" s="1" t="s">
        <v>7311</v>
      </c>
      <c r="AB394" s="1" t="s">
        <v>5340</v>
      </c>
      <c r="AC394" s="1"/>
      <c r="AD394" s="1"/>
      <c r="AE394" s="1"/>
      <c r="AF394" s="1"/>
      <c r="AG394" s="1" t="n">
        <v>11</v>
      </c>
      <c r="AH394" s="1" t="n">
        <v>0</v>
      </c>
      <c r="AI394" s="1" t="n">
        <v>0</v>
      </c>
      <c r="AJ394" s="1" t="n">
        <v>0</v>
      </c>
      <c r="AK394" s="1" t="n">
        <v>3</v>
      </c>
      <c r="AL394" s="1" t="s">
        <v>302</v>
      </c>
      <c r="AM394" s="1" t="s">
        <v>303</v>
      </c>
      <c r="AN394" s="1" t="s">
        <v>304</v>
      </c>
      <c r="AO394" s="1" t="s">
        <v>512</v>
      </c>
      <c r="AP394" s="1" t="s">
        <v>513</v>
      </c>
      <c r="AQ394" s="1" t="s">
        <v>7312</v>
      </c>
      <c r="AR394" s="1" t="s">
        <v>515</v>
      </c>
      <c r="AS394" s="1"/>
      <c r="AT394" s="1"/>
      <c r="AU394" s="1" t="n">
        <v>2021</v>
      </c>
      <c r="AV394" s="1" t="n">
        <v>404</v>
      </c>
      <c r="AW394" s="1"/>
      <c r="AX394" s="1"/>
      <c r="AY394" s="1"/>
      <c r="AZ394" s="1"/>
      <c r="BA394" s="1"/>
      <c r="BB394" s="1" t="n">
        <v>109</v>
      </c>
      <c r="BC394" s="1" t="n">
        <v>116</v>
      </c>
      <c r="BD394" s="1"/>
      <c r="BE394" s="1" t="s">
        <v>7313</v>
      </c>
      <c r="BF394" s="1" t="str">
        <f aca="false">HYPERLINK("http://dx.doi.org/10.1007/978-3-030-65854-0_9","http://dx.doi.org/10.1007/978-3-030-65854-0_9")</f>
        <v>http://dx.doi.org/10.1007/978-3-030-65854-0_9</v>
      </c>
      <c r="BG394" s="1"/>
      <c r="BH394" s="1"/>
      <c r="BI394" s="1" t="n">
        <v>8</v>
      </c>
      <c r="BJ394" s="1" t="s">
        <v>994</v>
      </c>
      <c r="BK394" s="1" t="s">
        <v>100</v>
      </c>
      <c r="BL394" s="1" t="s">
        <v>101</v>
      </c>
      <c r="BM394" s="1" t="s">
        <v>7314</v>
      </c>
      <c r="BN394" s="1"/>
      <c r="BO394" s="1"/>
      <c r="BP394" s="1"/>
      <c r="BQ394" s="1"/>
      <c r="BR394" s="1" t="s">
        <v>103</v>
      </c>
      <c r="BS394" s="1" t="s">
        <v>7315</v>
      </c>
      <c r="BT394" s="1" t="str">
        <f aca="false">HYPERLINK("https%3A%2F%2Fwww.webofscience.com%2Fwos%2Fwoscc%2Ffull-record%2FWOS:000884348300009","View Full Record in Web of Science")</f>
        <v>View Full Record in Web of Science</v>
      </c>
    </row>
    <row r="395" customFormat="false" ht="12.75" hidden="false" customHeight="false" outlineLevel="0" collapsed="false">
      <c r="A395" s="1" t="s">
        <v>72</v>
      </c>
      <c r="B395" s="1" t="s">
        <v>7316</v>
      </c>
      <c r="C395" s="1"/>
      <c r="D395" s="1"/>
      <c r="E395" s="1" t="s">
        <v>6634</v>
      </c>
      <c r="F395" s="1" t="s">
        <v>7317</v>
      </c>
      <c r="G395" s="1"/>
      <c r="H395" s="1"/>
      <c r="I395" s="1" t="s">
        <v>7318</v>
      </c>
      <c r="J395" s="1" t="s">
        <v>7319</v>
      </c>
      <c r="K395" s="1"/>
      <c r="L395" s="1"/>
      <c r="M395" s="1" t="s">
        <v>78</v>
      </c>
      <c r="N395" s="1" t="s">
        <v>79</v>
      </c>
      <c r="O395" s="1" t="s">
        <v>7320</v>
      </c>
      <c r="P395" s="1" t="s">
        <v>7321</v>
      </c>
      <c r="Q395" s="1" t="s">
        <v>320</v>
      </c>
      <c r="R395" s="1" t="s">
        <v>7322</v>
      </c>
      <c r="S395" s="1"/>
      <c r="T395" s="1" t="s">
        <v>7323</v>
      </c>
      <c r="U395" s="1" t="s">
        <v>7324</v>
      </c>
      <c r="V395" s="1" t="s">
        <v>7325</v>
      </c>
      <c r="W395" s="1" t="s">
        <v>7326</v>
      </c>
      <c r="X395" s="1" t="s">
        <v>5099</v>
      </c>
      <c r="Y395" s="1" t="s">
        <v>7327</v>
      </c>
      <c r="Z395" s="1" t="s">
        <v>7328</v>
      </c>
      <c r="AA395" s="1"/>
      <c r="AB395" s="1"/>
      <c r="AC395" s="1"/>
      <c r="AD395" s="1"/>
      <c r="AE395" s="1"/>
      <c r="AF395" s="1"/>
      <c r="AG395" s="1" t="n">
        <v>26</v>
      </c>
      <c r="AH395" s="1" t="n">
        <v>10</v>
      </c>
      <c r="AI395" s="1" t="n">
        <v>10</v>
      </c>
      <c r="AJ395" s="1" t="n">
        <v>0</v>
      </c>
      <c r="AK395" s="1" t="n">
        <v>4</v>
      </c>
      <c r="AL395" s="1" t="s">
        <v>172</v>
      </c>
      <c r="AM395" s="1" t="s">
        <v>173</v>
      </c>
      <c r="AN395" s="1" t="s">
        <v>174</v>
      </c>
      <c r="AO395" s="1"/>
      <c r="AP395" s="1"/>
      <c r="AQ395" s="1" t="s">
        <v>7329</v>
      </c>
      <c r="AR395" s="1"/>
      <c r="AS395" s="1"/>
      <c r="AT395" s="1"/>
      <c r="AU395" s="1" t="n">
        <v>2021</v>
      </c>
      <c r="AV395" s="1"/>
      <c r="AW395" s="1"/>
      <c r="AX395" s="1"/>
      <c r="AY395" s="1"/>
      <c r="AZ395" s="1"/>
      <c r="BA395" s="1"/>
      <c r="BB395" s="1" t="n">
        <v>11</v>
      </c>
      <c r="BC395" s="1" t="n">
        <v>20</v>
      </c>
      <c r="BD395" s="1"/>
      <c r="BE395" s="1" t="s">
        <v>7330</v>
      </c>
      <c r="BF395" s="1" t="str">
        <f aca="false">HYPERLINK("http://dx.doi.org/10.1109/ICSE-SEIP52600.2021.00010","http://dx.doi.org/10.1109/ICSE-SEIP52600.2021.00010")</f>
        <v>http://dx.doi.org/10.1109/ICSE-SEIP52600.2021.00010</v>
      </c>
      <c r="BG395" s="1"/>
      <c r="BH395" s="1"/>
      <c r="BI395" s="1" t="n">
        <v>10</v>
      </c>
      <c r="BJ395" s="1" t="s">
        <v>994</v>
      </c>
      <c r="BK395" s="1" t="s">
        <v>100</v>
      </c>
      <c r="BL395" s="1" t="s">
        <v>101</v>
      </c>
      <c r="BM395" s="1" t="s">
        <v>7331</v>
      </c>
      <c r="BN395" s="1"/>
      <c r="BO395" s="1" t="s">
        <v>227</v>
      </c>
      <c r="BP395" s="1"/>
      <c r="BQ395" s="1"/>
      <c r="BR395" s="1" t="s">
        <v>103</v>
      </c>
      <c r="BS395" s="1" t="s">
        <v>7332</v>
      </c>
      <c r="BT395" s="1" t="str">
        <f aca="false">HYPERLINK("https%3A%2F%2Fwww.webofscience.com%2Fwos%2Fwoscc%2Ffull-record%2FWOS:000684234800002","View Full Record in Web of Science")</f>
        <v>View Full Record in Web of Science</v>
      </c>
    </row>
    <row r="396" customFormat="false" ht="12.75" hidden="false" customHeight="false" outlineLevel="0" collapsed="false">
      <c r="A396" s="1" t="s">
        <v>181</v>
      </c>
      <c r="B396" s="1" t="s">
        <v>7333</v>
      </c>
      <c r="C396" s="1"/>
      <c r="D396" s="1"/>
      <c r="E396" s="1"/>
      <c r="F396" s="1" t="s">
        <v>7334</v>
      </c>
      <c r="G396" s="1"/>
      <c r="H396" s="1"/>
      <c r="I396" s="1" t="s">
        <v>7335</v>
      </c>
      <c r="J396" s="1" t="s">
        <v>5974</v>
      </c>
      <c r="K396" s="1"/>
      <c r="L396" s="1"/>
      <c r="M396" s="1" t="s">
        <v>78</v>
      </c>
      <c r="N396" s="1" t="s">
        <v>186</v>
      </c>
      <c r="O396" s="1"/>
      <c r="P396" s="1"/>
      <c r="Q396" s="1"/>
      <c r="R396" s="1"/>
      <c r="S396" s="1"/>
      <c r="T396" s="1"/>
      <c r="U396" s="1"/>
      <c r="V396" s="1" t="s">
        <v>7336</v>
      </c>
      <c r="W396" s="1" t="s">
        <v>7337</v>
      </c>
      <c r="X396" s="1" t="s">
        <v>7338</v>
      </c>
      <c r="Y396" s="1" t="s">
        <v>7339</v>
      </c>
      <c r="Z396" s="1" t="s">
        <v>7340</v>
      </c>
      <c r="AA396" s="1" t="s">
        <v>5981</v>
      </c>
      <c r="AB396" s="1" t="s">
        <v>7341</v>
      </c>
      <c r="AC396" s="1"/>
      <c r="AD396" s="1"/>
      <c r="AE396" s="1"/>
      <c r="AF396" s="1"/>
      <c r="AG396" s="1" t="n">
        <v>80</v>
      </c>
      <c r="AH396" s="1" t="n">
        <v>4</v>
      </c>
      <c r="AI396" s="1" t="n">
        <v>4</v>
      </c>
      <c r="AJ396" s="1" t="n">
        <v>1</v>
      </c>
      <c r="AK396" s="1" t="n">
        <v>5</v>
      </c>
      <c r="AL396" s="1" t="s">
        <v>600</v>
      </c>
      <c r="AM396" s="1" t="s">
        <v>601</v>
      </c>
      <c r="AN396" s="1" t="s">
        <v>602</v>
      </c>
      <c r="AO396" s="1" t="s">
        <v>5983</v>
      </c>
      <c r="AP396" s="1" t="s">
        <v>5984</v>
      </c>
      <c r="AQ396" s="1"/>
      <c r="AR396" s="1" t="s">
        <v>5985</v>
      </c>
      <c r="AS396" s="1" t="s">
        <v>5986</v>
      </c>
      <c r="AT396" s="1" t="s">
        <v>7342</v>
      </c>
      <c r="AU396" s="1" t="n">
        <v>2023</v>
      </c>
      <c r="AV396" s="1" t="n">
        <v>2023</v>
      </c>
      <c r="AW396" s="1"/>
      <c r="AX396" s="1"/>
      <c r="AY396" s="1"/>
      <c r="AZ396" s="1"/>
      <c r="BA396" s="1"/>
      <c r="BB396" s="1"/>
      <c r="BC396" s="1"/>
      <c r="BD396" s="1" t="n">
        <v>1495642</v>
      </c>
      <c r="BE396" s="1" t="s">
        <v>7343</v>
      </c>
      <c r="BF396" s="1" t="str">
        <f aca="false">HYPERLINK("http://dx.doi.org/10.1155/2023/1495642","http://dx.doi.org/10.1155/2023/1495642")</f>
        <v>http://dx.doi.org/10.1155/2023/1495642</v>
      </c>
      <c r="BG396" s="1"/>
      <c r="BH396" s="1"/>
      <c r="BI396" s="1" t="n">
        <v>18</v>
      </c>
      <c r="BJ396" s="1" t="s">
        <v>2943</v>
      </c>
      <c r="BK396" s="1" t="s">
        <v>253</v>
      </c>
      <c r="BL396" s="1" t="s">
        <v>2943</v>
      </c>
      <c r="BM396" s="1" t="s">
        <v>7344</v>
      </c>
      <c r="BN396" s="1"/>
      <c r="BO396" s="1" t="s">
        <v>255</v>
      </c>
      <c r="BP396" s="1"/>
      <c r="BQ396" s="1"/>
      <c r="BR396" s="1" t="s">
        <v>103</v>
      </c>
      <c r="BS396" s="1" t="s">
        <v>7345</v>
      </c>
      <c r="BT396" s="1" t="str">
        <f aca="false">HYPERLINK("https%3A%2F%2Fwww.webofscience.com%2Fwos%2Fwoscc%2Ffull-record%2FWOS:001017639900001","View Full Record in Web of Science")</f>
        <v>View Full Record in Web of Science</v>
      </c>
    </row>
    <row r="397" customFormat="false" ht="12.75" hidden="false" customHeight="false" outlineLevel="0" collapsed="false">
      <c r="A397" s="1" t="s">
        <v>72</v>
      </c>
      <c r="B397" s="1" t="s">
        <v>5450</v>
      </c>
      <c r="C397" s="1"/>
      <c r="D397" s="1"/>
      <c r="E397" s="1" t="s">
        <v>106</v>
      </c>
      <c r="F397" s="1" t="s">
        <v>7346</v>
      </c>
      <c r="G397" s="1"/>
      <c r="H397" s="1"/>
      <c r="I397" s="1" t="s">
        <v>7347</v>
      </c>
      <c r="J397" s="1" t="s">
        <v>7348</v>
      </c>
      <c r="K397" s="1" t="s">
        <v>7349</v>
      </c>
      <c r="L397" s="1"/>
      <c r="M397" s="1" t="s">
        <v>78</v>
      </c>
      <c r="N397" s="1" t="s">
        <v>79</v>
      </c>
      <c r="O397" s="1" t="s">
        <v>7350</v>
      </c>
      <c r="P397" s="1" t="s">
        <v>7351</v>
      </c>
      <c r="Q397" s="1" t="s">
        <v>7352</v>
      </c>
      <c r="R397" s="1" t="s">
        <v>7353</v>
      </c>
      <c r="S397" s="1" t="s">
        <v>7354</v>
      </c>
      <c r="T397" s="1" t="s">
        <v>7355</v>
      </c>
      <c r="U397" s="1" t="s">
        <v>7356</v>
      </c>
      <c r="V397" s="1" t="s">
        <v>7357</v>
      </c>
      <c r="W397" s="1" t="s">
        <v>7358</v>
      </c>
      <c r="X397" s="1" t="s">
        <v>5428</v>
      </c>
      <c r="Y397" s="1" t="s">
        <v>7359</v>
      </c>
      <c r="Z397" s="1" t="s">
        <v>5462</v>
      </c>
      <c r="AA397" s="1" t="s">
        <v>5463</v>
      </c>
      <c r="AB397" s="1"/>
      <c r="AC397" s="1"/>
      <c r="AD397" s="1"/>
      <c r="AE397" s="1"/>
      <c r="AF397" s="1"/>
      <c r="AG397" s="1" t="n">
        <v>39</v>
      </c>
      <c r="AH397" s="1" t="n">
        <v>1</v>
      </c>
      <c r="AI397" s="1" t="n">
        <v>1</v>
      </c>
      <c r="AJ397" s="1" t="n">
        <v>0</v>
      </c>
      <c r="AK397" s="1" t="n">
        <v>2</v>
      </c>
      <c r="AL397" s="1" t="s">
        <v>106</v>
      </c>
      <c r="AM397" s="1" t="s">
        <v>95</v>
      </c>
      <c r="AN397" s="1" t="s">
        <v>122</v>
      </c>
      <c r="AO397" s="1" t="s">
        <v>7360</v>
      </c>
      <c r="AP397" s="1"/>
      <c r="AQ397" s="1" t="s">
        <v>7361</v>
      </c>
      <c r="AR397" s="1" t="s">
        <v>7362</v>
      </c>
      <c r="AS397" s="1"/>
      <c r="AT397" s="1"/>
      <c r="AU397" s="1" t="n">
        <v>2023</v>
      </c>
      <c r="AV397" s="1"/>
      <c r="AW397" s="1"/>
      <c r="AX397" s="1"/>
      <c r="AY397" s="1"/>
      <c r="AZ397" s="1"/>
      <c r="BA397" s="1"/>
      <c r="BB397" s="1" t="n">
        <v>576</v>
      </c>
      <c r="BC397" s="1" t="n">
        <v>580</v>
      </c>
      <c r="BD397" s="1"/>
      <c r="BE397" s="1" t="s">
        <v>7363</v>
      </c>
      <c r="BF397" s="1" t="str">
        <f aca="false">HYPERLINK("http://dx.doi.org/10.1109/SSP53291.2023.10208051","http://dx.doi.org/10.1109/SSP53291.2023.10208051")</f>
        <v>http://dx.doi.org/10.1109/SSP53291.2023.10208051</v>
      </c>
      <c r="BG397" s="1"/>
      <c r="BH397" s="1"/>
      <c r="BI397" s="1" t="n">
        <v>5</v>
      </c>
      <c r="BJ397" s="1" t="s">
        <v>3284</v>
      </c>
      <c r="BK397" s="1" t="s">
        <v>100</v>
      </c>
      <c r="BL397" s="1" t="s">
        <v>1255</v>
      </c>
      <c r="BM397" s="1" t="s">
        <v>7364</v>
      </c>
      <c r="BN397" s="1"/>
      <c r="BO397" s="1"/>
      <c r="BP397" s="1"/>
      <c r="BQ397" s="1"/>
      <c r="BR397" s="1" t="s">
        <v>103</v>
      </c>
      <c r="BS397" s="1" t="s">
        <v>7365</v>
      </c>
      <c r="BT397" s="1" t="str">
        <f aca="false">HYPERLINK("https%3A%2F%2Fwww.webofscience.com%2Fwos%2Fwoscc%2Ffull-record%2FWOS:001051091700117","View Full Record in Web of Science")</f>
        <v>View Full Record in Web of Science</v>
      </c>
    </row>
    <row r="398" customFormat="false" ht="12.75" hidden="false" customHeight="false" outlineLevel="0" collapsed="false">
      <c r="A398" s="1" t="s">
        <v>181</v>
      </c>
      <c r="B398" s="1" t="s">
        <v>7366</v>
      </c>
      <c r="C398" s="1"/>
      <c r="D398" s="1"/>
      <c r="E398" s="1"/>
      <c r="F398" s="1" t="s">
        <v>7367</v>
      </c>
      <c r="G398" s="1"/>
      <c r="H398" s="1"/>
      <c r="I398" s="1" t="s">
        <v>7368</v>
      </c>
      <c r="J398" s="1" t="s">
        <v>185</v>
      </c>
      <c r="K398" s="1"/>
      <c r="L398" s="1"/>
      <c r="M398" s="1" t="s">
        <v>78</v>
      </c>
      <c r="N398" s="1" t="s">
        <v>186</v>
      </c>
      <c r="O398" s="1"/>
      <c r="P398" s="1"/>
      <c r="Q398" s="1"/>
      <c r="R398" s="1"/>
      <c r="S398" s="1"/>
      <c r="T398" s="1" t="s">
        <v>7369</v>
      </c>
      <c r="U398" s="1"/>
      <c r="V398" s="1" t="s">
        <v>7370</v>
      </c>
      <c r="W398" s="1" t="s">
        <v>7371</v>
      </c>
      <c r="X398" s="1" t="s">
        <v>86</v>
      </c>
      <c r="Y398" s="1" t="s">
        <v>7372</v>
      </c>
      <c r="Z398" s="1" t="s">
        <v>7373</v>
      </c>
      <c r="AA398" s="1" t="s">
        <v>7374</v>
      </c>
      <c r="AB398" s="1" t="s">
        <v>7375</v>
      </c>
      <c r="AC398" s="1" t="s">
        <v>7376</v>
      </c>
      <c r="AD398" s="1" t="s">
        <v>7377</v>
      </c>
      <c r="AE398" s="1" t="s">
        <v>7378</v>
      </c>
      <c r="AF398" s="1"/>
      <c r="AG398" s="1" t="n">
        <v>18</v>
      </c>
      <c r="AH398" s="1" t="n">
        <v>14</v>
      </c>
      <c r="AI398" s="1" t="n">
        <v>14</v>
      </c>
      <c r="AJ398" s="1" t="n">
        <v>7</v>
      </c>
      <c r="AK398" s="1" t="n">
        <v>37</v>
      </c>
      <c r="AL398" s="1" t="s">
        <v>195</v>
      </c>
      <c r="AM398" s="1" t="s">
        <v>196</v>
      </c>
      <c r="AN398" s="1" t="s">
        <v>197</v>
      </c>
      <c r="AO398" s="1" t="s">
        <v>198</v>
      </c>
      <c r="AP398" s="1" t="s">
        <v>199</v>
      </c>
      <c r="AQ398" s="1"/>
      <c r="AR398" s="1" t="s">
        <v>200</v>
      </c>
      <c r="AS398" s="1" t="s">
        <v>201</v>
      </c>
      <c r="AT398" s="1"/>
      <c r="AU398" s="1" t="n">
        <v>2022</v>
      </c>
      <c r="AV398" s="1" t="n">
        <v>19</v>
      </c>
      <c r="AW398" s="1"/>
      <c r="AX398" s="1"/>
      <c r="AY398" s="1"/>
      <c r="AZ398" s="1"/>
      <c r="BA398" s="1"/>
      <c r="BB398" s="1"/>
      <c r="BC398" s="1"/>
      <c r="BD398" s="1" t="n">
        <v>4003005</v>
      </c>
      <c r="BE398" s="1" t="s">
        <v>7379</v>
      </c>
      <c r="BF398" s="1" t="str">
        <f aca="false">HYPERLINK("http://dx.doi.org/10.1109/LGRS.2020.3027382","http://dx.doi.org/10.1109/LGRS.2020.3027382")</f>
        <v>http://dx.doi.org/10.1109/LGRS.2020.3027382</v>
      </c>
      <c r="BG398" s="1"/>
      <c r="BH398" s="1"/>
      <c r="BI398" s="1" t="n">
        <v>5</v>
      </c>
      <c r="BJ398" s="1" t="s">
        <v>203</v>
      </c>
      <c r="BK398" s="1" t="s">
        <v>204</v>
      </c>
      <c r="BL398" s="1" t="s">
        <v>205</v>
      </c>
      <c r="BM398" s="1" t="s">
        <v>4438</v>
      </c>
      <c r="BN398" s="1"/>
      <c r="BO398" s="1" t="s">
        <v>2335</v>
      </c>
      <c r="BP398" s="1"/>
      <c r="BQ398" s="1"/>
      <c r="BR398" s="1" t="s">
        <v>103</v>
      </c>
      <c r="BS398" s="1" t="s">
        <v>7380</v>
      </c>
      <c r="BT398" s="1" t="str">
        <f aca="false">HYPERLINK("https%3A%2F%2Fwww.webofscience.com%2Fwos%2Fwoscc%2Ffull-record%2FWOS:000731151800019","View Full Record in Web of Science")</f>
        <v>View Full Record in Web of Science</v>
      </c>
    </row>
    <row r="399" customFormat="false" ht="12.75" hidden="false" customHeight="false" outlineLevel="0" collapsed="false">
      <c r="A399" s="1" t="s">
        <v>181</v>
      </c>
      <c r="B399" s="1" t="s">
        <v>6922</v>
      </c>
      <c r="C399" s="1"/>
      <c r="D399" s="1"/>
      <c r="E399" s="1"/>
      <c r="F399" s="1" t="s">
        <v>5180</v>
      </c>
      <c r="G399" s="1"/>
      <c r="H399" s="1"/>
      <c r="I399" s="1" t="s">
        <v>7381</v>
      </c>
      <c r="J399" s="1" t="s">
        <v>998</v>
      </c>
      <c r="K399" s="1"/>
      <c r="L399" s="1"/>
      <c r="M399" s="1" t="s">
        <v>78</v>
      </c>
      <c r="N399" s="1" t="s">
        <v>186</v>
      </c>
      <c r="O399" s="1"/>
      <c r="P399" s="1"/>
      <c r="Q399" s="1"/>
      <c r="R399" s="1"/>
      <c r="S399" s="1"/>
      <c r="T399" s="1" t="s">
        <v>7382</v>
      </c>
      <c r="U399" s="1" t="s">
        <v>7383</v>
      </c>
      <c r="V399" s="1" t="s">
        <v>7384</v>
      </c>
      <c r="W399" s="1" t="s">
        <v>7385</v>
      </c>
      <c r="X399" s="1" t="s">
        <v>5124</v>
      </c>
      <c r="Y399" s="1" t="s">
        <v>7386</v>
      </c>
      <c r="Z399" s="1" t="s">
        <v>5188</v>
      </c>
      <c r="AA399" s="1" t="s">
        <v>5189</v>
      </c>
      <c r="AB399" s="1" t="s">
        <v>5190</v>
      </c>
      <c r="AC399" s="1"/>
      <c r="AD399" s="1"/>
      <c r="AE399" s="1"/>
      <c r="AF399" s="1"/>
      <c r="AG399" s="1" t="n">
        <v>23</v>
      </c>
      <c r="AH399" s="1" t="n">
        <v>2</v>
      </c>
      <c r="AI399" s="1" t="n">
        <v>2</v>
      </c>
      <c r="AJ399" s="1" t="n">
        <v>0</v>
      </c>
      <c r="AK399" s="1" t="n">
        <v>1</v>
      </c>
      <c r="AL399" s="1" t="s">
        <v>893</v>
      </c>
      <c r="AM399" s="1" t="s">
        <v>894</v>
      </c>
      <c r="AN399" s="1" t="s">
        <v>895</v>
      </c>
      <c r="AO399" s="1" t="s">
        <v>1002</v>
      </c>
      <c r="AP399" s="1" t="s">
        <v>1003</v>
      </c>
      <c r="AQ399" s="1"/>
      <c r="AR399" s="1" t="s">
        <v>1004</v>
      </c>
      <c r="AS399" s="1" t="s">
        <v>1005</v>
      </c>
      <c r="AT399" s="1" t="s">
        <v>474</v>
      </c>
      <c r="AU399" s="1" t="n">
        <v>2020</v>
      </c>
      <c r="AV399" s="1" t="n">
        <v>224</v>
      </c>
      <c r="AW399" s="1" t="n">
        <v>9</v>
      </c>
      <c r="AX399" s="1"/>
      <c r="AY399" s="1"/>
      <c r="AZ399" s="1"/>
      <c r="BA399" s="1"/>
      <c r="BB399" s="1"/>
      <c r="BC399" s="1"/>
      <c r="BD399" s="1" t="n">
        <v>106368</v>
      </c>
      <c r="BE399" s="1" t="s">
        <v>7387</v>
      </c>
      <c r="BF399" s="1" t="str">
        <f aca="false">HYPERLINK("http://dx.doi.org/10.1016/j.jpaa.2020.106368","http://dx.doi.org/10.1016/j.jpaa.2020.106368")</f>
        <v>http://dx.doi.org/10.1016/j.jpaa.2020.106368</v>
      </c>
      <c r="BG399" s="1"/>
      <c r="BH399" s="1"/>
      <c r="BI399" s="1" t="n">
        <v>12</v>
      </c>
      <c r="BJ399" s="1" t="s">
        <v>1007</v>
      </c>
      <c r="BK399" s="1" t="s">
        <v>204</v>
      </c>
      <c r="BL399" s="1" t="s">
        <v>280</v>
      </c>
      <c r="BM399" s="1" t="s">
        <v>1008</v>
      </c>
      <c r="BN399" s="1"/>
      <c r="BO399" s="1" t="s">
        <v>227</v>
      </c>
      <c r="BP399" s="1"/>
      <c r="BQ399" s="1"/>
      <c r="BR399" s="1" t="s">
        <v>103</v>
      </c>
      <c r="BS399" s="1" t="s">
        <v>7388</v>
      </c>
      <c r="BT399" s="1" t="str">
        <f aca="false">HYPERLINK("https%3A%2F%2Fwww.webofscience.com%2Fwos%2Fwoscc%2Ffull-record%2FWOS:000526412900010","View Full Record in Web of Science")</f>
        <v>View Full Record in Web of Science</v>
      </c>
    </row>
    <row r="400" customFormat="false" ht="12.75" hidden="false" customHeight="false" outlineLevel="0" collapsed="false">
      <c r="A400" s="1" t="s">
        <v>72</v>
      </c>
      <c r="B400" s="1" t="s">
        <v>5658</v>
      </c>
      <c r="C400" s="1"/>
      <c r="D400" s="1"/>
      <c r="E400" s="1" t="s">
        <v>106</v>
      </c>
      <c r="F400" s="1" t="s">
        <v>5659</v>
      </c>
      <c r="G400" s="1"/>
      <c r="H400" s="1"/>
      <c r="I400" s="1" t="s">
        <v>7389</v>
      </c>
      <c r="J400" s="1" t="s">
        <v>7390</v>
      </c>
      <c r="K400" s="1" t="s">
        <v>1173</v>
      </c>
      <c r="L400" s="1"/>
      <c r="M400" s="1" t="s">
        <v>78</v>
      </c>
      <c r="N400" s="1" t="s">
        <v>79</v>
      </c>
      <c r="O400" s="1" t="s">
        <v>7391</v>
      </c>
      <c r="P400" s="1" t="s">
        <v>7392</v>
      </c>
      <c r="Q400" s="1" t="s">
        <v>7393</v>
      </c>
      <c r="R400" s="1" t="s">
        <v>7394</v>
      </c>
      <c r="S400" s="1"/>
      <c r="T400" s="1" t="s">
        <v>7395</v>
      </c>
      <c r="U400" s="1"/>
      <c r="V400" s="1" t="s">
        <v>7396</v>
      </c>
      <c r="W400" s="1" t="s">
        <v>7397</v>
      </c>
      <c r="X400" s="1" t="s">
        <v>7398</v>
      </c>
      <c r="Y400" s="1" t="s">
        <v>7399</v>
      </c>
      <c r="Z400" s="1" t="s">
        <v>5666</v>
      </c>
      <c r="AA400" s="1"/>
      <c r="AB400" s="1"/>
      <c r="AC400" s="1" t="s">
        <v>1186</v>
      </c>
      <c r="AD400" s="1" t="s">
        <v>1186</v>
      </c>
      <c r="AE400" s="1" t="s">
        <v>1187</v>
      </c>
      <c r="AF400" s="1"/>
      <c r="AG400" s="1" t="n">
        <v>16</v>
      </c>
      <c r="AH400" s="1" t="n">
        <v>8</v>
      </c>
      <c r="AI400" s="1" t="n">
        <v>8</v>
      </c>
      <c r="AJ400" s="1" t="n">
        <v>0</v>
      </c>
      <c r="AK400" s="1" t="n">
        <v>2</v>
      </c>
      <c r="AL400" s="1" t="s">
        <v>106</v>
      </c>
      <c r="AM400" s="1" t="s">
        <v>95</v>
      </c>
      <c r="AN400" s="1" t="s">
        <v>122</v>
      </c>
      <c r="AO400" s="1" t="s">
        <v>1188</v>
      </c>
      <c r="AP400" s="1"/>
      <c r="AQ400" s="1" t="s">
        <v>7400</v>
      </c>
      <c r="AR400" s="1" t="s">
        <v>1190</v>
      </c>
      <c r="AS400" s="1"/>
      <c r="AT400" s="1"/>
      <c r="AU400" s="1" t="n">
        <v>2020</v>
      </c>
      <c r="AV400" s="1"/>
      <c r="AW400" s="1"/>
      <c r="AX400" s="1"/>
      <c r="AY400" s="1"/>
      <c r="AZ400" s="1"/>
      <c r="BA400" s="1"/>
      <c r="BB400" s="1" t="n">
        <v>364</v>
      </c>
      <c r="BC400" s="1" t="n">
        <v>371</v>
      </c>
      <c r="BD400" s="1"/>
      <c r="BE400" s="1" t="s">
        <v>7401</v>
      </c>
      <c r="BF400" s="1" t="str">
        <f aca="false">HYPERLINK("http://dx.doi.org/10.1109/ICSTW50294.2020.00065","http://dx.doi.org/10.1109/ICSTW50294.2020.00065")</f>
        <v>http://dx.doi.org/10.1109/ICSTW50294.2020.00065</v>
      </c>
      <c r="BG400" s="1"/>
      <c r="BH400" s="1"/>
      <c r="BI400" s="1" t="n">
        <v>8</v>
      </c>
      <c r="BJ400" s="1" t="s">
        <v>252</v>
      </c>
      <c r="BK400" s="1" t="s">
        <v>100</v>
      </c>
      <c r="BL400" s="1" t="s">
        <v>101</v>
      </c>
      <c r="BM400" s="1" t="s">
        <v>7402</v>
      </c>
      <c r="BN400" s="1"/>
      <c r="BO400" s="1" t="s">
        <v>227</v>
      </c>
      <c r="BP400" s="1"/>
      <c r="BQ400" s="1"/>
      <c r="BR400" s="1" t="s">
        <v>103</v>
      </c>
      <c r="BS400" s="1" t="s">
        <v>7403</v>
      </c>
      <c r="BT400" s="1" t="str">
        <f aca="false">HYPERLINK("https%3A%2F%2Fwww.webofscience.com%2Fwos%2Fwoscc%2Ffull-record%2FWOS:000620795100048","View Full Record in Web of Science")</f>
        <v>View Full Record in Web of Science</v>
      </c>
    </row>
    <row r="401" customFormat="false" ht="12.75" hidden="false" customHeight="false" outlineLevel="0" collapsed="false">
      <c r="A401" s="1" t="s">
        <v>181</v>
      </c>
      <c r="B401" s="1" t="s">
        <v>7404</v>
      </c>
      <c r="C401" s="1"/>
      <c r="D401" s="1"/>
      <c r="E401" s="1"/>
      <c r="F401" s="1" t="s">
        <v>7405</v>
      </c>
      <c r="G401" s="1"/>
      <c r="H401" s="1"/>
      <c r="I401" s="1" t="s">
        <v>7406</v>
      </c>
      <c r="J401" s="1" t="s">
        <v>7407</v>
      </c>
      <c r="K401" s="1"/>
      <c r="L401" s="1"/>
      <c r="M401" s="1" t="s">
        <v>78</v>
      </c>
      <c r="N401" s="1" t="s">
        <v>186</v>
      </c>
      <c r="O401" s="1"/>
      <c r="P401" s="1"/>
      <c r="Q401" s="1"/>
      <c r="R401" s="1"/>
      <c r="S401" s="1"/>
      <c r="T401" s="1" t="s">
        <v>7408</v>
      </c>
      <c r="U401" s="1" t="s">
        <v>7409</v>
      </c>
      <c r="V401" s="1" t="s">
        <v>7410</v>
      </c>
      <c r="W401" s="1" t="s">
        <v>7411</v>
      </c>
      <c r="X401" s="1" t="s">
        <v>5206</v>
      </c>
      <c r="Y401" s="1" t="s">
        <v>7412</v>
      </c>
      <c r="Z401" s="1" t="s">
        <v>7413</v>
      </c>
      <c r="AA401" s="1" t="s">
        <v>7414</v>
      </c>
      <c r="AB401" s="1" t="s">
        <v>7415</v>
      </c>
      <c r="AC401" s="1" t="s">
        <v>7416</v>
      </c>
      <c r="AD401" s="1" t="s">
        <v>7416</v>
      </c>
      <c r="AE401" s="1" t="s">
        <v>7417</v>
      </c>
      <c r="AF401" s="1"/>
      <c r="AG401" s="1" t="n">
        <v>50</v>
      </c>
      <c r="AH401" s="1" t="n">
        <v>1</v>
      </c>
      <c r="AI401" s="1" t="n">
        <v>1</v>
      </c>
      <c r="AJ401" s="1" t="n">
        <v>3</v>
      </c>
      <c r="AK401" s="1" t="n">
        <v>3</v>
      </c>
      <c r="AL401" s="1" t="s">
        <v>893</v>
      </c>
      <c r="AM401" s="1" t="s">
        <v>894</v>
      </c>
      <c r="AN401" s="1" t="s">
        <v>895</v>
      </c>
      <c r="AO401" s="1" t="s">
        <v>7418</v>
      </c>
      <c r="AP401" s="1" t="s">
        <v>7419</v>
      </c>
      <c r="AQ401" s="1"/>
      <c r="AR401" s="1" t="s">
        <v>7420</v>
      </c>
      <c r="AS401" s="1" t="s">
        <v>7421</v>
      </c>
      <c r="AT401" s="1" t="s">
        <v>1362</v>
      </c>
      <c r="AU401" s="1" t="n">
        <v>2024</v>
      </c>
      <c r="AV401" s="1" t="n">
        <v>156</v>
      </c>
      <c r="AW401" s="1"/>
      <c r="AX401" s="1"/>
      <c r="AY401" s="1"/>
      <c r="AZ401" s="1"/>
      <c r="BA401" s="1"/>
      <c r="BB401" s="1"/>
      <c r="BC401" s="1"/>
      <c r="BD401" s="1" t="n">
        <v>102953</v>
      </c>
      <c r="BE401" s="1" t="s">
        <v>7422</v>
      </c>
      <c r="BF401" s="1" t="str">
        <f aca="false">HYPERLINK("http://dx.doi.org/10.1016/j.artmed.2024.102953","http://dx.doi.org/10.1016/j.artmed.2024.102953")</f>
        <v>http://dx.doi.org/10.1016/j.artmed.2024.102953</v>
      </c>
      <c r="BG401" s="1"/>
      <c r="BH401" s="1" t="s">
        <v>6336</v>
      </c>
      <c r="BI401" s="1" t="n">
        <v>18</v>
      </c>
      <c r="BJ401" s="1" t="s">
        <v>7423</v>
      </c>
      <c r="BK401" s="1" t="s">
        <v>204</v>
      </c>
      <c r="BL401" s="1" t="s">
        <v>7424</v>
      </c>
      <c r="BM401" s="1" t="s">
        <v>7425</v>
      </c>
      <c r="BN401" s="1" t="n">
        <v>39222579</v>
      </c>
      <c r="BO401" s="1" t="s">
        <v>282</v>
      </c>
      <c r="BP401" s="1"/>
      <c r="BQ401" s="1"/>
      <c r="BR401" s="1" t="s">
        <v>103</v>
      </c>
      <c r="BS401" s="1" t="s">
        <v>7426</v>
      </c>
      <c r="BT401" s="1" t="str">
        <f aca="false">HYPERLINK("https%3A%2F%2Fwww.webofscience.com%2Fwos%2Fwoscc%2Ffull-record%2FWOS:001358362000001","View Full Record in Web of Science")</f>
        <v>View Full Record in Web of Science</v>
      </c>
    </row>
    <row r="402" customFormat="false" ht="12.75" hidden="false" customHeight="false" outlineLevel="0" collapsed="false">
      <c r="A402" s="1" t="s">
        <v>181</v>
      </c>
      <c r="B402" s="1" t="s">
        <v>5503</v>
      </c>
      <c r="C402" s="1"/>
      <c r="D402" s="1"/>
      <c r="E402" s="1"/>
      <c r="F402" s="1" t="s">
        <v>5504</v>
      </c>
      <c r="G402" s="1"/>
      <c r="H402" s="1"/>
      <c r="I402" s="1" t="s">
        <v>7427</v>
      </c>
      <c r="J402" s="1" t="s">
        <v>1378</v>
      </c>
      <c r="K402" s="1"/>
      <c r="L402" s="1"/>
      <c r="M402" s="1" t="s">
        <v>78</v>
      </c>
      <c r="N402" s="1" t="s">
        <v>186</v>
      </c>
      <c r="O402" s="1"/>
      <c r="P402" s="1"/>
      <c r="Q402" s="1"/>
      <c r="R402" s="1"/>
      <c r="S402" s="1"/>
      <c r="T402" s="1" t="s">
        <v>7428</v>
      </c>
      <c r="U402" s="1" t="s">
        <v>7429</v>
      </c>
      <c r="V402" s="1" t="s">
        <v>7430</v>
      </c>
      <c r="W402" s="1" t="s">
        <v>7431</v>
      </c>
      <c r="X402" s="1" t="s">
        <v>5509</v>
      </c>
      <c r="Y402" s="1" t="s">
        <v>5429</v>
      </c>
      <c r="Z402" s="1" t="s">
        <v>1999</v>
      </c>
      <c r="AA402" s="1"/>
      <c r="AB402" s="1"/>
      <c r="AC402" s="1"/>
      <c r="AD402" s="1"/>
      <c r="AE402" s="1"/>
      <c r="AF402" s="1"/>
      <c r="AG402" s="1" t="n">
        <v>58</v>
      </c>
      <c r="AH402" s="1" t="n">
        <v>0</v>
      </c>
      <c r="AI402" s="1" t="n">
        <v>0</v>
      </c>
      <c r="AJ402" s="1" t="n">
        <v>1</v>
      </c>
      <c r="AK402" s="1" t="n">
        <v>1</v>
      </c>
      <c r="AL402" s="1" t="s">
        <v>893</v>
      </c>
      <c r="AM402" s="1" t="s">
        <v>894</v>
      </c>
      <c r="AN402" s="1" t="s">
        <v>895</v>
      </c>
      <c r="AO402" s="1" t="s">
        <v>1387</v>
      </c>
      <c r="AP402" s="1" t="s">
        <v>1388</v>
      </c>
      <c r="AQ402" s="1"/>
      <c r="AR402" s="1" t="s">
        <v>1389</v>
      </c>
      <c r="AS402" s="1" t="s">
        <v>1390</v>
      </c>
      <c r="AT402" s="1" t="s">
        <v>1362</v>
      </c>
      <c r="AU402" s="1" t="n">
        <v>2024</v>
      </c>
      <c r="AV402" s="1" t="n">
        <v>174</v>
      </c>
      <c r="AW402" s="1"/>
      <c r="AX402" s="1"/>
      <c r="AY402" s="1"/>
      <c r="AZ402" s="1"/>
      <c r="BA402" s="1"/>
      <c r="BB402" s="1"/>
      <c r="BC402" s="1"/>
      <c r="BD402" s="1" t="n">
        <v>107501</v>
      </c>
      <c r="BE402" s="1" t="s">
        <v>7432</v>
      </c>
      <c r="BF402" s="1" t="str">
        <f aca="false">HYPERLINK("http://dx.doi.org/10.1016/j.infsof.2024.107501","http://dx.doi.org/10.1016/j.infsof.2024.107501")</f>
        <v>http://dx.doi.org/10.1016/j.infsof.2024.107501</v>
      </c>
      <c r="BG402" s="1"/>
      <c r="BH402" s="1" t="s">
        <v>1658</v>
      </c>
      <c r="BI402" s="1" t="n">
        <v>14</v>
      </c>
      <c r="BJ402" s="1" t="s">
        <v>1394</v>
      </c>
      <c r="BK402" s="1" t="s">
        <v>204</v>
      </c>
      <c r="BL402" s="1" t="s">
        <v>101</v>
      </c>
      <c r="BM402" s="1" t="s">
        <v>7433</v>
      </c>
      <c r="BN402" s="1"/>
      <c r="BO402" s="1" t="s">
        <v>282</v>
      </c>
      <c r="BP402" s="1"/>
      <c r="BQ402" s="1"/>
      <c r="BR402" s="1" t="s">
        <v>103</v>
      </c>
      <c r="BS402" s="1" t="s">
        <v>7434</v>
      </c>
      <c r="BT402" s="1" t="str">
        <f aca="false">HYPERLINK("https%3A%2F%2Fwww.webofscience.com%2Fwos%2Fwoscc%2Ffull-record%2FWOS:001252262000001","View Full Record in Web of Science")</f>
        <v>View Full Record in Web of Science</v>
      </c>
    </row>
    <row r="403" customFormat="false" ht="12.75" hidden="false" customHeight="false" outlineLevel="0" collapsed="false">
      <c r="A403" s="1" t="s">
        <v>181</v>
      </c>
      <c r="B403" s="1" t="s">
        <v>7435</v>
      </c>
      <c r="C403" s="1"/>
      <c r="D403" s="1"/>
      <c r="E403" s="1"/>
      <c r="F403" s="1" t="s">
        <v>7436</v>
      </c>
      <c r="G403" s="1"/>
      <c r="H403" s="1"/>
      <c r="I403" s="1" t="s">
        <v>7437</v>
      </c>
      <c r="J403" s="1" t="s">
        <v>523</v>
      </c>
      <c r="K403" s="1"/>
      <c r="L403" s="1"/>
      <c r="M403" s="1" t="s">
        <v>78</v>
      </c>
      <c r="N403" s="1" t="s">
        <v>186</v>
      </c>
      <c r="O403" s="1"/>
      <c r="P403" s="1"/>
      <c r="Q403" s="1"/>
      <c r="R403" s="1"/>
      <c r="S403" s="1"/>
      <c r="T403" s="1" t="s">
        <v>7438</v>
      </c>
      <c r="U403" s="1" t="s">
        <v>7439</v>
      </c>
      <c r="V403" s="1" t="s">
        <v>7440</v>
      </c>
      <c r="W403" s="1" t="s">
        <v>7441</v>
      </c>
      <c r="X403" s="1" t="s">
        <v>7442</v>
      </c>
      <c r="Y403" s="1" t="s">
        <v>7443</v>
      </c>
      <c r="Z403" s="1" t="s">
        <v>7444</v>
      </c>
      <c r="AA403" s="1" t="s">
        <v>7445</v>
      </c>
      <c r="AB403" s="1" t="s">
        <v>7446</v>
      </c>
      <c r="AC403" s="1"/>
      <c r="AD403" s="1"/>
      <c r="AE403" s="1"/>
      <c r="AF403" s="1"/>
      <c r="AG403" s="1" t="n">
        <v>56</v>
      </c>
      <c r="AH403" s="1" t="n">
        <v>5</v>
      </c>
      <c r="AI403" s="1" t="n">
        <v>5</v>
      </c>
      <c r="AJ403" s="1" t="n">
        <v>5</v>
      </c>
      <c r="AK403" s="1" t="n">
        <v>23</v>
      </c>
      <c r="AL403" s="1" t="s">
        <v>367</v>
      </c>
      <c r="AM403" s="1" t="s">
        <v>368</v>
      </c>
      <c r="AN403" s="1" t="s">
        <v>369</v>
      </c>
      <c r="AO403" s="1"/>
      <c r="AP403" s="1" t="s">
        <v>534</v>
      </c>
      <c r="AQ403" s="1"/>
      <c r="AR403" s="1" t="s">
        <v>535</v>
      </c>
      <c r="AS403" s="1" t="s">
        <v>536</v>
      </c>
      <c r="AT403" s="1" t="s">
        <v>1362</v>
      </c>
      <c r="AU403" s="1" t="n">
        <v>2022</v>
      </c>
      <c r="AV403" s="1" t="n">
        <v>12</v>
      </c>
      <c r="AW403" s="1" t="n">
        <v>20</v>
      </c>
      <c r="AX403" s="1"/>
      <c r="AY403" s="1"/>
      <c r="AZ403" s="1"/>
      <c r="BA403" s="1"/>
      <c r="BB403" s="1"/>
      <c r="BC403" s="1"/>
      <c r="BD403" s="1" t="n">
        <v>10652</v>
      </c>
      <c r="BE403" s="1" t="s">
        <v>7447</v>
      </c>
      <c r="BF403" s="1" t="str">
        <f aca="false">HYPERLINK("http://dx.doi.org/10.3390/app122010652","http://dx.doi.org/10.3390/app122010652")</f>
        <v>http://dx.doi.org/10.3390/app122010652</v>
      </c>
      <c r="BG403" s="1"/>
      <c r="BH403" s="1"/>
      <c r="BI403" s="1" t="n">
        <v>20</v>
      </c>
      <c r="BJ403" s="1" t="s">
        <v>539</v>
      </c>
      <c r="BK403" s="1" t="s">
        <v>204</v>
      </c>
      <c r="BL403" s="1" t="s">
        <v>540</v>
      </c>
      <c r="BM403" s="1" t="s">
        <v>7448</v>
      </c>
      <c r="BN403" s="1"/>
      <c r="BO403" s="1" t="s">
        <v>401</v>
      </c>
      <c r="BP403" s="1"/>
      <c r="BQ403" s="1"/>
      <c r="BR403" s="1" t="s">
        <v>103</v>
      </c>
      <c r="BS403" s="1" t="s">
        <v>7449</v>
      </c>
      <c r="BT403" s="1" t="str">
        <f aca="false">HYPERLINK("https%3A%2F%2Fwww.webofscience.com%2Fwos%2Fwoscc%2Ffull-record%2FWOS:000872193800001","View Full Record in Web of Science")</f>
        <v>View Full Record in Web of Science</v>
      </c>
    </row>
    <row r="404" customFormat="false" ht="12.75" hidden="false" customHeight="false" outlineLevel="0" collapsed="false">
      <c r="A404" s="1" t="s">
        <v>181</v>
      </c>
      <c r="B404" s="1" t="s">
        <v>7450</v>
      </c>
      <c r="C404" s="1"/>
      <c r="D404" s="1"/>
      <c r="E404" s="1"/>
      <c r="F404" s="1" t="s">
        <v>7451</v>
      </c>
      <c r="G404" s="1"/>
      <c r="H404" s="1"/>
      <c r="I404" s="1" t="s">
        <v>7452</v>
      </c>
      <c r="J404" s="1" t="s">
        <v>7453</v>
      </c>
      <c r="K404" s="1"/>
      <c r="L404" s="1"/>
      <c r="M404" s="1" t="s">
        <v>78</v>
      </c>
      <c r="N404" s="1" t="s">
        <v>186</v>
      </c>
      <c r="O404" s="1"/>
      <c r="P404" s="1"/>
      <c r="Q404" s="1"/>
      <c r="R404" s="1"/>
      <c r="S404" s="1"/>
      <c r="T404" s="1" t="s">
        <v>7454</v>
      </c>
      <c r="U404" s="1" t="s">
        <v>7455</v>
      </c>
      <c r="V404" s="1" t="s">
        <v>7456</v>
      </c>
      <c r="W404" s="1" t="s">
        <v>7457</v>
      </c>
      <c r="X404" s="1" t="s">
        <v>7458</v>
      </c>
      <c r="Y404" s="1" t="s">
        <v>7459</v>
      </c>
      <c r="Z404" s="1" t="s">
        <v>7460</v>
      </c>
      <c r="AA404" s="1"/>
      <c r="AB404" s="1"/>
      <c r="AC404" s="1" t="s">
        <v>7461</v>
      </c>
      <c r="AD404" s="1" t="s">
        <v>7462</v>
      </c>
      <c r="AE404" s="1" t="s">
        <v>7463</v>
      </c>
      <c r="AF404" s="1"/>
      <c r="AG404" s="1" t="n">
        <v>56</v>
      </c>
      <c r="AH404" s="1" t="n">
        <v>3</v>
      </c>
      <c r="AI404" s="1" t="n">
        <v>4</v>
      </c>
      <c r="AJ404" s="1" t="n">
        <v>1</v>
      </c>
      <c r="AK404" s="1" t="n">
        <v>7</v>
      </c>
      <c r="AL404" s="1" t="s">
        <v>7464</v>
      </c>
      <c r="AM404" s="1" t="s">
        <v>7465</v>
      </c>
      <c r="AN404" s="1" t="s">
        <v>7466</v>
      </c>
      <c r="AO404" s="1" t="s">
        <v>7467</v>
      </c>
      <c r="AP404" s="1" t="s">
        <v>7468</v>
      </c>
      <c r="AQ404" s="1"/>
      <c r="AR404" s="1" t="s">
        <v>7469</v>
      </c>
      <c r="AS404" s="1" t="s">
        <v>7470</v>
      </c>
      <c r="AT404" s="1" t="s">
        <v>277</v>
      </c>
      <c r="AU404" s="1" t="n">
        <v>2022</v>
      </c>
      <c r="AV404" s="1" t="n">
        <v>11</v>
      </c>
      <c r="AW404" s="1" t="n">
        <v>1</v>
      </c>
      <c r="AX404" s="1"/>
      <c r="AY404" s="1"/>
      <c r="AZ404" s="1"/>
      <c r="BA404" s="1"/>
      <c r="BB404" s="1" t="n">
        <v>83</v>
      </c>
      <c r="BC404" s="1" t="n">
        <v>106</v>
      </c>
      <c r="BD404" s="1"/>
      <c r="BE404" s="1" t="s">
        <v>7471</v>
      </c>
      <c r="BF404" s="1" t="str">
        <f aca="false">HYPERLINK("http://dx.doi.org/10.1016/j.ijtst.2021.02.002","http://dx.doi.org/10.1016/j.ijtst.2021.02.002")</f>
        <v>http://dx.doi.org/10.1016/j.ijtst.2021.02.002</v>
      </c>
      <c r="BG404" s="1"/>
      <c r="BH404" s="1"/>
      <c r="BI404" s="1" t="n">
        <v>24</v>
      </c>
      <c r="BJ404" s="1" t="s">
        <v>7472</v>
      </c>
      <c r="BK404" s="1" t="s">
        <v>253</v>
      </c>
      <c r="BL404" s="1" t="s">
        <v>3601</v>
      </c>
      <c r="BM404" s="1" t="s">
        <v>7473</v>
      </c>
      <c r="BN404" s="1"/>
      <c r="BO404" s="1" t="s">
        <v>542</v>
      </c>
      <c r="BP404" s="1"/>
      <c r="BQ404" s="1"/>
      <c r="BR404" s="1" t="s">
        <v>103</v>
      </c>
      <c r="BS404" s="1" t="s">
        <v>7474</v>
      </c>
      <c r="BT404" s="1" t="str">
        <f aca="false">HYPERLINK("https%3A%2F%2Fwww.webofscience.com%2Fwos%2Fwoscc%2Ffull-record%2FWOS:001045843700001","View Full Record in Web of Science")</f>
        <v>View Full Record in Web of Science</v>
      </c>
    </row>
    <row r="405" customFormat="false" ht="12.75" hidden="false" customHeight="false" outlineLevel="0" collapsed="false">
      <c r="A405" s="1" t="s">
        <v>72</v>
      </c>
      <c r="B405" s="1" t="s">
        <v>7475</v>
      </c>
      <c r="C405" s="1"/>
      <c r="D405" s="1"/>
      <c r="E405" s="1" t="s">
        <v>6634</v>
      </c>
      <c r="F405" s="1" t="s">
        <v>7476</v>
      </c>
      <c r="G405" s="1"/>
      <c r="H405" s="1"/>
      <c r="I405" s="1" t="s">
        <v>7477</v>
      </c>
      <c r="J405" s="1" t="s">
        <v>7478</v>
      </c>
      <c r="K405" s="1"/>
      <c r="L405" s="1"/>
      <c r="M405" s="1" t="s">
        <v>78</v>
      </c>
      <c r="N405" s="1" t="s">
        <v>79</v>
      </c>
      <c r="O405" s="1" t="s">
        <v>7479</v>
      </c>
      <c r="P405" s="1" t="s">
        <v>7480</v>
      </c>
      <c r="Q405" s="1" t="s">
        <v>320</v>
      </c>
      <c r="R405" s="1" t="s">
        <v>7481</v>
      </c>
      <c r="S405" s="1"/>
      <c r="T405" s="1"/>
      <c r="U405" s="1"/>
      <c r="V405" s="1" t="s">
        <v>7482</v>
      </c>
      <c r="W405" s="1" t="s">
        <v>7483</v>
      </c>
      <c r="X405" s="1" t="s">
        <v>5099</v>
      </c>
      <c r="Y405" s="1" t="s">
        <v>7484</v>
      </c>
      <c r="Z405" s="1" t="s">
        <v>7485</v>
      </c>
      <c r="AA405" s="1"/>
      <c r="AB405" s="1"/>
      <c r="AC405" s="1"/>
      <c r="AD405" s="1"/>
      <c r="AE405" s="1"/>
      <c r="AF405" s="1"/>
      <c r="AG405" s="1" t="n">
        <v>27</v>
      </c>
      <c r="AH405" s="1" t="n">
        <v>14</v>
      </c>
      <c r="AI405" s="1" t="n">
        <v>15</v>
      </c>
      <c r="AJ405" s="1" t="n">
        <v>0</v>
      </c>
      <c r="AK405" s="1" t="n">
        <v>1</v>
      </c>
      <c r="AL405" s="1" t="s">
        <v>172</v>
      </c>
      <c r="AM405" s="1" t="s">
        <v>173</v>
      </c>
      <c r="AN405" s="1" t="s">
        <v>174</v>
      </c>
      <c r="AO405" s="1"/>
      <c r="AP405" s="1"/>
      <c r="AQ405" s="1" t="s">
        <v>7486</v>
      </c>
      <c r="AR405" s="1"/>
      <c r="AS405" s="1"/>
      <c r="AT405" s="1"/>
      <c r="AU405" s="1" t="n">
        <v>2020</v>
      </c>
      <c r="AV405" s="1"/>
      <c r="AW405" s="1"/>
      <c r="AX405" s="1"/>
      <c r="AY405" s="1"/>
      <c r="AZ405" s="1"/>
      <c r="BA405" s="1"/>
      <c r="BB405" s="1" t="n">
        <v>1</v>
      </c>
      <c r="BC405" s="1" t="n">
        <v>10</v>
      </c>
      <c r="BD405" s="1"/>
      <c r="BE405" s="1" t="s">
        <v>7487</v>
      </c>
      <c r="BF405" s="1" t="str">
        <f aca="false">HYPERLINK("http://dx.doi.org/10.1145/3377813.3381365","http://dx.doi.org/10.1145/3377813.3381365")</f>
        <v>http://dx.doi.org/10.1145/3377813.3381365</v>
      </c>
      <c r="BG405" s="1"/>
      <c r="BH405" s="1"/>
      <c r="BI405" s="1" t="n">
        <v>10</v>
      </c>
      <c r="BJ405" s="1" t="s">
        <v>252</v>
      </c>
      <c r="BK405" s="1" t="s">
        <v>100</v>
      </c>
      <c r="BL405" s="1" t="s">
        <v>101</v>
      </c>
      <c r="BM405" s="1" t="s">
        <v>7488</v>
      </c>
      <c r="BN405" s="1"/>
      <c r="BO405" s="1" t="s">
        <v>179</v>
      </c>
      <c r="BP405" s="1"/>
      <c r="BQ405" s="1"/>
      <c r="BR405" s="1" t="s">
        <v>103</v>
      </c>
      <c r="BS405" s="1" t="s">
        <v>7489</v>
      </c>
      <c r="BT405" s="1" t="str">
        <f aca="false">HYPERLINK("https%3A%2F%2Fwww.webofscience.com%2Fwos%2Fwoscc%2Ffull-record%2FWOS:000680655000001","View Full Record in Web of Science")</f>
        <v>View Full Record in Web of Science</v>
      </c>
    </row>
    <row r="406" customFormat="false" ht="12.75" hidden="false" customHeight="false" outlineLevel="0" collapsed="false">
      <c r="A406" s="1" t="s">
        <v>181</v>
      </c>
      <c r="B406" s="1" t="s">
        <v>7490</v>
      </c>
      <c r="C406" s="1"/>
      <c r="D406" s="1"/>
      <c r="E406" s="1"/>
      <c r="F406" s="1" t="s">
        <v>7491</v>
      </c>
      <c r="G406" s="1"/>
      <c r="H406" s="1"/>
      <c r="I406" s="1" t="s">
        <v>7492</v>
      </c>
      <c r="J406" s="1" t="s">
        <v>7493</v>
      </c>
      <c r="K406" s="1"/>
      <c r="L406" s="1"/>
      <c r="M406" s="1" t="s">
        <v>78</v>
      </c>
      <c r="N406" s="1" t="s">
        <v>186</v>
      </c>
      <c r="O406" s="1"/>
      <c r="P406" s="1"/>
      <c r="Q406" s="1"/>
      <c r="R406" s="1"/>
      <c r="S406" s="1"/>
      <c r="T406" s="1" t="s">
        <v>7494</v>
      </c>
      <c r="U406" s="1" t="s">
        <v>7495</v>
      </c>
      <c r="V406" s="1" t="s">
        <v>7496</v>
      </c>
      <c r="W406" s="1" t="s">
        <v>7497</v>
      </c>
      <c r="X406" s="1" t="s">
        <v>7498</v>
      </c>
      <c r="Y406" s="1" t="s">
        <v>7499</v>
      </c>
      <c r="Z406" s="1" t="s">
        <v>7500</v>
      </c>
      <c r="AA406" s="1" t="s">
        <v>7501</v>
      </c>
      <c r="AB406" s="1" t="s">
        <v>7502</v>
      </c>
      <c r="AC406" s="1" t="s">
        <v>7503</v>
      </c>
      <c r="AD406" s="1" t="s">
        <v>7504</v>
      </c>
      <c r="AE406" s="1" t="s">
        <v>7505</v>
      </c>
      <c r="AF406" s="1"/>
      <c r="AG406" s="1" t="n">
        <v>51</v>
      </c>
      <c r="AH406" s="1" t="n">
        <v>5</v>
      </c>
      <c r="AI406" s="1" t="n">
        <v>5</v>
      </c>
      <c r="AJ406" s="1" t="n">
        <v>0</v>
      </c>
      <c r="AK406" s="1" t="n">
        <v>10</v>
      </c>
      <c r="AL406" s="1" t="s">
        <v>195</v>
      </c>
      <c r="AM406" s="1" t="s">
        <v>196</v>
      </c>
      <c r="AN406" s="1" t="s">
        <v>197</v>
      </c>
      <c r="AO406" s="1" t="s">
        <v>7506</v>
      </c>
      <c r="AP406" s="1" t="s">
        <v>7507</v>
      </c>
      <c r="AQ406" s="1"/>
      <c r="AR406" s="1" t="s">
        <v>7508</v>
      </c>
      <c r="AS406" s="1" t="s">
        <v>7509</v>
      </c>
      <c r="AT406" s="1"/>
      <c r="AU406" s="1" t="n">
        <v>2020</v>
      </c>
      <c r="AV406" s="1" t="n">
        <v>68</v>
      </c>
      <c r="AW406" s="1"/>
      <c r="AX406" s="1"/>
      <c r="AY406" s="1"/>
      <c r="AZ406" s="1"/>
      <c r="BA406" s="1"/>
      <c r="BB406" s="1" t="n">
        <v>3194</v>
      </c>
      <c r="BC406" s="1" t="n">
        <v>3208</v>
      </c>
      <c r="BD406" s="1"/>
      <c r="BE406" s="1" t="s">
        <v>7510</v>
      </c>
      <c r="BF406" s="1" t="str">
        <f aca="false">HYPERLINK("http://dx.doi.org/10.1109/TSP.2020.2992855","http://dx.doi.org/10.1109/TSP.2020.2992855")</f>
        <v>http://dx.doi.org/10.1109/TSP.2020.2992855</v>
      </c>
      <c r="BG406" s="1"/>
      <c r="BH406" s="1"/>
      <c r="BI406" s="1" t="n">
        <v>15</v>
      </c>
      <c r="BJ406" s="1" t="s">
        <v>4421</v>
      </c>
      <c r="BK406" s="1" t="s">
        <v>204</v>
      </c>
      <c r="BL406" s="1" t="s">
        <v>640</v>
      </c>
      <c r="BM406" s="1" t="s">
        <v>7511</v>
      </c>
      <c r="BN406" s="1"/>
      <c r="BO406" s="1"/>
      <c r="BP406" s="1"/>
      <c r="BQ406" s="1"/>
      <c r="BR406" s="1" t="s">
        <v>103</v>
      </c>
      <c r="BS406" s="1" t="s">
        <v>7512</v>
      </c>
      <c r="BT406" s="1" t="str">
        <f aca="false">HYPERLINK("https%3A%2F%2Fwww.webofscience.com%2Fwos%2Fwoscc%2Ffull-record%2FWOS:000545444500003","View Full Record in Web of Science")</f>
        <v>View Full Record in Web of Science</v>
      </c>
    </row>
    <row r="407" customFormat="false" ht="12.75" hidden="false" customHeight="false" outlineLevel="0" collapsed="false">
      <c r="A407" s="1" t="s">
        <v>181</v>
      </c>
      <c r="B407" s="1" t="s">
        <v>7513</v>
      </c>
      <c r="C407" s="1"/>
      <c r="D407" s="1"/>
      <c r="E407" s="1"/>
      <c r="F407" s="1" t="s">
        <v>7514</v>
      </c>
      <c r="G407" s="1"/>
      <c r="H407" s="1"/>
      <c r="I407" s="1" t="s">
        <v>7515</v>
      </c>
      <c r="J407" s="1" t="s">
        <v>6160</v>
      </c>
      <c r="K407" s="1"/>
      <c r="L407" s="1"/>
      <c r="M407" s="1" t="s">
        <v>78</v>
      </c>
      <c r="N407" s="1" t="s">
        <v>186</v>
      </c>
      <c r="O407" s="1"/>
      <c r="P407" s="1"/>
      <c r="Q407" s="1"/>
      <c r="R407" s="1"/>
      <c r="S407" s="1"/>
      <c r="T407" s="1" t="s">
        <v>7516</v>
      </c>
      <c r="U407" s="1" t="s">
        <v>7517</v>
      </c>
      <c r="V407" s="1" t="s">
        <v>7518</v>
      </c>
      <c r="W407" s="1" t="s">
        <v>7519</v>
      </c>
      <c r="X407" s="1" t="s">
        <v>7520</v>
      </c>
      <c r="Y407" s="1" t="s">
        <v>7521</v>
      </c>
      <c r="Z407" s="1" t="s">
        <v>7522</v>
      </c>
      <c r="AA407" s="1"/>
      <c r="AB407" s="1" t="s">
        <v>7523</v>
      </c>
      <c r="AC407" s="1" t="s">
        <v>7524</v>
      </c>
      <c r="AD407" s="1" t="s">
        <v>7525</v>
      </c>
      <c r="AE407" s="1" t="s">
        <v>7526</v>
      </c>
      <c r="AF407" s="1"/>
      <c r="AG407" s="1" t="n">
        <v>25</v>
      </c>
      <c r="AH407" s="1" t="n">
        <v>0</v>
      </c>
      <c r="AI407" s="1" t="n">
        <v>0</v>
      </c>
      <c r="AJ407" s="1" t="n">
        <v>0</v>
      </c>
      <c r="AK407" s="1" t="n">
        <v>0</v>
      </c>
      <c r="AL407" s="1" t="s">
        <v>2381</v>
      </c>
      <c r="AM407" s="1" t="s">
        <v>2382</v>
      </c>
      <c r="AN407" s="1" t="s">
        <v>2383</v>
      </c>
      <c r="AO407" s="1" t="s">
        <v>6166</v>
      </c>
      <c r="AP407" s="1" t="s">
        <v>6167</v>
      </c>
      <c r="AQ407" s="1"/>
      <c r="AR407" s="1" t="s">
        <v>6168</v>
      </c>
      <c r="AS407" s="1" t="s">
        <v>6169</v>
      </c>
      <c r="AT407" s="1" t="s">
        <v>7527</v>
      </c>
      <c r="AU407" s="1" t="n">
        <v>2024</v>
      </c>
      <c r="AV407" s="1" t="n">
        <v>52</v>
      </c>
      <c r="AW407" s="1" t="n">
        <v>7</v>
      </c>
      <c r="AX407" s="1"/>
      <c r="AY407" s="1"/>
      <c r="AZ407" s="1"/>
      <c r="BA407" s="1"/>
      <c r="BB407" s="1" t="n">
        <v>3134</v>
      </c>
      <c r="BC407" s="1" t="n">
        <v>3153</v>
      </c>
      <c r="BD407" s="1"/>
      <c r="BE407" s="1" t="s">
        <v>7528</v>
      </c>
      <c r="BF407" s="1" t="str">
        <f aca="false">HYPERLINK("http://dx.doi.org/10.1080/00927872.2024.2315311","http://dx.doi.org/10.1080/00927872.2024.2315311")</f>
        <v>http://dx.doi.org/10.1080/00927872.2024.2315311</v>
      </c>
      <c r="BG407" s="1"/>
      <c r="BH407" s="1" t="s">
        <v>3549</v>
      </c>
      <c r="BI407" s="1" t="n">
        <v>20</v>
      </c>
      <c r="BJ407" s="1" t="s">
        <v>280</v>
      </c>
      <c r="BK407" s="1" t="s">
        <v>204</v>
      </c>
      <c r="BL407" s="1" t="s">
        <v>280</v>
      </c>
      <c r="BM407" s="1" t="s">
        <v>7529</v>
      </c>
      <c r="BN407" s="1"/>
      <c r="BO407" s="1" t="s">
        <v>2770</v>
      </c>
      <c r="BP407" s="1"/>
      <c r="BQ407" s="1"/>
      <c r="BR407" s="1" t="s">
        <v>103</v>
      </c>
      <c r="BS407" s="1" t="s">
        <v>7530</v>
      </c>
      <c r="BT407" s="1" t="str">
        <f aca="false">HYPERLINK("https%3A%2F%2Fwww.webofscience.com%2Fwos%2Fwoscc%2Ffull-record%2FWOS:001174001000001","View Full Record in Web of Science")</f>
        <v>View Full Record in Web of Science</v>
      </c>
    </row>
    <row r="408" customFormat="false" ht="12.75" hidden="false" customHeight="false" outlineLevel="0" collapsed="false">
      <c r="A408" s="1" t="s">
        <v>181</v>
      </c>
      <c r="B408" s="1" t="s">
        <v>7531</v>
      </c>
      <c r="C408" s="1"/>
      <c r="D408" s="1"/>
      <c r="E408" s="1"/>
      <c r="F408" s="1" t="s">
        <v>7532</v>
      </c>
      <c r="G408" s="1"/>
      <c r="H408" s="1"/>
      <c r="I408" s="1" t="s">
        <v>7533</v>
      </c>
      <c r="J408" s="1" t="s">
        <v>7534</v>
      </c>
      <c r="K408" s="1"/>
      <c r="L408" s="1"/>
      <c r="M408" s="1" t="s">
        <v>78</v>
      </c>
      <c r="N408" s="1" t="s">
        <v>186</v>
      </c>
      <c r="O408" s="1"/>
      <c r="P408" s="1"/>
      <c r="Q408" s="1"/>
      <c r="R408" s="1"/>
      <c r="S408" s="1"/>
      <c r="T408" s="1" t="s">
        <v>7535</v>
      </c>
      <c r="U408" s="1"/>
      <c r="V408" s="1" t="s">
        <v>7536</v>
      </c>
      <c r="W408" s="1" t="s">
        <v>7537</v>
      </c>
      <c r="X408" s="1" t="s">
        <v>6264</v>
      </c>
      <c r="Y408" s="1" t="s">
        <v>7538</v>
      </c>
      <c r="Z408" s="1" t="s">
        <v>3613</v>
      </c>
      <c r="AA408" s="1" t="s">
        <v>7539</v>
      </c>
      <c r="AB408" s="1" t="s">
        <v>7540</v>
      </c>
      <c r="AC408" s="1" t="s">
        <v>1205</v>
      </c>
      <c r="AD408" s="1" t="s">
        <v>1205</v>
      </c>
      <c r="AE408" s="1" t="s">
        <v>7541</v>
      </c>
      <c r="AF408" s="1"/>
      <c r="AG408" s="1" t="n">
        <v>24</v>
      </c>
      <c r="AH408" s="1" t="n">
        <v>3</v>
      </c>
      <c r="AI408" s="1" t="n">
        <v>3</v>
      </c>
      <c r="AJ408" s="1" t="n">
        <v>1</v>
      </c>
      <c r="AK408" s="1" t="n">
        <v>5</v>
      </c>
      <c r="AL408" s="1" t="s">
        <v>1025</v>
      </c>
      <c r="AM408" s="1" t="s">
        <v>1026</v>
      </c>
      <c r="AN408" s="1" t="s">
        <v>1027</v>
      </c>
      <c r="AO408" s="1" t="s">
        <v>7542</v>
      </c>
      <c r="AP408" s="1" t="s">
        <v>7543</v>
      </c>
      <c r="AQ408" s="1"/>
      <c r="AR408" s="1" t="s">
        <v>7544</v>
      </c>
      <c r="AS408" s="1" t="s">
        <v>7545</v>
      </c>
      <c r="AT408" s="1" t="s">
        <v>711</v>
      </c>
      <c r="AU408" s="1" t="n">
        <v>2022</v>
      </c>
      <c r="AV408" s="1" t="n">
        <v>71</v>
      </c>
      <c r="AW408" s="1"/>
      <c r="AX408" s="1"/>
      <c r="AY408" s="1"/>
      <c r="AZ408" s="1"/>
      <c r="BA408" s="1"/>
      <c r="BB408" s="1"/>
      <c r="BC408" s="1"/>
      <c r="BD408" s="1" t="n">
        <v>103213</v>
      </c>
      <c r="BE408" s="1" t="s">
        <v>7546</v>
      </c>
      <c r="BF408" s="1" t="str">
        <f aca="false">HYPERLINK("http://dx.doi.org/10.1016/j.iccn.2022.103213","http://dx.doi.org/10.1016/j.iccn.2022.103213")</f>
        <v>http://dx.doi.org/10.1016/j.iccn.2022.103213</v>
      </c>
      <c r="BG408" s="1"/>
      <c r="BH408" s="1"/>
      <c r="BI408" s="1" t="n">
        <v>7</v>
      </c>
      <c r="BJ408" s="1" t="s">
        <v>7547</v>
      </c>
      <c r="BK408" s="1" t="s">
        <v>398</v>
      </c>
      <c r="BL408" s="1" t="s">
        <v>7548</v>
      </c>
      <c r="BM408" s="1" t="s">
        <v>7549</v>
      </c>
      <c r="BN408" s="1" t="n">
        <v>35184970</v>
      </c>
      <c r="BO408" s="1" t="s">
        <v>207</v>
      </c>
      <c r="BP408" s="1"/>
      <c r="BQ408" s="1"/>
      <c r="BR408" s="1" t="s">
        <v>103</v>
      </c>
      <c r="BS408" s="1" t="s">
        <v>7550</v>
      </c>
      <c r="BT408" s="1" t="str">
        <f aca="false">HYPERLINK("https%3A%2F%2Fwww.webofscience.com%2Fwos%2Fwoscc%2Ffull-record%2FWOS:000836189200001","View Full Record in Web of Science")</f>
        <v>View Full Record in Web of Science</v>
      </c>
    </row>
    <row r="409" customFormat="false" ht="12.75" hidden="false" customHeight="false" outlineLevel="0" collapsed="false">
      <c r="A409" s="1" t="s">
        <v>181</v>
      </c>
      <c r="B409" s="1" t="s">
        <v>7551</v>
      </c>
      <c r="C409" s="1"/>
      <c r="D409" s="1"/>
      <c r="E409" s="1"/>
      <c r="F409" s="1" t="s">
        <v>7552</v>
      </c>
      <c r="G409" s="1"/>
      <c r="H409" s="1"/>
      <c r="I409" s="1" t="s">
        <v>7553</v>
      </c>
      <c r="J409" s="1" t="s">
        <v>7554</v>
      </c>
      <c r="K409" s="1"/>
      <c r="L409" s="1"/>
      <c r="M409" s="1" t="s">
        <v>78</v>
      </c>
      <c r="N409" s="1" t="s">
        <v>186</v>
      </c>
      <c r="O409" s="1"/>
      <c r="P409" s="1"/>
      <c r="Q409" s="1"/>
      <c r="R409" s="1"/>
      <c r="S409" s="1"/>
      <c r="T409" s="1" t="s">
        <v>7555</v>
      </c>
      <c r="U409" s="1" t="s">
        <v>7556</v>
      </c>
      <c r="V409" s="1" t="s">
        <v>7557</v>
      </c>
      <c r="W409" s="1" t="s">
        <v>7558</v>
      </c>
      <c r="X409" s="1" t="s">
        <v>7559</v>
      </c>
      <c r="Y409" s="1" t="s">
        <v>7560</v>
      </c>
      <c r="Z409" s="1" t="s">
        <v>7561</v>
      </c>
      <c r="AA409" s="1" t="s">
        <v>7562</v>
      </c>
      <c r="AB409" s="1" t="s">
        <v>7563</v>
      </c>
      <c r="AC409" s="1"/>
      <c r="AD409" s="1"/>
      <c r="AE409" s="1"/>
      <c r="AF409" s="1"/>
      <c r="AG409" s="1" t="n">
        <v>44</v>
      </c>
      <c r="AH409" s="1" t="n">
        <v>1</v>
      </c>
      <c r="AI409" s="1" t="n">
        <v>1</v>
      </c>
      <c r="AJ409" s="1" t="n">
        <v>0</v>
      </c>
      <c r="AK409" s="1" t="n">
        <v>7</v>
      </c>
      <c r="AL409" s="1" t="s">
        <v>7564</v>
      </c>
      <c r="AM409" s="1" t="s">
        <v>95</v>
      </c>
      <c r="AN409" s="1" t="s">
        <v>7565</v>
      </c>
      <c r="AO409" s="1" t="s">
        <v>7566</v>
      </c>
      <c r="AP409" s="1" t="s">
        <v>7567</v>
      </c>
      <c r="AQ409" s="1"/>
      <c r="AR409" s="1" t="s">
        <v>7568</v>
      </c>
      <c r="AS409" s="1" t="s">
        <v>7569</v>
      </c>
      <c r="AT409" s="1" t="s">
        <v>277</v>
      </c>
      <c r="AU409" s="1" t="n">
        <v>2022</v>
      </c>
      <c r="AV409" s="1" t="n">
        <v>36</v>
      </c>
      <c r="AW409" s="1" t="n">
        <v>2</v>
      </c>
      <c r="AX409" s="1"/>
      <c r="AY409" s="1"/>
      <c r="AZ409" s="1"/>
      <c r="BA409" s="1"/>
      <c r="BB409" s="1"/>
      <c r="BC409" s="1"/>
      <c r="BD409" s="1"/>
      <c r="BE409" s="1" t="s">
        <v>7570</v>
      </c>
      <c r="BF409" s="1" t="str">
        <f aca="false">HYPERLINK("http://dx.doi.org/10.1016/j.jvoice.2020.05.015","http://dx.doi.org/10.1016/j.jvoice.2020.05.015")</f>
        <v>http://dx.doi.org/10.1016/j.jvoice.2020.05.015</v>
      </c>
      <c r="BG409" s="1"/>
      <c r="BH409" s="1" t="s">
        <v>2685</v>
      </c>
      <c r="BI409" s="1" t="n">
        <v>12</v>
      </c>
      <c r="BJ409" s="1" t="s">
        <v>7571</v>
      </c>
      <c r="BK409" s="1" t="s">
        <v>204</v>
      </c>
      <c r="BL409" s="1" t="s">
        <v>7571</v>
      </c>
      <c r="BM409" s="1" t="s">
        <v>7572</v>
      </c>
      <c r="BN409" s="1" t="n">
        <v>32739034</v>
      </c>
      <c r="BO409" s="1" t="s">
        <v>7573</v>
      </c>
      <c r="BP409" s="1"/>
      <c r="BQ409" s="1"/>
      <c r="BR409" s="1" t="s">
        <v>103</v>
      </c>
      <c r="BS409" s="1" t="s">
        <v>7574</v>
      </c>
      <c r="BT409" s="1" t="str">
        <f aca="false">HYPERLINK("https%3A%2F%2Fwww.webofscience.com%2Fwos%2Fwoscc%2Ffull-record%2FWOS:000860525600034","View Full Record in Web of Science")</f>
        <v>View Full Record in Web of Science</v>
      </c>
    </row>
    <row r="410" customFormat="false" ht="12.75" hidden="false" customHeight="false" outlineLevel="0" collapsed="false">
      <c r="A410" s="1" t="s">
        <v>72</v>
      </c>
      <c r="B410" s="1" t="s">
        <v>7575</v>
      </c>
      <c r="C410" s="1"/>
      <c r="D410" s="1" t="s">
        <v>7576</v>
      </c>
      <c r="E410" s="1"/>
      <c r="F410" s="1" t="s">
        <v>7577</v>
      </c>
      <c r="G410" s="1"/>
      <c r="H410" s="1"/>
      <c r="I410" s="1" t="s">
        <v>7578</v>
      </c>
      <c r="J410" s="1" t="s">
        <v>7579</v>
      </c>
      <c r="K410" s="1" t="s">
        <v>498</v>
      </c>
      <c r="L410" s="1"/>
      <c r="M410" s="1" t="s">
        <v>78</v>
      </c>
      <c r="N410" s="1" t="s">
        <v>79</v>
      </c>
      <c r="O410" s="1" t="s">
        <v>7580</v>
      </c>
      <c r="P410" s="1" t="s">
        <v>7581</v>
      </c>
      <c r="Q410" s="1" t="s">
        <v>1792</v>
      </c>
      <c r="R410" s="1" t="s">
        <v>7582</v>
      </c>
      <c r="S410" s="1"/>
      <c r="T410" s="1" t="s">
        <v>7583</v>
      </c>
      <c r="U410" s="1"/>
      <c r="V410" s="1" t="s">
        <v>7584</v>
      </c>
      <c r="W410" s="1" t="s">
        <v>7585</v>
      </c>
      <c r="X410" s="1" t="s">
        <v>5274</v>
      </c>
      <c r="Y410" s="1" t="s">
        <v>6626</v>
      </c>
      <c r="Z410" s="1" t="s">
        <v>7586</v>
      </c>
      <c r="AA410" s="1" t="s">
        <v>5020</v>
      </c>
      <c r="AB410" s="1"/>
      <c r="AC410" s="1"/>
      <c r="AD410" s="1"/>
      <c r="AE410" s="1"/>
      <c r="AF410" s="1"/>
      <c r="AG410" s="1" t="n">
        <v>7</v>
      </c>
      <c r="AH410" s="1" t="n">
        <v>4</v>
      </c>
      <c r="AI410" s="1" t="n">
        <v>4</v>
      </c>
      <c r="AJ410" s="1" t="n">
        <v>0</v>
      </c>
      <c r="AK410" s="1" t="n">
        <v>6</v>
      </c>
      <c r="AL410" s="1" t="s">
        <v>302</v>
      </c>
      <c r="AM410" s="1" t="s">
        <v>303</v>
      </c>
      <c r="AN410" s="1" t="s">
        <v>304</v>
      </c>
      <c r="AO410" s="1" t="s">
        <v>512</v>
      </c>
      <c r="AP410" s="1" t="s">
        <v>513</v>
      </c>
      <c r="AQ410" s="1" t="s">
        <v>7587</v>
      </c>
      <c r="AR410" s="1" t="s">
        <v>515</v>
      </c>
      <c r="AS410" s="1"/>
      <c r="AT410" s="1"/>
      <c r="AU410" s="1" t="n">
        <v>2022</v>
      </c>
      <c r="AV410" s="1" t="n">
        <v>439</v>
      </c>
      <c r="AW410" s="1"/>
      <c r="AX410" s="1"/>
      <c r="AY410" s="1"/>
      <c r="AZ410" s="1"/>
      <c r="BA410" s="1"/>
      <c r="BB410" s="1" t="n">
        <v>3</v>
      </c>
      <c r="BC410" s="1" t="n">
        <v>12</v>
      </c>
      <c r="BD410" s="1"/>
      <c r="BE410" s="1" t="s">
        <v>7588</v>
      </c>
      <c r="BF410" s="1" t="str">
        <f aca="false">HYPERLINK("http://dx.doi.org/10.1007/978-3-031-04115-0_1","http://dx.doi.org/10.1007/978-3-031-04115-0_1")</f>
        <v>http://dx.doi.org/10.1007/978-3-031-04115-0_1</v>
      </c>
      <c r="BG410" s="1"/>
      <c r="BH410" s="1"/>
      <c r="BI410" s="1" t="n">
        <v>10</v>
      </c>
      <c r="BJ410" s="1" t="s">
        <v>994</v>
      </c>
      <c r="BK410" s="1" t="s">
        <v>100</v>
      </c>
      <c r="BL410" s="1" t="s">
        <v>101</v>
      </c>
      <c r="BM410" s="1" t="s">
        <v>7589</v>
      </c>
      <c r="BN410" s="1"/>
      <c r="BO410" s="1"/>
      <c r="BP410" s="1"/>
      <c r="BQ410" s="1"/>
      <c r="BR410" s="1" t="s">
        <v>103</v>
      </c>
      <c r="BS410" s="1" t="s">
        <v>7590</v>
      </c>
      <c r="BT410" s="1" t="str">
        <f aca="false">HYPERLINK("https%3A%2F%2Fwww.webofscience.com%2Fwos%2Fwoscc%2Ffull-record%2FWOS:000873371100001","View Full Record in Web of Science")</f>
        <v>View Full Record in Web of Science</v>
      </c>
    </row>
    <row r="411" customFormat="false" ht="12.75" hidden="false" customHeight="false" outlineLevel="0" collapsed="false">
      <c r="A411" s="1" t="s">
        <v>181</v>
      </c>
      <c r="B411" s="1" t="s">
        <v>5421</v>
      </c>
      <c r="C411" s="1"/>
      <c r="D411" s="1"/>
      <c r="E411" s="1"/>
      <c r="F411" s="1" t="s">
        <v>5422</v>
      </c>
      <c r="G411" s="1"/>
      <c r="H411" s="1"/>
      <c r="I411" s="1" t="s">
        <v>7591</v>
      </c>
      <c r="J411" s="1" t="s">
        <v>1378</v>
      </c>
      <c r="K411" s="1"/>
      <c r="L411" s="1"/>
      <c r="M411" s="1" t="s">
        <v>78</v>
      </c>
      <c r="N411" s="1" t="s">
        <v>186</v>
      </c>
      <c r="O411" s="1"/>
      <c r="P411" s="1"/>
      <c r="Q411" s="1"/>
      <c r="R411" s="1"/>
      <c r="S411" s="1"/>
      <c r="T411" s="1" t="s">
        <v>7592</v>
      </c>
      <c r="U411" s="1" t="s">
        <v>7593</v>
      </c>
      <c r="V411" s="1" t="s">
        <v>7594</v>
      </c>
      <c r="W411" s="1" t="s">
        <v>7595</v>
      </c>
      <c r="X411" s="1" t="s">
        <v>5428</v>
      </c>
      <c r="Y411" s="1" t="s">
        <v>5429</v>
      </c>
      <c r="Z411" s="1" t="s">
        <v>1999</v>
      </c>
      <c r="AA411" s="1"/>
      <c r="AB411" s="1" t="s">
        <v>2000</v>
      </c>
      <c r="AC411" s="1"/>
      <c r="AD411" s="1"/>
      <c r="AE411" s="1"/>
      <c r="AF411" s="1"/>
      <c r="AG411" s="1" t="n">
        <v>56</v>
      </c>
      <c r="AH411" s="1" t="n">
        <v>10</v>
      </c>
      <c r="AI411" s="1" t="n">
        <v>10</v>
      </c>
      <c r="AJ411" s="1" t="n">
        <v>0</v>
      </c>
      <c r="AK411" s="1" t="n">
        <v>3</v>
      </c>
      <c r="AL411" s="1" t="s">
        <v>893</v>
      </c>
      <c r="AM411" s="1" t="s">
        <v>894</v>
      </c>
      <c r="AN411" s="1" t="s">
        <v>895</v>
      </c>
      <c r="AO411" s="1" t="s">
        <v>1387</v>
      </c>
      <c r="AP411" s="1" t="s">
        <v>1388</v>
      </c>
      <c r="AQ411" s="1"/>
      <c r="AR411" s="1" t="s">
        <v>1389</v>
      </c>
      <c r="AS411" s="1" t="s">
        <v>1390</v>
      </c>
      <c r="AT411" s="1" t="s">
        <v>2698</v>
      </c>
      <c r="AU411" s="1" t="n">
        <v>2021</v>
      </c>
      <c r="AV411" s="1" t="n">
        <v>134</v>
      </c>
      <c r="AW411" s="1"/>
      <c r="AX411" s="1"/>
      <c r="AY411" s="1"/>
      <c r="AZ411" s="1"/>
      <c r="BA411" s="1"/>
      <c r="BB411" s="1"/>
      <c r="BC411" s="1"/>
      <c r="BD411" s="1" t="n">
        <v>106555</v>
      </c>
      <c r="BE411" s="1" t="s">
        <v>7596</v>
      </c>
      <c r="BF411" s="1" t="str">
        <f aca="false">HYPERLINK("http://dx.doi.org/10.1016/j.infsof.2021.106555","http://dx.doi.org/10.1016/j.infsof.2021.106555")</f>
        <v>http://dx.doi.org/10.1016/j.infsof.2021.106555</v>
      </c>
      <c r="BG411" s="1"/>
      <c r="BH411" s="1" t="s">
        <v>2718</v>
      </c>
      <c r="BI411" s="1" t="n">
        <v>14</v>
      </c>
      <c r="BJ411" s="1" t="s">
        <v>1394</v>
      </c>
      <c r="BK411" s="1" t="s">
        <v>204</v>
      </c>
      <c r="BL411" s="1" t="s">
        <v>101</v>
      </c>
      <c r="BM411" s="1" t="s">
        <v>7597</v>
      </c>
      <c r="BN411" s="1"/>
      <c r="BO411" s="1" t="s">
        <v>612</v>
      </c>
      <c r="BP411" s="1"/>
      <c r="BQ411" s="1"/>
      <c r="BR411" s="1" t="s">
        <v>103</v>
      </c>
      <c r="BS411" s="1" t="s">
        <v>7598</v>
      </c>
      <c r="BT411" s="1" t="str">
        <f aca="false">HYPERLINK("https%3A%2F%2Fwww.webofscience.com%2Fwos%2Fwoscc%2Ffull-record%2FWOS:000634797600005","View Full Record in Web of Science")</f>
        <v>View Full Record in Web of Science</v>
      </c>
    </row>
    <row r="412" customFormat="false" ht="12.75" hidden="false" customHeight="false" outlineLevel="0" collapsed="false">
      <c r="A412" s="1" t="s">
        <v>181</v>
      </c>
      <c r="B412" s="1" t="s">
        <v>7599</v>
      </c>
      <c r="C412" s="1"/>
      <c r="D412" s="1"/>
      <c r="E412" s="1"/>
      <c r="F412" s="1" t="s">
        <v>7600</v>
      </c>
      <c r="G412" s="1"/>
      <c r="H412" s="1"/>
      <c r="I412" s="1" t="s">
        <v>7601</v>
      </c>
      <c r="J412" s="1" t="s">
        <v>7602</v>
      </c>
      <c r="K412" s="1"/>
      <c r="L412" s="1"/>
      <c r="M412" s="1" t="s">
        <v>78</v>
      </c>
      <c r="N412" s="1" t="s">
        <v>186</v>
      </c>
      <c r="O412" s="1"/>
      <c r="P412" s="1"/>
      <c r="Q412" s="1"/>
      <c r="R412" s="1"/>
      <c r="S412" s="1"/>
      <c r="T412" s="1" t="s">
        <v>7603</v>
      </c>
      <c r="U412" s="1" t="s">
        <v>7604</v>
      </c>
      <c r="V412" s="1" t="s">
        <v>7605</v>
      </c>
      <c r="W412" s="1" t="s">
        <v>7606</v>
      </c>
      <c r="X412" s="1" t="s">
        <v>6426</v>
      </c>
      <c r="Y412" s="1" t="s">
        <v>7607</v>
      </c>
      <c r="Z412" s="1" t="s">
        <v>7608</v>
      </c>
      <c r="AA412" s="1" t="s">
        <v>7609</v>
      </c>
      <c r="AB412" s="1" t="s">
        <v>7610</v>
      </c>
      <c r="AC412" s="1" t="s">
        <v>7611</v>
      </c>
      <c r="AD412" s="1" t="s">
        <v>7612</v>
      </c>
      <c r="AE412" s="1" t="s">
        <v>7613</v>
      </c>
      <c r="AF412" s="1"/>
      <c r="AG412" s="1" t="n">
        <v>60</v>
      </c>
      <c r="AH412" s="1" t="n">
        <v>0</v>
      </c>
      <c r="AI412" s="1" t="n">
        <v>0</v>
      </c>
      <c r="AJ412" s="1" t="n">
        <v>5</v>
      </c>
      <c r="AK412" s="1" t="n">
        <v>5</v>
      </c>
      <c r="AL412" s="1" t="s">
        <v>679</v>
      </c>
      <c r="AM412" s="1" t="s">
        <v>680</v>
      </c>
      <c r="AN412" s="1" t="s">
        <v>681</v>
      </c>
      <c r="AO412" s="1" t="s">
        <v>7614</v>
      </c>
      <c r="AP412" s="1" t="s">
        <v>7615</v>
      </c>
      <c r="AQ412" s="1"/>
      <c r="AR412" s="1" t="s">
        <v>7616</v>
      </c>
      <c r="AS412" s="1" t="s">
        <v>7617</v>
      </c>
      <c r="AT412" s="1" t="s">
        <v>277</v>
      </c>
      <c r="AU412" s="1" t="n">
        <v>2025</v>
      </c>
      <c r="AV412" s="1" t="n">
        <v>18</v>
      </c>
      <c r="AW412" s="1" t="n">
        <v>1</v>
      </c>
      <c r="AX412" s="1"/>
      <c r="AY412" s="1"/>
      <c r="AZ412" s="1"/>
      <c r="BA412" s="1"/>
      <c r="BB412" s="1"/>
      <c r="BC412" s="1"/>
      <c r="BD412" s="1" t="n">
        <v>9</v>
      </c>
      <c r="BE412" s="1" t="s">
        <v>7618</v>
      </c>
      <c r="BF412" s="1" t="str">
        <f aca="false">HYPERLINK("http://dx.doi.org/10.1007/s12061-024-09609-3","http://dx.doi.org/10.1007/s12061-024-09609-3")</f>
        <v>http://dx.doi.org/10.1007/s12061-024-09609-3</v>
      </c>
      <c r="BG412" s="1"/>
      <c r="BH412" s="1"/>
      <c r="BI412" s="1" t="n">
        <v>34</v>
      </c>
      <c r="BJ412" s="1" t="s">
        <v>7619</v>
      </c>
      <c r="BK412" s="1" t="s">
        <v>610</v>
      </c>
      <c r="BL412" s="1" t="s">
        <v>7620</v>
      </c>
      <c r="BM412" s="1" t="s">
        <v>7621</v>
      </c>
      <c r="BN412" s="1"/>
      <c r="BO412" s="1" t="s">
        <v>282</v>
      </c>
      <c r="BP412" s="1"/>
      <c r="BQ412" s="1"/>
      <c r="BR412" s="1" t="s">
        <v>103</v>
      </c>
      <c r="BS412" s="1" t="s">
        <v>7622</v>
      </c>
      <c r="BT412" s="1" t="str">
        <f aca="false">HYPERLINK("https%3A%2F%2Fwww.webofscience.com%2Fwos%2Fwoscc%2Ffull-record%2FWOS:001346802500001","View Full Record in Web of Science")</f>
        <v>View Full Record in Web of Science</v>
      </c>
    </row>
    <row r="413" customFormat="false" ht="12.75" hidden="false" customHeight="false" outlineLevel="0" collapsed="false">
      <c r="A413" s="1" t="s">
        <v>181</v>
      </c>
      <c r="B413" s="1" t="s">
        <v>6922</v>
      </c>
      <c r="C413" s="1"/>
      <c r="D413" s="1"/>
      <c r="E413" s="1"/>
      <c r="F413" s="1" t="s">
        <v>5180</v>
      </c>
      <c r="G413" s="1"/>
      <c r="H413" s="1"/>
      <c r="I413" s="1" t="s">
        <v>7623</v>
      </c>
      <c r="J413" s="1" t="s">
        <v>7624</v>
      </c>
      <c r="K413" s="1"/>
      <c r="L413" s="1"/>
      <c r="M413" s="1" t="s">
        <v>78</v>
      </c>
      <c r="N413" s="1" t="s">
        <v>907</v>
      </c>
      <c r="O413" s="1"/>
      <c r="P413" s="1"/>
      <c r="Q413" s="1"/>
      <c r="R413" s="1"/>
      <c r="S413" s="1"/>
      <c r="T413" s="1" t="s">
        <v>7625</v>
      </c>
      <c r="U413" s="1"/>
      <c r="V413" s="1" t="s">
        <v>7626</v>
      </c>
      <c r="W413" s="1" t="s">
        <v>7627</v>
      </c>
      <c r="X413" s="1" t="s">
        <v>5124</v>
      </c>
      <c r="Y413" s="1" t="s">
        <v>7628</v>
      </c>
      <c r="Z413" s="1" t="s">
        <v>7629</v>
      </c>
      <c r="AA413" s="1"/>
      <c r="AB413" s="1" t="s">
        <v>7630</v>
      </c>
      <c r="AC413" s="1"/>
      <c r="AD413" s="1"/>
      <c r="AE413" s="1"/>
      <c r="AF413" s="1"/>
      <c r="AG413" s="1" t="n">
        <v>13</v>
      </c>
      <c r="AH413" s="1" t="n">
        <v>0</v>
      </c>
      <c r="AI413" s="1" t="n">
        <v>0</v>
      </c>
      <c r="AJ413" s="1" t="n">
        <v>0</v>
      </c>
      <c r="AK413" s="1" t="n">
        <v>0</v>
      </c>
      <c r="AL413" s="1" t="s">
        <v>630</v>
      </c>
      <c r="AM413" s="1" t="s">
        <v>631</v>
      </c>
      <c r="AN413" s="1" t="s">
        <v>632</v>
      </c>
      <c r="AO413" s="1" t="s">
        <v>7631</v>
      </c>
      <c r="AP413" s="1" t="s">
        <v>7632</v>
      </c>
      <c r="AQ413" s="1"/>
      <c r="AR413" s="1" t="s">
        <v>7633</v>
      </c>
      <c r="AS413" s="1" t="s">
        <v>7634</v>
      </c>
      <c r="AT413" s="1" t="s">
        <v>7635</v>
      </c>
      <c r="AU413" s="1" t="n">
        <v>2024</v>
      </c>
      <c r="AV413" s="1"/>
      <c r="AW413" s="1"/>
      <c r="AX413" s="1"/>
      <c r="AY413" s="1"/>
      <c r="AZ413" s="1"/>
      <c r="BA413" s="1"/>
      <c r="BB413" s="1"/>
      <c r="BC413" s="1"/>
      <c r="BD413" s="1"/>
      <c r="BE413" s="1" t="s">
        <v>7636</v>
      </c>
      <c r="BF413" s="1" t="str">
        <f aca="false">HYPERLINK("http://dx.doi.org/10.1017/S0013091524000683","http://dx.doi.org/10.1017/S0013091524000683")</f>
        <v>http://dx.doi.org/10.1017/S0013091524000683</v>
      </c>
      <c r="BG413" s="1"/>
      <c r="BH413" s="1" t="s">
        <v>4047</v>
      </c>
      <c r="BI413" s="1" t="n">
        <v>15</v>
      </c>
      <c r="BJ413" s="1" t="s">
        <v>280</v>
      </c>
      <c r="BK413" s="1" t="s">
        <v>204</v>
      </c>
      <c r="BL413" s="1" t="s">
        <v>280</v>
      </c>
      <c r="BM413" s="1" t="s">
        <v>7637</v>
      </c>
      <c r="BN413" s="1"/>
      <c r="BO413" s="1" t="s">
        <v>1373</v>
      </c>
      <c r="BP413" s="1"/>
      <c r="BQ413" s="1"/>
      <c r="BR413" s="1" t="s">
        <v>103</v>
      </c>
      <c r="BS413" s="1" t="s">
        <v>7638</v>
      </c>
      <c r="BT413" s="1" t="str">
        <f aca="false">HYPERLINK("https%3A%2F%2Fwww.webofscience.com%2Fwos%2Fwoscc%2Ffull-record%2FWOS:001354334000001","View Full Record in Web of Science")</f>
        <v>View Full Record in Web of Science</v>
      </c>
    </row>
    <row r="414" customFormat="false" ht="12.75" hidden="false" customHeight="false" outlineLevel="0" collapsed="false">
      <c r="A414" s="1" t="s">
        <v>181</v>
      </c>
      <c r="B414" s="1" t="s">
        <v>7639</v>
      </c>
      <c r="C414" s="1"/>
      <c r="D414" s="1"/>
      <c r="E414" s="1"/>
      <c r="F414" s="1" t="s">
        <v>7640</v>
      </c>
      <c r="G414" s="1"/>
      <c r="H414" s="1"/>
      <c r="I414" s="1" t="s">
        <v>7641</v>
      </c>
      <c r="J414" s="1" t="s">
        <v>1378</v>
      </c>
      <c r="K414" s="1"/>
      <c r="L414" s="1"/>
      <c r="M414" s="1" t="s">
        <v>78</v>
      </c>
      <c r="N414" s="1" t="s">
        <v>186</v>
      </c>
      <c r="O414" s="1"/>
      <c r="P414" s="1"/>
      <c r="Q414" s="1"/>
      <c r="R414" s="1"/>
      <c r="S414" s="1"/>
      <c r="T414" s="1" t="s">
        <v>7642</v>
      </c>
      <c r="U414" s="1" t="s">
        <v>7643</v>
      </c>
      <c r="V414" s="1" t="s">
        <v>7644</v>
      </c>
      <c r="W414" s="1" t="s">
        <v>7645</v>
      </c>
      <c r="X414" s="1" t="s">
        <v>7049</v>
      </c>
      <c r="Y414" s="1" t="s">
        <v>7646</v>
      </c>
      <c r="Z414" s="1" t="s">
        <v>7647</v>
      </c>
      <c r="AA414" s="1" t="s">
        <v>7648</v>
      </c>
      <c r="AB414" s="1" t="s">
        <v>7649</v>
      </c>
      <c r="AC414" s="1" t="s">
        <v>7650</v>
      </c>
      <c r="AD414" s="1" t="s">
        <v>7651</v>
      </c>
      <c r="AE414" s="1" t="s">
        <v>7652</v>
      </c>
      <c r="AF414" s="1"/>
      <c r="AG414" s="1" t="n">
        <v>44</v>
      </c>
      <c r="AH414" s="1" t="n">
        <v>2</v>
      </c>
      <c r="AI414" s="1" t="n">
        <v>2</v>
      </c>
      <c r="AJ414" s="1" t="n">
        <v>0</v>
      </c>
      <c r="AK414" s="1" t="n">
        <v>1</v>
      </c>
      <c r="AL414" s="1" t="s">
        <v>893</v>
      </c>
      <c r="AM414" s="1" t="s">
        <v>894</v>
      </c>
      <c r="AN414" s="1" t="s">
        <v>895</v>
      </c>
      <c r="AO414" s="1" t="s">
        <v>1387</v>
      </c>
      <c r="AP414" s="1" t="s">
        <v>1388</v>
      </c>
      <c r="AQ414" s="1"/>
      <c r="AR414" s="1" t="s">
        <v>1389</v>
      </c>
      <c r="AS414" s="1" t="s">
        <v>1390</v>
      </c>
      <c r="AT414" s="1" t="s">
        <v>277</v>
      </c>
      <c r="AU414" s="1" t="n">
        <v>2024</v>
      </c>
      <c r="AV414" s="1" t="n">
        <v>167</v>
      </c>
      <c r="AW414" s="1"/>
      <c r="AX414" s="1"/>
      <c r="AY414" s="1"/>
      <c r="AZ414" s="1"/>
      <c r="BA414" s="1"/>
      <c r="BB414" s="1"/>
      <c r="BC414" s="1"/>
      <c r="BD414" s="1" t="n">
        <v>107364</v>
      </c>
      <c r="BE414" s="1" t="s">
        <v>7653</v>
      </c>
      <c r="BF414" s="1" t="str">
        <f aca="false">HYPERLINK("http://dx.doi.org/10.1016/j.infsof.2023.107364","http://dx.doi.org/10.1016/j.infsof.2023.107364")</f>
        <v>http://dx.doi.org/10.1016/j.infsof.2023.107364</v>
      </c>
      <c r="BG414" s="1"/>
      <c r="BH414" s="1" t="s">
        <v>923</v>
      </c>
      <c r="BI414" s="1" t="n">
        <v>15</v>
      </c>
      <c r="BJ414" s="1" t="s">
        <v>1394</v>
      </c>
      <c r="BK414" s="1" t="s">
        <v>204</v>
      </c>
      <c r="BL414" s="1" t="s">
        <v>101</v>
      </c>
      <c r="BM414" s="1" t="s">
        <v>7654</v>
      </c>
      <c r="BN414" s="1"/>
      <c r="BO414" s="1" t="s">
        <v>207</v>
      </c>
      <c r="BP414" s="1"/>
      <c r="BQ414" s="1"/>
      <c r="BR414" s="1" t="s">
        <v>103</v>
      </c>
      <c r="BS414" s="1" t="s">
        <v>7655</v>
      </c>
      <c r="BT414" s="1" t="str">
        <f aca="false">HYPERLINK("https%3A%2F%2Fwww.webofscience.com%2Fwos%2Fwoscc%2Ffull-record%2FWOS:001128629400001","View Full Record in Web of Science")</f>
        <v>View Full Record in Web of Science</v>
      </c>
    </row>
    <row r="415" customFormat="false" ht="12.75" hidden="false" customHeight="false" outlineLevel="0" collapsed="false">
      <c r="A415" s="1" t="s">
        <v>181</v>
      </c>
      <c r="B415" s="1" t="s">
        <v>7656</v>
      </c>
      <c r="C415" s="1"/>
      <c r="D415" s="1"/>
      <c r="E415" s="1"/>
      <c r="F415" s="1" t="s">
        <v>7657</v>
      </c>
      <c r="G415" s="1"/>
      <c r="H415" s="1"/>
      <c r="I415" s="1" t="s">
        <v>7658</v>
      </c>
      <c r="J415" s="1" t="s">
        <v>4201</v>
      </c>
      <c r="K415" s="1"/>
      <c r="L415" s="1"/>
      <c r="M415" s="1" t="s">
        <v>78</v>
      </c>
      <c r="N415" s="1" t="s">
        <v>186</v>
      </c>
      <c r="O415" s="1"/>
      <c r="P415" s="1"/>
      <c r="Q415" s="1"/>
      <c r="R415" s="1"/>
      <c r="S415" s="1"/>
      <c r="T415" s="1" t="s">
        <v>7659</v>
      </c>
      <c r="U415" s="1" t="s">
        <v>7660</v>
      </c>
      <c r="V415" s="1" t="s">
        <v>7661</v>
      </c>
      <c r="W415" s="1" t="s">
        <v>7662</v>
      </c>
      <c r="X415" s="1" t="s">
        <v>6728</v>
      </c>
      <c r="Y415" s="1" t="s">
        <v>7663</v>
      </c>
      <c r="Z415" s="1" t="s">
        <v>7664</v>
      </c>
      <c r="AA415" s="1" t="s">
        <v>7665</v>
      </c>
      <c r="AB415" s="1" t="s">
        <v>7666</v>
      </c>
      <c r="AC415" s="1" t="s">
        <v>7667</v>
      </c>
      <c r="AD415" s="1" t="s">
        <v>7668</v>
      </c>
      <c r="AE415" s="1" t="s">
        <v>7669</v>
      </c>
      <c r="AF415" s="1"/>
      <c r="AG415" s="1" t="n">
        <v>46</v>
      </c>
      <c r="AH415" s="1" t="n">
        <v>1</v>
      </c>
      <c r="AI415" s="1" t="n">
        <v>1</v>
      </c>
      <c r="AJ415" s="1" t="n">
        <v>0</v>
      </c>
      <c r="AK415" s="1" t="n">
        <v>2</v>
      </c>
      <c r="AL415" s="1" t="s">
        <v>367</v>
      </c>
      <c r="AM415" s="1" t="s">
        <v>368</v>
      </c>
      <c r="AN415" s="1" t="s">
        <v>369</v>
      </c>
      <c r="AO415" s="1"/>
      <c r="AP415" s="1" t="s">
        <v>4209</v>
      </c>
      <c r="AQ415" s="1"/>
      <c r="AR415" s="1" t="s">
        <v>4201</v>
      </c>
      <c r="AS415" s="1" t="s">
        <v>4210</v>
      </c>
      <c r="AT415" s="1" t="s">
        <v>2698</v>
      </c>
      <c r="AU415" s="1" t="n">
        <v>2023</v>
      </c>
      <c r="AV415" s="1" t="n">
        <v>15</v>
      </c>
      <c r="AW415" s="1" t="n">
        <v>6</v>
      </c>
      <c r="AX415" s="1"/>
      <c r="AY415" s="1"/>
      <c r="AZ415" s="1"/>
      <c r="BA415" s="1"/>
      <c r="BB415" s="1"/>
      <c r="BC415" s="1"/>
      <c r="BD415" s="1" t="n">
        <v>204</v>
      </c>
      <c r="BE415" s="1" t="s">
        <v>7670</v>
      </c>
      <c r="BF415" s="1" t="str">
        <f aca="false">HYPERLINK("http://dx.doi.org/10.3390/fi15060204","http://dx.doi.org/10.3390/fi15060204")</f>
        <v>http://dx.doi.org/10.3390/fi15060204</v>
      </c>
      <c r="BG415" s="1"/>
      <c r="BH415" s="1"/>
      <c r="BI415" s="1" t="n">
        <v>24</v>
      </c>
      <c r="BJ415" s="1" t="s">
        <v>4212</v>
      </c>
      <c r="BK415" s="1" t="s">
        <v>253</v>
      </c>
      <c r="BL415" s="1" t="s">
        <v>101</v>
      </c>
      <c r="BM415" s="1" t="s">
        <v>7671</v>
      </c>
      <c r="BN415" s="1"/>
      <c r="BO415" s="1" t="s">
        <v>542</v>
      </c>
      <c r="BP415" s="1"/>
      <c r="BQ415" s="1"/>
      <c r="BR415" s="1" t="s">
        <v>103</v>
      </c>
      <c r="BS415" s="1" t="s">
        <v>7672</v>
      </c>
      <c r="BT415" s="1" t="str">
        <f aca="false">HYPERLINK("https%3A%2F%2Fwww.webofscience.com%2Fwos%2Fwoscc%2Ffull-record%2FWOS:001017172700001","View Full Record in Web of Science")</f>
        <v>View Full Record in Web of Science</v>
      </c>
    </row>
    <row r="416" customFormat="false" ht="12.75" hidden="false" customHeight="false" outlineLevel="0" collapsed="false">
      <c r="A416" s="1" t="s">
        <v>181</v>
      </c>
      <c r="B416" s="1" t="s">
        <v>7673</v>
      </c>
      <c r="C416" s="1"/>
      <c r="D416" s="1"/>
      <c r="E416" s="1"/>
      <c r="F416" s="1" t="s">
        <v>7674</v>
      </c>
      <c r="G416" s="1"/>
      <c r="H416" s="1"/>
      <c r="I416" s="1" t="s">
        <v>7675</v>
      </c>
      <c r="J416" s="1" t="s">
        <v>7676</v>
      </c>
      <c r="K416" s="1"/>
      <c r="L416" s="1"/>
      <c r="M416" s="1" t="s">
        <v>78</v>
      </c>
      <c r="N416" s="1" t="s">
        <v>52</v>
      </c>
      <c r="O416" s="1"/>
      <c r="P416" s="1"/>
      <c r="Q416" s="1"/>
      <c r="R416" s="1"/>
      <c r="S416" s="1"/>
      <c r="T416" s="1"/>
      <c r="U416" s="1"/>
      <c r="V416" s="1"/>
      <c r="W416" s="1" t="s">
        <v>7677</v>
      </c>
      <c r="X416" s="1" t="s">
        <v>7678</v>
      </c>
      <c r="Y416" s="1"/>
      <c r="Z416" s="1"/>
      <c r="AA416" s="1" t="s">
        <v>7679</v>
      </c>
      <c r="AB416" s="1" t="s">
        <v>7680</v>
      </c>
      <c r="AC416" s="1"/>
      <c r="AD416" s="1"/>
      <c r="AE416" s="1"/>
      <c r="AF416" s="1"/>
      <c r="AG416" s="1" t="n">
        <v>0</v>
      </c>
      <c r="AH416" s="1" t="n">
        <v>0</v>
      </c>
      <c r="AI416" s="1" t="n">
        <v>0</v>
      </c>
      <c r="AJ416" s="1" t="n">
        <v>1</v>
      </c>
      <c r="AK416" s="1" t="n">
        <v>3</v>
      </c>
      <c r="AL416" s="1" t="s">
        <v>1673</v>
      </c>
      <c r="AM416" s="1" t="s">
        <v>1026</v>
      </c>
      <c r="AN416" s="1" t="s">
        <v>1674</v>
      </c>
      <c r="AO416" s="1"/>
      <c r="AP416" s="1" t="s">
        <v>7681</v>
      </c>
      <c r="AQ416" s="1"/>
      <c r="AR416" s="1" t="s">
        <v>7682</v>
      </c>
      <c r="AS416" s="1" t="s">
        <v>7683</v>
      </c>
      <c r="AT416" s="1" t="s">
        <v>1391</v>
      </c>
      <c r="AU416" s="1" t="n">
        <v>2022</v>
      </c>
      <c r="AV416" s="1" t="n">
        <v>6</v>
      </c>
      <c r="AW416" s="1"/>
      <c r="AX416" s="1"/>
      <c r="AY416" s="1" t="n">
        <v>1</v>
      </c>
      <c r="AZ416" s="1"/>
      <c r="BA416" s="1"/>
      <c r="BB416" s="1" t="n">
        <v>243</v>
      </c>
      <c r="BC416" s="1" t="n">
        <v>243</v>
      </c>
      <c r="BD416" s="1"/>
      <c r="BE416" s="1"/>
      <c r="BF416" s="1"/>
      <c r="BG416" s="1"/>
      <c r="BH416" s="1"/>
      <c r="BI416" s="1" t="n">
        <v>1</v>
      </c>
      <c r="BJ416" s="1" t="s">
        <v>7684</v>
      </c>
      <c r="BK416" s="1" t="s">
        <v>398</v>
      </c>
      <c r="BL416" s="1" t="s">
        <v>2038</v>
      </c>
      <c r="BM416" s="1" t="s">
        <v>7685</v>
      </c>
      <c r="BN416" s="1"/>
      <c r="BO416" s="1"/>
      <c r="BP416" s="1"/>
      <c r="BQ416" s="1"/>
      <c r="BR416" s="1" t="s">
        <v>103</v>
      </c>
      <c r="BS416" s="1" t="s">
        <v>7686</v>
      </c>
      <c r="BT416" s="1" t="str">
        <f aca="false">HYPERLINK("https%3A%2F%2Fwww.webofscience.com%2Fwos%2Fwoscc%2Ffull-record%2FWOS:000913044001181","View Full Record in Web of Science")</f>
        <v>View Full Record in Web of Science</v>
      </c>
    </row>
    <row r="417" customFormat="false" ht="12.75" hidden="false" customHeight="false" outlineLevel="0" collapsed="false">
      <c r="A417" s="1" t="s">
        <v>181</v>
      </c>
      <c r="B417" s="1" t="s">
        <v>7687</v>
      </c>
      <c r="C417" s="1"/>
      <c r="D417" s="1"/>
      <c r="E417" s="1"/>
      <c r="F417" s="1" t="s">
        <v>7688</v>
      </c>
      <c r="G417" s="1"/>
      <c r="H417" s="1"/>
      <c r="I417" s="1" t="s">
        <v>7689</v>
      </c>
      <c r="J417" s="1" t="s">
        <v>7690</v>
      </c>
      <c r="K417" s="1"/>
      <c r="L417" s="1"/>
      <c r="M417" s="1" t="s">
        <v>78</v>
      </c>
      <c r="N417" s="1" t="s">
        <v>186</v>
      </c>
      <c r="O417" s="1"/>
      <c r="P417" s="1"/>
      <c r="Q417" s="1"/>
      <c r="R417" s="1"/>
      <c r="S417" s="1"/>
      <c r="T417" s="1" t="s">
        <v>7691</v>
      </c>
      <c r="U417" s="1" t="s">
        <v>7692</v>
      </c>
      <c r="V417" s="1" t="s">
        <v>7693</v>
      </c>
      <c r="W417" s="1" t="s">
        <v>7694</v>
      </c>
      <c r="X417" s="1" t="s">
        <v>5576</v>
      </c>
      <c r="Y417" s="1" t="s">
        <v>7695</v>
      </c>
      <c r="Z417" s="1" t="s">
        <v>7696</v>
      </c>
      <c r="AA417" s="1" t="s">
        <v>7697</v>
      </c>
      <c r="AB417" s="1" t="s">
        <v>7698</v>
      </c>
      <c r="AC417" s="1"/>
      <c r="AD417" s="1"/>
      <c r="AE417" s="1"/>
      <c r="AF417" s="1"/>
      <c r="AG417" s="1" t="n">
        <v>42</v>
      </c>
      <c r="AH417" s="1" t="n">
        <v>0</v>
      </c>
      <c r="AI417" s="1" t="n">
        <v>0</v>
      </c>
      <c r="AJ417" s="1" t="n">
        <v>2</v>
      </c>
      <c r="AK417" s="1" t="n">
        <v>22</v>
      </c>
      <c r="AL417" s="1" t="s">
        <v>7699</v>
      </c>
      <c r="AM417" s="1" t="s">
        <v>4683</v>
      </c>
      <c r="AN417" s="1" t="s">
        <v>7700</v>
      </c>
      <c r="AO417" s="1" t="s">
        <v>7701</v>
      </c>
      <c r="AP417" s="1"/>
      <c r="AQ417" s="1"/>
      <c r="AR417" s="1" t="s">
        <v>7702</v>
      </c>
      <c r="AS417" s="1" t="s">
        <v>7703</v>
      </c>
      <c r="AT417" s="1"/>
      <c r="AU417" s="1" t="n">
        <v>2021</v>
      </c>
      <c r="AV417" s="1" t="n">
        <v>40</v>
      </c>
      <c r="AW417" s="1" t="n">
        <v>2</v>
      </c>
      <c r="AX417" s="1"/>
      <c r="AY417" s="1"/>
      <c r="AZ417" s="1"/>
      <c r="BA417" s="1"/>
      <c r="BB417" s="1" t="n">
        <v>408</v>
      </c>
      <c r="BC417" s="1" t="n">
        <v>427</v>
      </c>
      <c r="BD417" s="1"/>
      <c r="BE417" s="1" t="s">
        <v>7704</v>
      </c>
      <c r="BF417" s="1" t="str">
        <f aca="false">HYPERLINK("http://dx.doi.org/10.31577/cai_2021_2_408","http://dx.doi.org/10.31577/cai_2021_2_408")</f>
        <v>http://dx.doi.org/10.31577/cai_2021_2_408</v>
      </c>
      <c r="BG417" s="1"/>
      <c r="BH417" s="1"/>
      <c r="BI417" s="1" t="n">
        <v>20</v>
      </c>
      <c r="BJ417" s="1" t="s">
        <v>1625</v>
      </c>
      <c r="BK417" s="1" t="s">
        <v>398</v>
      </c>
      <c r="BL417" s="1" t="s">
        <v>101</v>
      </c>
      <c r="BM417" s="1" t="s">
        <v>7705</v>
      </c>
      <c r="BN417" s="1"/>
      <c r="BO417" s="1" t="s">
        <v>7706</v>
      </c>
      <c r="BP417" s="1"/>
      <c r="BQ417" s="1"/>
      <c r="BR417" s="1" t="s">
        <v>103</v>
      </c>
      <c r="BS417" s="1" t="s">
        <v>7707</v>
      </c>
      <c r="BT417" s="1" t="str">
        <f aca="false">HYPERLINK("https%3A%2F%2Fwww.webofscience.com%2Fwos%2Fwoscc%2Ffull-record%2FWOS:000718900400008","View Full Record in Web of Science")</f>
        <v>View Full Record in Web of Science</v>
      </c>
    </row>
    <row r="418" customFormat="false" ht="12.75" hidden="false" customHeight="false" outlineLevel="0" collapsed="false">
      <c r="A418" s="1" t="s">
        <v>181</v>
      </c>
      <c r="B418" s="1" t="s">
        <v>7708</v>
      </c>
      <c r="C418" s="1"/>
      <c r="D418" s="1"/>
      <c r="E418" s="1"/>
      <c r="F418" s="1" t="s">
        <v>7709</v>
      </c>
      <c r="G418" s="1"/>
      <c r="H418" s="1"/>
      <c r="I418" s="1" t="s">
        <v>7710</v>
      </c>
      <c r="J418" s="1" t="s">
        <v>671</v>
      </c>
      <c r="K418" s="1"/>
      <c r="L418" s="1"/>
      <c r="M418" s="1" t="s">
        <v>78</v>
      </c>
      <c r="N418" s="1" t="s">
        <v>186</v>
      </c>
      <c r="O418" s="1"/>
      <c r="P418" s="1"/>
      <c r="Q418" s="1"/>
      <c r="R418" s="1"/>
      <c r="S418" s="1"/>
      <c r="T418" s="1" t="s">
        <v>7711</v>
      </c>
      <c r="U418" s="1"/>
      <c r="V418" s="1" t="s">
        <v>7712</v>
      </c>
      <c r="W418" s="1" t="s">
        <v>7713</v>
      </c>
      <c r="X418" s="1" t="s">
        <v>7714</v>
      </c>
      <c r="Y418" s="1" t="s">
        <v>5275</v>
      </c>
      <c r="Z418" s="1" t="s">
        <v>7715</v>
      </c>
      <c r="AA418" s="1" t="s">
        <v>7716</v>
      </c>
      <c r="AB418" s="1" t="s">
        <v>7717</v>
      </c>
      <c r="AC418" s="1" t="s">
        <v>268</v>
      </c>
      <c r="AD418" s="1" t="s">
        <v>268</v>
      </c>
      <c r="AE418" s="1" t="s">
        <v>269</v>
      </c>
      <c r="AF418" s="1"/>
      <c r="AG418" s="1" t="n">
        <v>34</v>
      </c>
      <c r="AH418" s="1" t="n">
        <v>0</v>
      </c>
      <c r="AI418" s="1" t="n">
        <v>0</v>
      </c>
      <c r="AJ418" s="1" t="n">
        <v>4</v>
      </c>
      <c r="AK418" s="1" t="n">
        <v>4</v>
      </c>
      <c r="AL418" s="1" t="s">
        <v>679</v>
      </c>
      <c r="AM418" s="1" t="s">
        <v>680</v>
      </c>
      <c r="AN418" s="1" t="s">
        <v>681</v>
      </c>
      <c r="AO418" s="1" t="s">
        <v>682</v>
      </c>
      <c r="AP418" s="1" t="s">
        <v>683</v>
      </c>
      <c r="AQ418" s="1"/>
      <c r="AR418" s="1" t="s">
        <v>684</v>
      </c>
      <c r="AS418" s="1" t="s">
        <v>685</v>
      </c>
      <c r="AT418" s="1" t="s">
        <v>537</v>
      </c>
      <c r="AU418" s="1" t="n">
        <v>2025</v>
      </c>
      <c r="AV418" s="1" t="n">
        <v>30</v>
      </c>
      <c r="AW418" s="1" t="n">
        <v>1</v>
      </c>
      <c r="AX418" s="1"/>
      <c r="AY418" s="1"/>
      <c r="AZ418" s="1"/>
      <c r="BA418" s="1"/>
      <c r="BB418" s="1"/>
      <c r="BC418" s="1"/>
      <c r="BD418" s="1" t="n">
        <v>2</v>
      </c>
      <c r="BE418" s="1" t="s">
        <v>7718</v>
      </c>
      <c r="BF418" s="1" t="str">
        <f aca="false">HYPERLINK("http://dx.doi.org/10.1007/s10664-024-10442-y","http://dx.doi.org/10.1007/s10664-024-10442-y")</f>
        <v>http://dx.doi.org/10.1007/s10664-024-10442-y</v>
      </c>
      <c r="BG418" s="1"/>
      <c r="BH418" s="1"/>
      <c r="BI418" s="1" t="n">
        <v>30</v>
      </c>
      <c r="BJ418" s="1" t="s">
        <v>252</v>
      </c>
      <c r="BK418" s="1" t="s">
        <v>204</v>
      </c>
      <c r="BL418" s="1" t="s">
        <v>101</v>
      </c>
      <c r="BM418" s="1" t="s">
        <v>7719</v>
      </c>
      <c r="BN418" s="1"/>
      <c r="BO418" s="1" t="s">
        <v>282</v>
      </c>
      <c r="BP418" s="1"/>
      <c r="BQ418" s="1"/>
      <c r="BR418" s="1" t="s">
        <v>103</v>
      </c>
      <c r="BS418" s="1" t="s">
        <v>7720</v>
      </c>
      <c r="BT418" s="1" t="str">
        <f aca="false">HYPERLINK("https%3A%2F%2Fwww.webofscience.com%2Fwos%2Fwoscc%2Ffull-record%2FWOS:001335071300002","View Full Record in Web of Science")</f>
        <v>View Full Record in Web of Science</v>
      </c>
    </row>
    <row r="419" customFormat="false" ht="12.75" hidden="false" customHeight="false" outlineLevel="0" collapsed="false">
      <c r="A419" s="1" t="s">
        <v>181</v>
      </c>
      <c r="B419" s="1" t="s">
        <v>7721</v>
      </c>
      <c r="C419" s="1"/>
      <c r="D419" s="1"/>
      <c r="E419" s="1"/>
      <c r="F419" s="1" t="s">
        <v>7722</v>
      </c>
      <c r="G419" s="1"/>
      <c r="H419" s="1"/>
      <c r="I419" s="1" t="s">
        <v>7723</v>
      </c>
      <c r="J419" s="1" t="s">
        <v>7724</v>
      </c>
      <c r="K419" s="1"/>
      <c r="L419" s="1"/>
      <c r="M419" s="1" t="s">
        <v>78</v>
      </c>
      <c r="N419" s="1" t="s">
        <v>186</v>
      </c>
      <c r="O419" s="1"/>
      <c r="P419" s="1"/>
      <c r="Q419" s="1"/>
      <c r="R419" s="1"/>
      <c r="S419" s="1"/>
      <c r="T419" s="1" t="s">
        <v>7725</v>
      </c>
      <c r="U419" s="1" t="s">
        <v>7726</v>
      </c>
      <c r="V419" s="1" t="s">
        <v>7727</v>
      </c>
      <c r="W419" s="1" t="s">
        <v>7728</v>
      </c>
      <c r="X419" s="1" t="s">
        <v>6403</v>
      </c>
      <c r="Y419" s="1" t="s">
        <v>7729</v>
      </c>
      <c r="Z419" s="1" t="s">
        <v>7730</v>
      </c>
      <c r="AA419" s="1" t="s">
        <v>7731</v>
      </c>
      <c r="AB419" s="1"/>
      <c r="AC419" s="1" t="s">
        <v>7732</v>
      </c>
      <c r="AD419" s="1" t="s">
        <v>7733</v>
      </c>
      <c r="AE419" s="1" t="s">
        <v>7734</v>
      </c>
      <c r="AF419" s="1"/>
      <c r="AG419" s="1" t="n">
        <v>34</v>
      </c>
      <c r="AH419" s="1" t="n">
        <v>2</v>
      </c>
      <c r="AI419" s="1" t="n">
        <v>2</v>
      </c>
      <c r="AJ419" s="1" t="n">
        <v>3</v>
      </c>
      <c r="AK419" s="1" t="n">
        <v>10</v>
      </c>
      <c r="AL419" s="1" t="s">
        <v>1025</v>
      </c>
      <c r="AM419" s="1" t="s">
        <v>3615</v>
      </c>
      <c r="AN419" s="1" t="s">
        <v>3616</v>
      </c>
      <c r="AO419" s="1" t="s">
        <v>7735</v>
      </c>
      <c r="AP419" s="1" t="s">
        <v>7736</v>
      </c>
      <c r="AQ419" s="1"/>
      <c r="AR419" s="1" t="s">
        <v>7737</v>
      </c>
      <c r="AS419" s="1" t="s">
        <v>7738</v>
      </c>
      <c r="AT419" s="1" t="s">
        <v>7739</v>
      </c>
      <c r="AU419" s="1" t="n">
        <v>2024</v>
      </c>
      <c r="AV419" s="1" t="n">
        <v>201</v>
      </c>
      <c r="AW419" s="1"/>
      <c r="AX419" s="1" t="s">
        <v>899</v>
      </c>
      <c r="AY419" s="1"/>
      <c r="AZ419" s="1"/>
      <c r="BA419" s="1"/>
      <c r="BB419" s="1"/>
      <c r="BC419" s="1"/>
      <c r="BD419" s="1" t="n">
        <v>112041</v>
      </c>
      <c r="BE419" s="1" t="s">
        <v>7740</v>
      </c>
      <c r="BF419" s="1" t="str">
        <f aca="false">HYPERLINK("http://dx.doi.org/10.1016/j.tws.2024.112041","http://dx.doi.org/10.1016/j.tws.2024.112041")</f>
        <v>http://dx.doi.org/10.1016/j.tws.2024.112041</v>
      </c>
      <c r="BG419" s="1"/>
      <c r="BH419" s="1" t="s">
        <v>2002</v>
      </c>
      <c r="BI419" s="1" t="n">
        <v>15</v>
      </c>
      <c r="BJ419" s="1" t="s">
        <v>7741</v>
      </c>
      <c r="BK419" s="1" t="s">
        <v>204</v>
      </c>
      <c r="BL419" s="1" t="s">
        <v>7742</v>
      </c>
      <c r="BM419" s="1" t="s">
        <v>7743</v>
      </c>
      <c r="BN419" s="1"/>
      <c r="BO419" s="1"/>
      <c r="BP419" s="1"/>
      <c r="BQ419" s="1"/>
      <c r="BR419" s="1" t="s">
        <v>103</v>
      </c>
      <c r="BS419" s="1" t="s">
        <v>7744</v>
      </c>
      <c r="BT419" s="1" t="str">
        <f aca="false">HYPERLINK("https%3A%2F%2Fwww.webofscience.com%2Fwos%2Fwoscc%2Ffull-record%2FWOS:001246867200001","View Full Record in Web of Science")</f>
        <v>View Full Record in Web of Science</v>
      </c>
    </row>
    <row r="420" customFormat="false" ht="12.75" hidden="false" customHeight="false" outlineLevel="0" collapsed="false">
      <c r="A420" s="1" t="s">
        <v>181</v>
      </c>
      <c r="B420" s="1" t="s">
        <v>7745</v>
      </c>
      <c r="C420" s="1"/>
      <c r="D420" s="1"/>
      <c r="E420" s="1"/>
      <c r="F420" s="1" t="s">
        <v>7746</v>
      </c>
      <c r="G420" s="1"/>
      <c r="H420" s="1"/>
      <c r="I420" s="1" t="s">
        <v>7747</v>
      </c>
      <c r="J420" s="1" t="s">
        <v>3481</v>
      </c>
      <c r="K420" s="1"/>
      <c r="L420" s="1"/>
      <c r="M420" s="1" t="s">
        <v>78</v>
      </c>
      <c r="N420" s="1" t="s">
        <v>186</v>
      </c>
      <c r="O420" s="1"/>
      <c r="P420" s="1"/>
      <c r="Q420" s="1"/>
      <c r="R420" s="1"/>
      <c r="S420" s="1"/>
      <c r="T420" s="1" t="s">
        <v>7748</v>
      </c>
      <c r="U420" s="1" t="s">
        <v>7749</v>
      </c>
      <c r="V420" s="1" t="s">
        <v>7750</v>
      </c>
      <c r="W420" s="1" t="s">
        <v>7751</v>
      </c>
      <c r="X420" s="1" t="s">
        <v>5099</v>
      </c>
      <c r="Y420" s="1" t="s">
        <v>7752</v>
      </c>
      <c r="Z420" s="1" t="s">
        <v>7753</v>
      </c>
      <c r="AA420" s="1" t="s">
        <v>239</v>
      </c>
      <c r="AB420" s="1" t="s">
        <v>7754</v>
      </c>
      <c r="AC420" s="1" t="s">
        <v>7755</v>
      </c>
      <c r="AD420" s="1" t="s">
        <v>7756</v>
      </c>
      <c r="AE420" s="1" t="s">
        <v>7757</v>
      </c>
      <c r="AF420" s="1"/>
      <c r="AG420" s="1" t="n">
        <v>47</v>
      </c>
      <c r="AH420" s="1" t="n">
        <v>2</v>
      </c>
      <c r="AI420" s="1" t="n">
        <v>2</v>
      </c>
      <c r="AJ420" s="1" t="n">
        <v>0</v>
      </c>
      <c r="AK420" s="1" t="n">
        <v>4</v>
      </c>
      <c r="AL420" s="1" t="s">
        <v>367</v>
      </c>
      <c r="AM420" s="1" t="s">
        <v>368</v>
      </c>
      <c r="AN420" s="1" t="s">
        <v>369</v>
      </c>
      <c r="AO420" s="1"/>
      <c r="AP420" s="1" t="s">
        <v>3492</v>
      </c>
      <c r="AQ420" s="1"/>
      <c r="AR420" s="1" t="s">
        <v>3493</v>
      </c>
      <c r="AS420" s="1" t="s">
        <v>3494</v>
      </c>
      <c r="AT420" s="1" t="s">
        <v>421</v>
      </c>
      <c r="AU420" s="1" t="n">
        <v>2022</v>
      </c>
      <c r="AV420" s="1" t="n">
        <v>22</v>
      </c>
      <c r="AW420" s="1" t="n">
        <v>8</v>
      </c>
      <c r="AX420" s="1"/>
      <c r="AY420" s="1"/>
      <c r="AZ420" s="1"/>
      <c r="BA420" s="1"/>
      <c r="BB420" s="1"/>
      <c r="BC420" s="1"/>
      <c r="BD420" s="1" t="n">
        <v>3017</v>
      </c>
      <c r="BE420" s="1" t="s">
        <v>7758</v>
      </c>
      <c r="BF420" s="1" t="str">
        <f aca="false">HYPERLINK("http://dx.doi.org/10.3390/s22083017","http://dx.doi.org/10.3390/s22083017")</f>
        <v>http://dx.doi.org/10.3390/s22083017</v>
      </c>
      <c r="BG420" s="1"/>
      <c r="BH420" s="1"/>
      <c r="BI420" s="1" t="n">
        <v>25</v>
      </c>
      <c r="BJ420" s="1" t="s">
        <v>3496</v>
      </c>
      <c r="BK420" s="1" t="s">
        <v>204</v>
      </c>
      <c r="BL420" s="1" t="s">
        <v>3497</v>
      </c>
      <c r="BM420" s="1" t="s">
        <v>7759</v>
      </c>
      <c r="BN420" s="1" t="n">
        <v>35458999</v>
      </c>
      <c r="BO420" s="1" t="s">
        <v>542</v>
      </c>
      <c r="BP420" s="1"/>
      <c r="BQ420" s="1"/>
      <c r="BR420" s="1" t="s">
        <v>103</v>
      </c>
      <c r="BS420" s="1" t="s">
        <v>7760</v>
      </c>
      <c r="BT420" s="1" t="str">
        <f aca="false">HYPERLINK("https%3A%2F%2Fwww.webofscience.com%2Fwos%2Fwoscc%2Ffull-record%2FWOS:000785325300001","View Full Record in Web of Science")</f>
        <v>View Full Record in Web of Science</v>
      </c>
    </row>
    <row r="421" customFormat="false" ht="12.75" hidden="false" customHeight="false" outlineLevel="0" collapsed="false">
      <c r="A421" s="1" t="s">
        <v>181</v>
      </c>
      <c r="B421" s="1" t="s">
        <v>7761</v>
      </c>
      <c r="C421" s="1"/>
      <c r="D421" s="1"/>
      <c r="E421" s="1"/>
      <c r="F421" s="1" t="s">
        <v>7762</v>
      </c>
      <c r="G421" s="1"/>
      <c r="H421" s="1"/>
      <c r="I421" s="1" t="s">
        <v>7763</v>
      </c>
      <c r="J421" s="1" t="s">
        <v>7764</v>
      </c>
      <c r="K421" s="1"/>
      <c r="L421" s="1"/>
      <c r="M421" s="1" t="s">
        <v>78</v>
      </c>
      <c r="N421" s="1" t="s">
        <v>186</v>
      </c>
      <c r="O421" s="1"/>
      <c r="P421" s="1"/>
      <c r="Q421" s="1"/>
      <c r="R421" s="1"/>
      <c r="S421" s="1"/>
      <c r="T421" s="1" t="s">
        <v>7765</v>
      </c>
      <c r="U421" s="1" t="s">
        <v>7766</v>
      </c>
      <c r="V421" s="1" t="s">
        <v>7767</v>
      </c>
      <c r="W421" s="1" t="s">
        <v>7768</v>
      </c>
      <c r="X421" s="1" t="s">
        <v>5206</v>
      </c>
      <c r="Y421" s="1" t="s">
        <v>7769</v>
      </c>
      <c r="Z421" s="1" t="s">
        <v>7770</v>
      </c>
      <c r="AA421" s="1" t="s">
        <v>7771</v>
      </c>
      <c r="AB421" s="1" t="s">
        <v>7029</v>
      </c>
      <c r="AC421" s="1" t="s">
        <v>7238</v>
      </c>
      <c r="AD421" s="1" t="s">
        <v>7238</v>
      </c>
      <c r="AE421" s="1" t="s">
        <v>7772</v>
      </c>
      <c r="AF421" s="1"/>
      <c r="AG421" s="1" t="n">
        <v>29</v>
      </c>
      <c r="AH421" s="1" t="n">
        <v>3</v>
      </c>
      <c r="AI421" s="1" t="n">
        <v>3</v>
      </c>
      <c r="AJ421" s="1" t="n">
        <v>0</v>
      </c>
      <c r="AK421" s="1" t="n">
        <v>12</v>
      </c>
      <c r="AL421" s="1" t="s">
        <v>367</v>
      </c>
      <c r="AM421" s="1" t="s">
        <v>368</v>
      </c>
      <c r="AN421" s="1" t="s">
        <v>369</v>
      </c>
      <c r="AO421" s="1"/>
      <c r="AP421" s="1" t="s">
        <v>7773</v>
      </c>
      <c r="AQ421" s="1"/>
      <c r="AR421" s="1" t="s">
        <v>7774</v>
      </c>
      <c r="AS421" s="1" t="s">
        <v>7775</v>
      </c>
      <c r="AT421" s="1" t="s">
        <v>754</v>
      </c>
      <c r="AU421" s="1" t="n">
        <v>2020</v>
      </c>
      <c r="AV421" s="1" t="n">
        <v>10</v>
      </c>
      <c r="AW421" s="1" t="n">
        <v>5</v>
      </c>
      <c r="AX421" s="1"/>
      <c r="AY421" s="1"/>
      <c r="AZ421" s="1"/>
      <c r="BA421" s="1"/>
      <c r="BB421" s="1"/>
      <c r="BC421" s="1"/>
      <c r="BD421" s="1" t="n">
        <v>582</v>
      </c>
      <c r="BE421" s="1" t="s">
        <v>7776</v>
      </c>
      <c r="BF421" s="1" t="str">
        <f aca="false">HYPERLINK("http://dx.doi.org/10.3390/met10050582","http://dx.doi.org/10.3390/met10050582")</f>
        <v>http://dx.doi.org/10.3390/met10050582</v>
      </c>
      <c r="BG421" s="1"/>
      <c r="BH421" s="1"/>
      <c r="BI421" s="1" t="n">
        <v>18</v>
      </c>
      <c r="BJ421" s="1" t="s">
        <v>7777</v>
      </c>
      <c r="BK421" s="1" t="s">
        <v>204</v>
      </c>
      <c r="BL421" s="1" t="s">
        <v>7778</v>
      </c>
      <c r="BM421" s="1" t="s">
        <v>7779</v>
      </c>
      <c r="BN421" s="1"/>
      <c r="BO421" s="1" t="s">
        <v>401</v>
      </c>
      <c r="BP421" s="1"/>
      <c r="BQ421" s="1"/>
      <c r="BR421" s="1" t="s">
        <v>103</v>
      </c>
      <c r="BS421" s="1" t="s">
        <v>7780</v>
      </c>
      <c r="BT421" s="1" t="str">
        <f aca="false">HYPERLINK("https%3A%2F%2Fwww.webofscience.com%2Fwos%2Fwoscc%2Ffull-record%2FWOS:000540220000030","View Full Record in Web of Science")</f>
        <v>View Full Record in Web of Science</v>
      </c>
    </row>
    <row r="422" customFormat="false" ht="12.75" hidden="false" customHeight="false" outlineLevel="0" collapsed="false">
      <c r="A422" s="1" t="s">
        <v>72</v>
      </c>
      <c r="B422" s="1" t="s">
        <v>7781</v>
      </c>
      <c r="C422" s="1"/>
      <c r="D422" s="1"/>
      <c r="E422" s="1" t="s">
        <v>106</v>
      </c>
      <c r="F422" s="1" t="s">
        <v>7782</v>
      </c>
      <c r="G422" s="1"/>
      <c r="H422" s="1"/>
      <c r="I422" s="1" t="s">
        <v>7783</v>
      </c>
      <c r="J422" s="1" t="s">
        <v>7390</v>
      </c>
      <c r="K422" s="1" t="s">
        <v>1173</v>
      </c>
      <c r="L422" s="1"/>
      <c r="M422" s="1" t="s">
        <v>78</v>
      </c>
      <c r="N422" s="1" t="s">
        <v>79</v>
      </c>
      <c r="O422" s="1" t="s">
        <v>7391</v>
      </c>
      <c r="P422" s="1" t="s">
        <v>7392</v>
      </c>
      <c r="Q422" s="1" t="s">
        <v>7393</v>
      </c>
      <c r="R422" s="1" t="s">
        <v>7394</v>
      </c>
      <c r="S422" s="1"/>
      <c r="T422" s="1" t="s">
        <v>7784</v>
      </c>
      <c r="U422" s="1"/>
      <c r="V422" s="1" t="s">
        <v>7785</v>
      </c>
      <c r="W422" s="1" t="s">
        <v>7786</v>
      </c>
      <c r="X422" s="1" t="s">
        <v>7263</v>
      </c>
      <c r="Y422" s="1" t="s">
        <v>7787</v>
      </c>
      <c r="Z422" s="1" t="s">
        <v>7788</v>
      </c>
      <c r="AA422" s="1" t="s">
        <v>7789</v>
      </c>
      <c r="AB422" s="1" t="s">
        <v>7790</v>
      </c>
      <c r="AC422" s="1"/>
      <c r="AD422" s="1"/>
      <c r="AE422" s="1"/>
      <c r="AF422" s="1"/>
      <c r="AG422" s="1" t="n">
        <v>28</v>
      </c>
      <c r="AH422" s="1" t="n">
        <v>3</v>
      </c>
      <c r="AI422" s="1" t="n">
        <v>4</v>
      </c>
      <c r="AJ422" s="1" t="n">
        <v>0</v>
      </c>
      <c r="AK422" s="1" t="n">
        <v>2</v>
      </c>
      <c r="AL422" s="1" t="s">
        <v>106</v>
      </c>
      <c r="AM422" s="1" t="s">
        <v>95</v>
      </c>
      <c r="AN422" s="1" t="s">
        <v>122</v>
      </c>
      <c r="AO422" s="1" t="s">
        <v>1188</v>
      </c>
      <c r="AP422" s="1"/>
      <c r="AQ422" s="1" t="s">
        <v>7400</v>
      </c>
      <c r="AR422" s="1" t="s">
        <v>1190</v>
      </c>
      <c r="AS422" s="1"/>
      <c r="AT422" s="1"/>
      <c r="AU422" s="1" t="n">
        <v>2020</v>
      </c>
      <c r="AV422" s="1"/>
      <c r="AW422" s="1"/>
      <c r="AX422" s="1"/>
      <c r="AY422" s="1"/>
      <c r="AZ422" s="1"/>
      <c r="BA422" s="1"/>
      <c r="BB422" s="1" t="n">
        <v>74</v>
      </c>
      <c r="BC422" s="1" t="n">
        <v>83</v>
      </c>
      <c r="BD422" s="1"/>
      <c r="BE422" s="1" t="s">
        <v>7791</v>
      </c>
      <c r="BF422" s="1" t="str">
        <f aca="false">HYPERLINK("http://dx.doi.org/10.1109/ICSTW50294.2020.00027","http://dx.doi.org/10.1109/ICSTW50294.2020.00027")</f>
        <v>http://dx.doi.org/10.1109/ICSTW50294.2020.00027</v>
      </c>
      <c r="BG422" s="1"/>
      <c r="BH422" s="1"/>
      <c r="BI422" s="1" t="n">
        <v>10</v>
      </c>
      <c r="BJ422" s="1" t="s">
        <v>252</v>
      </c>
      <c r="BK422" s="1" t="s">
        <v>100</v>
      </c>
      <c r="BL422" s="1" t="s">
        <v>101</v>
      </c>
      <c r="BM422" s="1" t="s">
        <v>7402</v>
      </c>
      <c r="BN422" s="1"/>
      <c r="BO422" s="1"/>
      <c r="BP422" s="1"/>
      <c r="BQ422" s="1"/>
      <c r="BR422" s="1" t="s">
        <v>103</v>
      </c>
      <c r="BS422" s="1" t="s">
        <v>7792</v>
      </c>
      <c r="BT422" s="1" t="str">
        <f aca="false">HYPERLINK("https%3A%2F%2Fwww.webofscience.com%2Fwos%2Fwoscc%2Ffull-record%2FWOS:000620795100010","View Full Record in Web of Science")</f>
        <v>View Full Record in Web of Science</v>
      </c>
    </row>
    <row r="423" customFormat="false" ht="12.75" hidden="false" customHeight="false" outlineLevel="0" collapsed="false">
      <c r="A423" s="1" t="s">
        <v>181</v>
      </c>
      <c r="B423" s="1" t="s">
        <v>5971</v>
      </c>
      <c r="C423" s="1"/>
      <c r="D423" s="1"/>
      <c r="E423" s="1"/>
      <c r="F423" s="1" t="s">
        <v>5972</v>
      </c>
      <c r="G423" s="1"/>
      <c r="H423" s="1"/>
      <c r="I423" s="1" t="s">
        <v>7793</v>
      </c>
      <c r="J423" s="1" t="s">
        <v>7044</v>
      </c>
      <c r="K423" s="1"/>
      <c r="L423" s="1"/>
      <c r="M423" s="1" t="s">
        <v>78</v>
      </c>
      <c r="N423" s="1" t="s">
        <v>186</v>
      </c>
      <c r="O423" s="1"/>
      <c r="P423" s="1"/>
      <c r="Q423" s="1"/>
      <c r="R423" s="1"/>
      <c r="S423" s="1"/>
      <c r="T423" s="1"/>
      <c r="U423" s="1"/>
      <c r="V423" s="1" t="s">
        <v>7794</v>
      </c>
      <c r="W423" s="1" t="s">
        <v>7795</v>
      </c>
      <c r="X423" s="1" t="s">
        <v>5978</v>
      </c>
      <c r="Y423" s="1" t="s">
        <v>7796</v>
      </c>
      <c r="Z423" s="1" t="s">
        <v>7340</v>
      </c>
      <c r="AA423" s="1"/>
      <c r="AB423" s="1" t="s">
        <v>7341</v>
      </c>
      <c r="AC423" s="1" t="s">
        <v>268</v>
      </c>
      <c r="AD423" s="1" t="s">
        <v>268</v>
      </c>
      <c r="AE423" s="1" t="s">
        <v>7797</v>
      </c>
      <c r="AF423" s="1"/>
      <c r="AG423" s="1" t="n">
        <v>41</v>
      </c>
      <c r="AH423" s="1" t="n">
        <v>6</v>
      </c>
      <c r="AI423" s="1" t="n">
        <v>6</v>
      </c>
      <c r="AJ423" s="1" t="n">
        <v>0</v>
      </c>
      <c r="AK423" s="1" t="n">
        <v>2</v>
      </c>
      <c r="AL423" s="1" t="s">
        <v>7054</v>
      </c>
      <c r="AM423" s="1" t="s">
        <v>3317</v>
      </c>
      <c r="AN423" s="1" t="s">
        <v>7055</v>
      </c>
      <c r="AO423" s="1" t="s">
        <v>7056</v>
      </c>
      <c r="AP423" s="1"/>
      <c r="AQ423" s="1"/>
      <c r="AR423" s="1" t="s">
        <v>7057</v>
      </c>
      <c r="AS423" s="1" t="s">
        <v>7058</v>
      </c>
      <c r="AT423" s="1" t="s">
        <v>7798</v>
      </c>
      <c r="AU423" s="1" t="n">
        <v>2023</v>
      </c>
      <c r="AV423" s="1" t="n">
        <v>13</v>
      </c>
      <c r="AW423" s="1" t="n">
        <v>1</v>
      </c>
      <c r="AX423" s="1"/>
      <c r="AY423" s="1"/>
      <c r="AZ423" s="1"/>
      <c r="BA423" s="1"/>
      <c r="BB423" s="1"/>
      <c r="BC423" s="1"/>
      <c r="BD423" s="1" t="n">
        <v>20607</v>
      </c>
      <c r="BE423" s="1" t="s">
        <v>7799</v>
      </c>
      <c r="BF423" s="1" t="str">
        <f aca="false">HYPERLINK("http://dx.doi.org/10.1038/s41598-023-46471-8","http://dx.doi.org/10.1038/s41598-023-46471-8")</f>
        <v>http://dx.doi.org/10.1038/s41598-023-46471-8</v>
      </c>
      <c r="BG423" s="1"/>
      <c r="BH423" s="1"/>
      <c r="BI423" s="1" t="n">
        <v>15</v>
      </c>
      <c r="BJ423" s="1" t="s">
        <v>6557</v>
      </c>
      <c r="BK423" s="1" t="s">
        <v>204</v>
      </c>
      <c r="BL423" s="1" t="s">
        <v>6558</v>
      </c>
      <c r="BM423" s="1" t="s">
        <v>7800</v>
      </c>
      <c r="BN423" s="1" t="n">
        <v>37996452</v>
      </c>
      <c r="BO423" s="1" t="s">
        <v>542</v>
      </c>
      <c r="BP423" s="1"/>
      <c r="BQ423" s="1"/>
      <c r="BR423" s="1" t="s">
        <v>103</v>
      </c>
      <c r="BS423" s="1" t="s">
        <v>7801</v>
      </c>
      <c r="BT423" s="1" t="str">
        <f aca="false">HYPERLINK("https%3A%2F%2Fwww.webofscience.com%2Fwos%2Fwoscc%2Ffull-record%2FWOS:001124211800081","View Full Record in Web of Science")</f>
        <v>View Full Record in Web of Science</v>
      </c>
    </row>
    <row r="424" customFormat="false" ht="12.75" hidden="false" customHeight="false" outlineLevel="0" collapsed="false">
      <c r="A424" s="1" t="s">
        <v>181</v>
      </c>
      <c r="B424" s="1" t="s">
        <v>5514</v>
      </c>
      <c r="C424" s="1"/>
      <c r="D424" s="1"/>
      <c r="E424" s="1"/>
      <c r="F424" s="1" t="s">
        <v>5516</v>
      </c>
      <c r="G424" s="1"/>
      <c r="H424" s="1"/>
      <c r="I424" s="1" t="s">
        <v>7802</v>
      </c>
      <c r="J424" s="1" t="s">
        <v>7803</v>
      </c>
      <c r="K424" s="1"/>
      <c r="L424" s="1"/>
      <c r="M424" s="1" t="s">
        <v>78</v>
      </c>
      <c r="N424" s="1" t="s">
        <v>186</v>
      </c>
      <c r="O424" s="1"/>
      <c r="P424" s="1"/>
      <c r="Q424" s="1"/>
      <c r="R424" s="1"/>
      <c r="S424" s="1"/>
      <c r="T424" s="1" t="s">
        <v>7804</v>
      </c>
      <c r="U424" s="1" t="s">
        <v>7805</v>
      </c>
      <c r="V424" s="1" t="s">
        <v>7806</v>
      </c>
      <c r="W424" s="1" t="s">
        <v>5527</v>
      </c>
      <c r="X424" s="1" t="s">
        <v>4809</v>
      </c>
      <c r="Y424" s="1" t="s">
        <v>5528</v>
      </c>
      <c r="Z424" s="1" t="s">
        <v>5529</v>
      </c>
      <c r="AA424" s="1" t="s">
        <v>7807</v>
      </c>
      <c r="AB424" s="1" t="s">
        <v>7808</v>
      </c>
      <c r="AC424" s="1" t="s">
        <v>1112</v>
      </c>
      <c r="AD424" s="1" t="s">
        <v>1112</v>
      </c>
      <c r="AE424" s="1" t="s">
        <v>7809</v>
      </c>
      <c r="AF424" s="1"/>
      <c r="AG424" s="1" t="n">
        <v>67</v>
      </c>
      <c r="AH424" s="1" t="n">
        <v>12</v>
      </c>
      <c r="AI424" s="1" t="n">
        <v>12</v>
      </c>
      <c r="AJ424" s="1" t="n">
        <v>5</v>
      </c>
      <c r="AK424" s="1" t="n">
        <v>13</v>
      </c>
      <c r="AL424" s="1" t="s">
        <v>893</v>
      </c>
      <c r="AM424" s="1" t="s">
        <v>894</v>
      </c>
      <c r="AN424" s="1" t="s">
        <v>895</v>
      </c>
      <c r="AO424" s="1" t="s">
        <v>7810</v>
      </c>
      <c r="AP424" s="1"/>
      <c r="AQ424" s="1"/>
      <c r="AR424" s="1" t="s">
        <v>7811</v>
      </c>
      <c r="AS424" s="1" t="s">
        <v>7812</v>
      </c>
      <c r="AT424" s="1" t="s">
        <v>474</v>
      </c>
      <c r="AU424" s="1" t="n">
        <v>2023</v>
      </c>
      <c r="AV424" s="1" t="n">
        <v>35</v>
      </c>
      <c r="AW424" s="1"/>
      <c r="AX424" s="1"/>
      <c r="AY424" s="1"/>
      <c r="AZ424" s="1"/>
      <c r="BA424" s="1"/>
      <c r="BB424" s="1"/>
      <c r="BC424" s="1"/>
      <c r="BD424" s="1" t="n">
        <v>101146</v>
      </c>
      <c r="BE424" s="1" t="s">
        <v>7813</v>
      </c>
      <c r="BF424" s="1" t="str">
        <f aca="false">HYPERLINK("http://dx.doi.org/10.1016/j.segan.2023.101146","http://dx.doi.org/10.1016/j.segan.2023.101146")</f>
        <v>http://dx.doi.org/10.1016/j.segan.2023.101146</v>
      </c>
      <c r="BG424" s="1"/>
      <c r="BH424" s="1" t="s">
        <v>3898</v>
      </c>
      <c r="BI424" s="1" t="n">
        <v>27</v>
      </c>
      <c r="BJ424" s="1" t="s">
        <v>7814</v>
      </c>
      <c r="BK424" s="1" t="s">
        <v>204</v>
      </c>
      <c r="BL424" s="1" t="s">
        <v>7815</v>
      </c>
      <c r="BM424" s="1" t="s">
        <v>7816</v>
      </c>
      <c r="BN424" s="1"/>
      <c r="BO424" s="1" t="s">
        <v>207</v>
      </c>
      <c r="BP424" s="1"/>
      <c r="BQ424" s="1"/>
      <c r="BR424" s="1" t="s">
        <v>103</v>
      </c>
      <c r="BS424" s="1" t="s">
        <v>7817</v>
      </c>
      <c r="BT424" s="1" t="str">
        <f aca="false">HYPERLINK("https%3A%2F%2Fwww.webofscience.com%2Fwos%2Fwoscc%2Ffull-record%2FWOS:001068745600001","View Full Record in Web of Science")</f>
        <v>View Full Record in Web of Science</v>
      </c>
    </row>
    <row r="425" customFormat="false" ht="12.75" hidden="false" customHeight="false" outlineLevel="0" collapsed="false">
      <c r="A425" s="1" t="s">
        <v>181</v>
      </c>
      <c r="B425" s="1" t="s">
        <v>6339</v>
      </c>
      <c r="C425" s="1"/>
      <c r="D425" s="1"/>
      <c r="E425" s="1"/>
      <c r="F425" s="1" t="s">
        <v>7818</v>
      </c>
      <c r="G425" s="1"/>
      <c r="H425" s="1"/>
      <c r="I425" s="1" t="s">
        <v>7819</v>
      </c>
      <c r="J425" s="1" t="s">
        <v>1378</v>
      </c>
      <c r="K425" s="1"/>
      <c r="L425" s="1"/>
      <c r="M425" s="1" t="s">
        <v>78</v>
      </c>
      <c r="N425" s="1" t="s">
        <v>186</v>
      </c>
      <c r="O425" s="1"/>
      <c r="P425" s="1"/>
      <c r="Q425" s="1"/>
      <c r="R425" s="1"/>
      <c r="S425" s="1"/>
      <c r="T425" s="1" t="s">
        <v>7820</v>
      </c>
      <c r="U425" s="1" t="s">
        <v>7821</v>
      </c>
      <c r="V425" s="1" t="s">
        <v>7822</v>
      </c>
      <c r="W425" s="1" t="s">
        <v>7823</v>
      </c>
      <c r="X425" s="1" t="s">
        <v>5206</v>
      </c>
      <c r="Y425" s="1" t="s">
        <v>7824</v>
      </c>
      <c r="Z425" s="1" t="s">
        <v>6346</v>
      </c>
      <c r="AA425" s="1" t="s">
        <v>7825</v>
      </c>
      <c r="AB425" s="1" t="s">
        <v>7826</v>
      </c>
      <c r="AC425" s="1" t="s">
        <v>7827</v>
      </c>
      <c r="AD425" s="1" t="s">
        <v>7828</v>
      </c>
      <c r="AE425" s="1" t="s">
        <v>7829</v>
      </c>
      <c r="AF425" s="1"/>
      <c r="AG425" s="1" t="n">
        <v>57</v>
      </c>
      <c r="AH425" s="1" t="n">
        <v>0</v>
      </c>
      <c r="AI425" s="1" t="n">
        <v>0</v>
      </c>
      <c r="AJ425" s="1" t="n">
        <v>0</v>
      </c>
      <c r="AK425" s="1" t="n">
        <v>2</v>
      </c>
      <c r="AL425" s="1" t="s">
        <v>893</v>
      </c>
      <c r="AM425" s="1" t="s">
        <v>894</v>
      </c>
      <c r="AN425" s="1" t="s">
        <v>895</v>
      </c>
      <c r="AO425" s="1" t="s">
        <v>1387</v>
      </c>
      <c r="AP425" s="1" t="s">
        <v>1388</v>
      </c>
      <c r="AQ425" s="1"/>
      <c r="AR425" s="1" t="s">
        <v>1389</v>
      </c>
      <c r="AS425" s="1" t="s">
        <v>1390</v>
      </c>
      <c r="AT425" s="1" t="s">
        <v>372</v>
      </c>
      <c r="AU425" s="1" t="n">
        <v>2023</v>
      </c>
      <c r="AV425" s="1" t="n">
        <v>164</v>
      </c>
      <c r="AW425" s="1"/>
      <c r="AX425" s="1"/>
      <c r="AY425" s="1"/>
      <c r="AZ425" s="1"/>
      <c r="BA425" s="1"/>
      <c r="BB425" s="1"/>
      <c r="BC425" s="1"/>
      <c r="BD425" s="1" t="n">
        <v>107305</v>
      </c>
      <c r="BE425" s="1" t="s">
        <v>7830</v>
      </c>
      <c r="BF425" s="1" t="str">
        <f aca="false">HYPERLINK("http://dx.doi.org/10.1016/j.infsof.2023.107305","http://dx.doi.org/10.1016/j.infsof.2023.107305")</f>
        <v>http://dx.doi.org/10.1016/j.infsof.2023.107305</v>
      </c>
      <c r="BG425" s="1"/>
      <c r="BH425" s="1" t="s">
        <v>3898</v>
      </c>
      <c r="BI425" s="1" t="n">
        <v>12</v>
      </c>
      <c r="BJ425" s="1" t="s">
        <v>1394</v>
      </c>
      <c r="BK425" s="1" t="s">
        <v>204</v>
      </c>
      <c r="BL425" s="1" t="s">
        <v>101</v>
      </c>
      <c r="BM425" s="1" t="s">
        <v>7831</v>
      </c>
      <c r="BN425" s="1"/>
      <c r="BO425" s="1" t="s">
        <v>612</v>
      </c>
      <c r="BP425" s="1"/>
      <c r="BQ425" s="1"/>
      <c r="BR425" s="1" t="s">
        <v>103</v>
      </c>
      <c r="BS425" s="1" t="s">
        <v>7832</v>
      </c>
      <c r="BT425" s="1" t="str">
        <f aca="false">HYPERLINK("https%3A%2F%2Fwww.webofscience.com%2Fwos%2Fwoscc%2Ffull-record%2FWOS:001053508400001","View Full Record in Web of Science")</f>
        <v>View Full Record in Web of Science</v>
      </c>
    </row>
    <row r="426" customFormat="false" ht="12.75" hidden="false" customHeight="false" outlineLevel="0" collapsed="false">
      <c r="A426" s="1" t="s">
        <v>72</v>
      </c>
      <c r="B426" s="1" t="s">
        <v>5450</v>
      </c>
      <c r="C426" s="1"/>
      <c r="D426" s="1"/>
      <c r="E426" s="1" t="s">
        <v>106</v>
      </c>
      <c r="F426" s="1" t="s">
        <v>7833</v>
      </c>
      <c r="G426" s="1"/>
      <c r="H426" s="1"/>
      <c r="I426" s="1" t="s">
        <v>7834</v>
      </c>
      <c r="J426" s="1" t="s">
        <v>7835</v>
      </c>
      <c r="K426" s="1" t="s">
        <v>7836</v>
      </c>
      <c r="L426" s="1"/>
      <c r="M426" s="1" t="s">
        <v>78</v>
      </c>
      <c r="N426" s="1" t="s">
        <v>79</v>
      </c>
      <c r="O426" s="1" t="s">
        <v>7837</v>
      </c>
      <c r="P426" s="1" t="s">
        <v>7838</v>
      </c>
      <c r="Q426" s="1" t="s">
        <v>7839</v>
      </c>
      <c r="R426" s="1" t="s">
        <v>2047</v>
      </c>
      <c r="S426" s="1"/>
      <c r="T426" s="1" t="s">
        <v>7840</v>
      </c>
      <c r="U426" s="1" t="s">
        <v>7841</v>
      </c>
      <c r="V426" s="1" t="s">
        <v>7842</v>
      </c>
      <c r="W426" s="1" t="s">
        <v>7843</v>
      </c>
      <c r="X426" s="1" t="s">
        <v>5428</v>
      </c>
      <c r="Y426" s="1" t="s">
        <v>7359</v>
      </c>
      <c r="Z426" s="1" t="s">
        <v>5462</v>
      </c>
      <c r="AA426" s="1" t="s">
        <v>7844</v>
      </c>
      <c r="AB426" s="1"/>
      <c r="AC426" s="1"/>
      <c r="AD426" s="1"/>
      <c r="AE426" s="1"/>
      <c r="AF426" s="1"/>
      <c r="AG426" s="1" t="n">
        <v>13</v>
      </c>
      <c r="AH426" s="1" t="n">
        <v>0</v>
      </c>
      <c r="AI426" s="1" t="n">
        <v>0</v>
      </c>
      <c r="AJ426" s="1" t="n">
        <v>0</v>
      </c>
      <c r="AK426" s="1" t="n">
        <v>0</v>
      </c>
      <c r="AL426" s="1" t="s">
        <v>106</v>
      </c>
      <c r="AM426" s="1" t="s">
        <v>95</v>
      </c>
      <c r="AN426" s="1" t="s">
        <v>122</v>
      </c>
      <c r="AO426" s="1" t="s">
        <v>7845</v>
      </c>
      <c r="AP426" s="1"/>
      <c r="AQ426" s="1" t="s">
        <v>7846</v>
      </c>
      <c r="AR426" s="1" t="s">
        <v>7847</v>
      </c>
      <c r="AS426" s="1"/>
      <c r="AT426" s="1"/>
      <c r="AU426" s="1" t="n">
        <v>2023</v>
      </c>
      <c r="AV426" s="1"/>
      <c r="AW426" s="1"/>
      <c r="AX426" s="1"/>
      <c r="AY426" s="1"/>
      <c r="AZ426" s="1"/>
      <c r="BA426" s="1"/>
      <c r="BB426" s="1" t="n">
        <v>1794</v>
      </c>
      <c r="BC426" s="1" t="n">
        <v>1799</v>
      </c>
      <c r="BD426" s="1"/>
      <c r="BE426" s="1" t="s">
        <v>7848</v>
      </c>
      <c r="BF426" s="1" t="str">
        <f aca="false">HYPERLINK("http://dx.doi.org/10.1109/ICCWORKSHOPS57953.2023.10283610","http://dx.doi.org/10.1109/ICCWORKSHOPS57953.2023.10283610")</f>
        <v>http://dx.doi.org/10.1109/ICCWORKSHOPS57953.2023.10283610</v>
      </c>
      <c r="BG426" s="1"/>
      <c r="BH426" s="1"/>
      <c r="BI426" s="1" t="n">
        <v>6</v>
      </c>
      <c r="BJ426" s="1" t="s">
        <v>1117</v>
      </c>
      <c r="BK426" s="1" t="s">
        <v>100</v>
      </c>
      <c r="BL426" s="1" t="s">
        <v>1118</v>
      </c>
      <c r="BM426" s="1" t="s">
        <v>7849</v>
      </c>
      <c r="BN426" s="1"/>
      <c r="BO426" s="1"/>
      <c r="BP426" s="1"/>
      <c r="BQ426" s="1"/>
      <c r="BR426" s="1" t="s">
        <v>103</v>
      </c>
      <c r="BS426" s="1" t="s">
        <v>7850</v>
      </c>
      <c r="BT426" s="1" t="str">
        <f aca="false">HYPERLINK("https%3A%2F%2Fwww.webofscience.com%2Fwos%2Fwoscc%2Ffull-record%2FWOS:001094861300296","View Full Record in Web of Science")</f>
        <v>View Full Record in Web of Science</v>
      </c>
    </row>
    <row r="427" customFormat="false" ht="12.75" hidden="false" customHeight="false" outlineLevel="0" collapsed="false">
      <c r="A427" s="1" t="s">
        <v>181</v>
      </c>
      <c r="B427" s="1" t="s">
        <v>5063</v>
      </c>
      <c r="C427" s="1"/>
      <c r="D427" s="1"/>
      <c r="E427" s="1"/>
      <c r="F427" s="1" t="s">
        <v>5064</v>
      </c>
      <c r="G427" s="1"/>
      <c r="H427" s="1"/>
      <c r="I427" s="1" t="s">
        <v>7851</v>
      </c>
      <c r="J427" s="1" t="s">
        <v>1921</v>
      </c>
      <c r="K427" s="1"/>
      <c r="L427" s="1"/>
      <c r="M427" s="1" t="s">
        <v>78</v>
      </c>
      <c r="N427" s="1" t="s">
        <v>186</v>
      </c>
      <c r="O427" s="1"/>
      <c r="P427" s="1"/>
      <c r="Q427" s="1"/>
      <c r="R427" s="1"/>
      <c r="S427" s="1"/>
      <c r="T427" s="1" t="s">
        <v>7852</v>
      </c>
      <c r="U427" s="1" t="s">
        <v>7853</v>
      </c>
      <c r="V427" s="1" t="s">
        <v>7854</v>
      </c>
      <c r="W427" s="1" t="s">
        <v>7855</v>
      </c>
      <c r="X427" s="1" t="s">
        <v>5068</v>
      </c>
      <c r="Y427" s="1" t="s">
        <v>5069</v>
      </c>
      <c r="Z427" s="1" t="s">
        <v>5070</v>
      </c>
      <c r="AA427" s="1" t="s">
        <v>2491</v>
      </c>
      <c r="AB427" s="1" t="s">
        <v>7856</v>
      </c>
      <c r="AC427" s="1" t="s">
        <v>7857</v>
      </c>
      <c r="AD427" s="1" t="s">
        <v>7858</v>
      </c>
      <c r="AE427" s="1" t="s">
        <v>7859</v>
      </c>
      <c r="AF427" s="1"/>
      <c r="AG427" s="1" t="n">
        <v>64</v>
      </c>
      <c r="AH427" s="1" t="n">
        <v>26</v>
      </c>
      <c r="AI427" s="1" t="n">
        <v>26</v>
      </c>
      <c r="AJ427" s="1" t="n">
        <v>6</v>
      </c>
      <c r="AK427" s="1" t="n">
        <v>18</v>
      </c>
      <c r="AL427" s="1" t="s">
        <v>679</v>
      </c>
      <c r="AM427" s="1" t="s">
        <v>95</v>
      </c>
      <c r="AN427" s="1" t="s">
        <v>803</v>
      </c>
      <c r="AO427" s="1" t="s">
        <v>1929</v>
      </c>
      <c r="AP427" s="1" t="s">
        <v>1930</v>
      </c>
      <c r="AQ427" s="1"/>
      <c r="AR427" s="1" t="s">
        <v>1931</v>
      </c>
      <c r="AS427" s="1" t="s">
        <v>1932</v>
      </c>
      <c r="AT427" s="1" t="s">
        <v>2698</v>
      </c>
      <c r="AU427" s="1" t="n">
        <v>2022</v>
      </c>
      <c r="AV427" s="1" t="n">
        <v>27</v>
      </c>
      <c r="AW427" s="1" t="n">
        <v>2</v>
      </c>
      <c r="AX427" s="1"/>
      <c r="AY427" s="1"/>
      <c r="AZ427" s="1"/>
      <c r="BA427" s="1"/>
      <c r="BB427" s="1" t="n">
        <v>183</v>
      </c>
      <c r="BC427" s="1" t="n">
        <v>209</v>
      </c>
      <c r="BD427" s="1"/>
      <c r="BE427" s="1" t="s">
        <v>7860</v>
      </c>
      <c r="BF427" s="1" t="str">
        <f aca="false">HYPERLINK("http://dx.doi.org/10.1007/s00766-021-00367-z","http://dx.doi.org/10.1007/s00766-021-00367-z")</f>
        <v>http://dx.doi.org/10.1007/s00766-021-00367-z</v>
      </c>
      <c r="BG427" s="1"/>
      <c r="BH427" s="1" t="s">
        <v>1505</v>
      </c>
      <c r="BI427" s="1" t="n">
        <v>27</v>
      </c>
      <c r="BJ427" s="1" t="s">
        <v>1394</v>
      </c>
      <c r="BK427" s="1" t="s">
        <v>204</v>
      </c>
      <c r="BL427" s="1" t="s">
        <v>101</v>
      </c>
      <c r="BM427" s="1" t="s">
        <v>7861</v>
      </c>
      <c r="BN427" s="1" t="n">
        <v>35599665</v>
      </c>
      <c r="BO427" s="1" t="s">
        <v>612</v>
      </c>
      <c r="BP427" s="1"/>
      <c r="BQ427" s="1"/>
      <c r="BR427" s="1" t="s">
        <v>103</v>
      </c>
      <c r="BS427" s="1" t="s">
        <v>7862</v>
      </c>
      <c r="BT427" s="1" t="str">
        <f aca="false">HYPERLINK("https%3A%2F%2Fwww.webofscience.com%2Fwos%2Fwoscc%2Ffull-record%2FWOS:000755402900001","View Full Record in Web of Science")</f>
        <v>View Full Record in Web of Science</v>
      </c>
    </row>
    <row r="428" customFormat="false" ht="12.75" hidden="false" customHeight="false" outlineLevel="0" collapsed="false">
      <c r="A428" s="1" t="s">
        <v>181</v>
      </c>
      <c r="B428" s="1" t="s">
        <v>7863</v>
      </c>
      <c r="C428" s="1"/>
      <c r="D428" s="1"/>
      <c r="E428" s="1"/>
      <c r="F428" s="1" t="s">
        <v>7864</v>
      </c>
      <c r="G428" s="1"/>
      <c r="H428" s="1"/>
      <c r="I428" s="1" t="s">
        <v>7865</v>
      </c>
      <c r="J428" s="1" t="s">
        <v>3461</v>
      </c>
      <c r="K428" s="1"/>
      <c r="L428" s="1"/>
      <c r="M428" s="1" t="s">
        <v>78</v>
      </c>
      <c r="N428" s="1" t="s">
        <v>186</v>
      </c>
      <c r="O428" s="1"/>
      <c r="P428" s="1"/>
      <c r="Q428" s="1"/>
      <c r="R428" s="1"/>
      <c r="S428" s="1"/>
      <c r="T428" s="1" t="s">
        <v>7866</v>
      </c>
      <c r="U428" s="1" t="s">
        <v>7867</v>
      </c>
      <c r="V428" s="1" t="s">
        <v>7868</v>
      </c>
      <c r="W428" s="1" t="s">
        <v>7869</v>
      </c>
      <c r="X428" s="1" t="s">
        <v>7870</v>
      </c>
      <c r="Y428" s="1" t="s">
        <v>7871</v>
      </c>
      <c r="Z428" s="1" t="s">
        <v>7872</v>
      </c>
      <c r="AA428" s="1" t="s">
        <v>7873</v>
      </c>
      <c r="AB428" s="1" t="s">
        <v>7874</v>
      </c>
      <c r="AC428" s="1" t="s">
        <v>7875</v>
      </c>
      <c r="AD428" s="1" t="s">
        <v>7875</v>
      </c>
      <c r="AE428" s="1" t="s">
        <v>7876</v>
      </c>
      <c r="AF428" s="1"/>
      <c r="AG428" s="1" t="n">
        <v>40</v>
      </c>
      <c r="AH428" s="1" t="n">
        <v>9</v>
      </c>
      <c r="AI428" s="1" t="n">
        <v>9</v>
      </c>
      <c r="AJ428" s="1" t="n">
        <v>7</v>
      </c>
      <c r="AK428" s="1" t="n">
        <v>28</v>
      </c>
      <c r="AL428" s="1" t="s">
        <v>367</v>
      </c>
      <c r="AM428" s="1" t="s">
        <v>368</v>
      </c>
      <c r="AN428" s="1" t="s">
        <v>369</v>
      </c>
      <c r="AO428" s="1"/>
      <c r="AP428" s="1" t="s">
        <v>3472</v>
      </c>
      <c r="AQ428" s="1"/>
      <c r="AR428" s="1" t="s">
        <v>3473</v>
      </c>
      <c r="AS428" s="1" t="s">
        <v>3474</v>
      </c>
      <c r="AT428" s="1" t="s">
        <v>372</v>
      </c>
      <c r="AU428" s="1" t="n">
        <v>2020</v>
      </c>
      <c r="AV428" s="1" t="n">
        <v>8</v>
      </c>
      <c r="AW428" s="1" t="n">
        <v>4</v>
      </c>
      <c r="AX428" s="1"/>
      <c r="AY428" s="1"/>
      <c r="AZ428" s="1"/>
      <c r="BA428" s="1"/>
      <c r="BB428" s="1"/>
      <c r="BC428" s="1"/>
      <c r="BD428" s="1" t="n">
        <v>45</v>
      </c>
      <c r="BE428" s="1" t="s">
        <v>7877</v>
      </c>
      <c r="BF428" s="1" t="str">
        <f aca="false">HYPERLINK("http://dx.doi.org/10.3390/systems8040045","http://dx.doi.org/10.3390/systems8040045")</f>
        <v>http://dx.doi.org/10.3390/systems8040045</v>
      </c>
      <c r="BG428" s="1"/>
      <c r="BH428" s="1"/>
      <c r="BI428" s="1" t="n">
        <v>14</v>
      </c>
      <c r="BJ428" s="1" t="s">
        <v>2364</v>
      </c>
      <c r="BK428" s="1" t="s">
        <v>610</v>
      </c>
      <c r="BL428" s="1" t="s">
        <v>2365</v>
      </c>
      <c r="BM428" s="1" t="s">
        <v>7878</v>
      </c>
      <c r="BN428" s="1"/>
      <c r="BO428" s="1" t="s">
        <v>542</v>
      </c>
      <c r="BP428" s="1"/>
      <c r="BQ428" s="1"/>
      <c r="BR428" s="1" t="s">
        <v>103</v>
      </c>
      <c r="BS428" s="1" t="s">
        <v>7879</v>
      </c>
      <c r="BT428" s="1" t="str">
        <f aca="false">HYPERLINK("https%3A%2F%2Fwww.webofscience.com%2Fwos%2Fwoscc%2Ffull-record%2FWOS:000602274500001","View Full Record in Web of Science")</f>
        <v>View Full Record in Web of Science</v>
      </c>
    </row>
    <row r="429" customFormat="false" ht="12.75" hidden="false" customHeight="false" outlineLevel="0" collapsed="false">
      <c r="A429" s="1" t="s">
        <v>181</v>
      </c>
      <c r="B429" s="1" t="s">
        <v>7880</v>
      </c>
      <c r="C429" s="1"/>
      <c r="D429" s="1"/>
      <c r="E429" s="1"/>
      <c r="F429" s="1" t="s">
        <v>7881</v>
      </c>
      <c r="G429" s="1"/>
      <c r="H429" s="1"/>
      <c r="I429" s="1" t="s">
        <v>7882</v>
      </c>
      <c r="J429" s="1" t="s">
        <v>406</v>
      </c>
      <c r="K429" s="1"/>
      <c r="L429" s="1"/>
      <c r="M429" s="1" t="s">
        <v>78</v>
      </c>
      <c r="N429" s="1" t="s">
        <v>618</v>
      </c>
      <c r="O429" s="1"/>
      <c r="P429" s="1"/>
      <c r="Q429" s="1"/>
      <c r="R429" s="1"/>
      <c r="S429" s="1"/>
      <c r="T429" s="1" t="s">
        <v>7883</v>
      </c>
      <c r="U429" s="1" t="s">
        <v>7884</v>
      </c>
      <c r="V429" s="1" t="s">
        <v>7885</v>
      </c>
      <c r="W429" s="1" t="s">
        <v>7886</v>
      </c>
      <c r="X429" s="1" t="s">
        <v>7887</v>
      </c>
      <c r="Y429" s="1" t="s">
        <v>7888</v>
      </c>
      <c r="Z429" s="1" t="s">
        <v>7889</v>
      </c>
      <c r="AA429" s="1" t="s">
        <v>7890</v>
      </c>
      <c r="AB429" s="1" t="s">
        <v>7891</v>
      </c>
      <c r="AC429" s="1" t="s">
        <v>7892</v>
      </c>
      <c r="AD429" s="1" t="s">
        <v>7893</v>
      </c>
      <c r="AE429" s="1" t="s">
        <v>7894</v>
      </c>
      <c r="AF429" s="1"/>
      <c r="AG429" s="1" t="n">
        <v>27</v>
      </c>
      <c r="AH429" s="1" t="n">
        <v>20</v>
      </c>
      <c r="AI429" s="1" t="n">
        <v>21</v>
      </c>
      <c r="AJ429" s="1" t="n">
        <v>4</v>
      </c>
      <c r="AK429" s="1" t="n">
        <v>18</v>
      </c>
      <c r="AL429" s="1" t="s">
        <v>367</v>
      </c>
      <c r="AM429" s="1" t="s">
        <v>368</v>
      </c>
      <c r="AN429" s="1" t="s">
        <v>369</v>
      </c>
      <c r="AO429" s="1"/>
      <c r="AP429" s="1" t="s">
        <v>418</v>
      </c>
      <c r="AQ429" s="1"/>
      <c r="AR429" s="1" t="s">
        <v>419</v>
      </c>
      <c r="AS429" s="1" t="s">
        <v>420</v>
      </c>
      <c r="AT429" s="1" t="s">
        <v>711</v>
      </c>
      <c r="AU429" s="1" t="n">
        <v>2020</v>
      </c>
      <c r="AV429" s="1" t="n">
        <v>17</v>
      </c>
      <c r="AW429" s="1" t="n">
        <v>15</v>
      </c>
      <c r="AX429" s="1"/>
      <c r="AY429" s="1"/>
      <c r="AZ429" s="1"/>
      <c r="BA429" s="1"/>
      <c r="BB429" s="1"/>
      <c r="BC429" s="1"/>
      <c r="BD429" s="1" t="n">
        <v>5290</v>
      </c>
      <c r="BE429" s="1" t="s">
        <v>7895</v>
      </c>
      <c r="BF429" s="1" t="str">
        <f aca="false">HYPERLINK("http://dx.doi.org/10.3390/ijerph17155290","http://dx.doi.org/10.3390/ijerph17155290")</f>
        <v>http://dx.doi.org/10.3390/ijerph17155290</v>
      </c>
      <c r="BG429" s="1"/>
      <c r="BH429" s="1"/>
      <c r="BI429" s="1" t="n">
        <v>12</v>
      </c>
      <c r="BJ429" s="1" t="s">
        <v>423</v>
      </c>
      <c r="BK429" s="1" t="s">
        <v>398</v>
      </c>
      <c r="BL429" s="1" t="s">
        <v>424</v>
      </c>
      <c r="BM429" s="1" t="s">
        <v>7896</v>
      </c>
      <c r="BN429" s="1" t="n">
        <v>32708016</v>
      </c>
      <c r="BO429" s="1" t="s">
        <v>401</v>
      </c>
      <c r="BP429" s="1"/>
      <c r="BQ429" s="1"/>
      <c r="BR429" s="1" t="s">
        <v>103</v>
      </c>
      <c r="BS429" s="1" t="s">
        <v>7897</v>
      </c>
      <c r="BT429" s="1" t="str">
        <f aca="false">HYPERLINK("https%3A%2F%2Fwww.webofscience.com%2Fwos%2Fwoscc%2Ffull-record%2FWOS:000567271000001","View Full Record in Web of Science")</f>
        <v>View Full Record in Web of Science</v>
      </c>
    </row>
    <row r="430" customFormat="false" ht="12.75" hidden="false" customHeight="false" outlineLevel="0" collapsed="false">
      <c r="A430" s="1" t="s">
        <v>181</v>
      </c>
      <c r="B430" s="1" t="s">
        <v>7898</v>
      </c>
      <c r="C430" s="1"/>
      <c r="D430" s="1"/>
      <c r="E430" s="1"/>
      <c r="F430" s="1" t="s">
        <v>7899</v>
      </c>
      <c r="G430" s="1"/>
      <c r="H430" s="1"/>
      <c r="I430" s="1" t="s">
        <v>7900</v>
      </c>
      <c r="J430" s="1" t="s">
        <v>7901</v>
      </c>
      <c r="K430" s="1"/>
      <c r="L430" s="1"/>
      <c r="M430" s="1" t="s">
        <v>78</v>
      </c>
      <c r="N430" s="1" t="s">
        <v>186</v>
      </c>
      <c r="O430" s="1"/>
      <c r="P430" s="1"/>
      <c r="Q430" s="1"/>
      <c r="R430" s="1"/>
      <c r="S430" s="1"/>
      <c r="T430" s="1" t="s">
        <v>7902</v>
      </c>
      <c r="U430" s="1" t="s">
        <v>7903</v>
      </c>
      <c r="V430" s="1" t="s">
        <v>7904</v>
      </c>
      <c r="W430" s="1" t="s">
        <v>7905</v>
      </c>
      <c r="X430" s="1" t="s">
        <v>7906</v>
      </c>
      <c r="Y430" s="1" t="s">
        <v>7907</v>
      </c>
      <c r="Z430" s="1" t="s">
        <v>7908</v>
      </c>
      <c r="AA430" s="1" t="s">
        <v>7909</v>
      </c>
      <c r="AB430" s="1" t="s">
        <v>7910</v>
      </c>
      <c r="AC430" s="1" t="s">
        <v>7911</v>
      </c>
      <c r="AD430" s="1" t="s">
        <v>7912</v>
      </c>
      <c r="AE430" s="1" t="s">
        <v>7913</v>
      </c>
      <c r="AF430" s="1"/>
      <c r="AG430" s="1" t="n">
        <v>75</v>
      </c>
      <c r="AH430" s="1" t="n">
        <v>12</v>
      </c>
      <c r="AI430" s="1" t="n">
        <v>13</v>
      </c>
      <c r="AJ430" s="1" t="n">
        <v>1</v>
      </c>
      <c r="AK430" s="1" t="n">
        <v>20</v>
      </c>
      <c r="AL430" s="1" t="s">
        <v>367</v>
      </c>
      <c r="AM430" s="1" t="s">
        <v>368</v>
      </c>
      <c r="AN430" s="1" t="s">
        <v>369</v>
      </c>
      <c r="AO430" s="1"/>
      <c r="AP430" s="1" t="s">
        <v>7914</v>
      </c>
      <c r="AQ430" s="1"/>
      <c r="AR430" s="1" t="s">
        <v>7901</v>
      </c>
      <c r="AS430" s="1" t="s">
        <v>7915</v>
      </c>
      <c r="AT430" s="1" t="s">
        <v>3432</v>
      </c>
      <c r="AU430" s="1" t="n">
        <v>2020</v>
      </c>
      <c r="AV430" s="1" t="n">
        <v>13</v>
      </c>
      <c r="AW430" s="1" t="n">
        <v>3</v>
      </c>
      <c r="AX430" s="1"/>
      <c r="AY430" s="1"/>
      <c r="AZ430" s="1"/>
      <c r="BA430" s="1"/>
      <c r="BB430" s="1"/>
      <c r="BC430" s="1"/>
      <c r="BD430" s="1" t="n">
        <v>735</v>
      </c>
      <c r="BE430" s="1" t="s">
        <v>7916</v>
      </c>
      <c r="BF430" s="1" t="str">
        <f aca="false">HYPERLINK("http://dx.doi.org/10.3390/ma13030735","http://dx.doi.org/10.3390/ma13030735")</f>
        <v>http://dx.doi.org/10.3390/ma13030735</v>
      </c>
      <c r="BG430" s="1"/>
      <c r="BH430" s="1"/>
      <c r="BI430" s="1" t="n">
        <v>21</v>
      </c>
      <c r="BJ430" s="1" t="s">
        <v>7917</v>
      </c>
      <c r="BK430" s="1" t="s">
        <v>204</v>
      </c>
      <c r="BL430" s="1" t="s">
        <v>7918</v>
      </c>
      <c r="BM430" s="1" t="s">
        <v>7919</v>
      </c>
      <c r="BN430" s="1" t="n">
        <v>32041200</v>
      </c>
      <c r="BO430" s="1" t="s">
        <v>401</v>
      </c>
      <c r="BP430" s="1"/>
      <c r="BQ430" s="1"/>
      <c r="BR430" s="1" t="s">
        <v>103</v>
      </c>
      <c r="BS430" s="1" t="s">
        <v>7920</v>
      </c>
      <c r="BT430" s="1" t="str">
        <f aca="false">HYPERLINK("https%3A%2F%2Fwww.webofscience.com%2Fwos%2Fwoscc%2Ffull-record%2FWOS:000515503100242","View Full Record in Web of Science")</f>
        <v>View Full Record in Web of Science</v>
      </c>
    </row>
    <row r="431" customFormat="false" ht="12.75" hidden="false" customHeight="false" outlineLevel="0" collapsed="false">
      <c r="A431" s="1" t="s">
        <v>181</v>
      </c>
      <c r="B431" s="1" t="s">
        <v>7921</v>
      </c>
      <c r="C431" s="1"/>
      <c r="D431" s="1"/>
      <c r="E431" s="1"/>
      <c r="F431" s="1" t="s">
        <v>7922</v>
      </c>
      <c r="G431" s="1"/>
      <c r="H431" s="1"/>
      <c r="I431" s="1" t="s">
        <v>7923</v>
      </c>
      <c r="J431" s="1" t="s">
        <v>4178</v>
      </c>
      <c r="K431" s="1"/>
      <c r="L431" s="1"/>
      <c r="M431" s="1" t="s">
        <v>78</v>
      </c>
      <c r="N431" s="1" t="s">
        <v>186</v>
      </c>
      <c r="O431" s="1"/>
      <c r="P431" s="1"/>
      <c r="Q431" s="1"/>
      <c r="R431" s="1"/>
      <c r="S431" s="1"/>
      <c r="T431" s="1" t="s">
        <v>7924</v>
      </c>
      <c r="U431" s="1" t="s">
        <v>7925</v>
      </c>
      <c r="V431" s="1" t="s">
        <v>7926</v>
      </c>
      <c r="W431" s="1" t="s">
        <v>7927</v>
      </c>
      <c r="X431" s="1" t="s">
        <v>7928</v>
      </c>
      <c r="Y431" s="1" t="s">
        <v>7929</v>
      </c>
      <c r="Z431" s="1" t="s">
        <v>7930</v>
      </c>
      <c r="AA431" s="1" t="s">
        <v>7931</v>
      </c>
      <c r="AB431" s="1" t="s">
        <v>7932</v>
      </c>
      <c r="AC431" s="1" t="s">
        <v>7933</v>
      </c>
      <c r="AD431" s="1" t="s">
        <v>7934</v>
      </c>
      <c r="AE431" s="1" t="s">
        <v>7935</v>
      </c>
      <c r="AF431" s="1"/>
      <c r="AG431" s="1" t="n">
        <v>70</v>
      </c>
      <c r="AH431" s="1" t="n">
        <v>0</v>
      </c>
      <c r="AI431" s="1" t="n">
        <v>0</v>
      </c>
      <c r="AJ431" s="1" t="n">
        <v>0</v>
      </c>
      <c r="AK431" s="1" t="n">
        <v>0</v>
      </c>
      <c r="AL431" s="1" t="s">
        <v>600</v>
      </c>
      <c r="AM431" s="1" t="s">
        <v>601</v>
      </c>
      <c r="AN431" s="1" t="s">
        <v>602</v>
      </c>
      <c r="AO431" s="1" t="s">
        <v>4190</v>
      </c>
      <c r="AP431" s="1" t="s">
        <v>4191</v>
      </c>
      <c r="AQ431" s="1"/>
      <c r="AR431" s="1" t="s">
        <v>4192</v>
      </c>
      <c r="AS431" s="1" t="s">
        <v>4193</v>
      </c>
      <c r="AT431" s="1" t="s">
        <v>1453</v>
      </c>
      <c r="AU431" s="1" t="n">
        <v>2025</v>
      </c>
      <c r="AV431" s="1" t="n">
        <v>37</v>
      </c>
      <c r="AW431" s="1" t="n">
        <v>1</v>
      </c>
      <c r="AX431" s="1"/>
      <c r="AY431" s="1"/>
      <c r="AZ431" s="1"/>
      <c r="BA431" s="1"/>
      <c r="BB431" s="1"/>
      <c r="BC431" s="1"/>
      <c r="BD431" s="1" t="s">
        <v>7936</v>
      </c>
      <c r="BE431" s="1" t="s">
        <v>7937</v>
      </c>
      <c r="BF431" s="1" t="str">
        <f aca="false">HYPERLINK("http://dx.doi.org/10.1002/smr.2757","http://dx.doi.org/10.1002/smr.2757")</f>
        <v>http://dx.doi.org/10.1002/smr.2757</v>
      </c>
      <c r="BG431" s="1"/>
      <c r="BH431" s="1"/>
      <c r="BI431" s="1" t="n">
        <v>19</v>
      </c>
      <c r="BJ431" s="1" t="s">
        <v>252</v>
      </c>
      <c r="BK431" s="1" t="s">
        <v>204</v>
      </c>
      <c r="BL431" s="1" t="s">
        <v>101</v>
      </c>
      <c r="BM431" s="1" t="s">
        <v>7938</v>
      </c>
      <c r="BN431" s="1"/>
      <c r="BO431" s="1"/>
      <c r="BP431" s="1"/>
      <c r="BQ431" s="1"/>
      <c r="BR431" s="1" t="s">
        <v>103</v>
      </c>
      <c r="BS431" s="1" t="s">
        <v>7939</v>
      </c>
      <c r="BT431" s="1" t="str">
        <f aca="false">HYPERLINK("https%3A%2F%2Fwww.webofscience.com%2Fwos%2Fwoscc%2Ffull-record%2FWOS:001398668800001","View Full Record in Web of Science")</f>
        <v>View Full Record in Web of Science</v>
      </c>
    </row>
    <row r="432" customFormat="false" ht="12.75" hidden="false" customHeight="false" outlineLevel="0" collapsed="false">
      <c r="A432" s="1" t="s">
        <v>181</v>
      </c>
      <c r="B432" s="1" t="s">
        <v>7940</v>
      </c>
      <c r="C432" s="1"/>
      <c r="D432" s="1"/>
      <c r="E432" s="1"/>
      <c r="F432" s="1" t="s">
        <v>7941</v>
      </c>
      <c r="G432" s="1"/>
      <c r="H432" s="1"/>
      <c r="I432" s="1" t="s">
        <v>7942</v>
      </c>
      <c r="J432" s="1" t="s">
        <v>3700</v>
      </c>
      <c r="K432" s="1"/>
      <c r="L432" s="1"/>
      <c r="M432" s="1" t="s">
        <v>78</v>
      </c>
      <c r="N432" s="1" t="s">
        <v>186</v>
      </c>
      <c r="O432" s="1"/>
      <c r="P432" s="1"/>
      <c r="Q432" s="1"/>
      <c r="R432" s="1"/>
      <c r="S432" s="1"/>
      <c r="T432" s="1" t="s">
        <v>7943</v>
      </c>
      <c r="U432" s="1" t="s">
        <v>7944</v>
      </c>
      <c r="V432" s="1" t="s">
        <v>7945</v>
      </c>
      <c r="W432" s="1" t="s">
        <v>7946</v>
      </c>
      <c r="X432" s="1" t="s">
        <v>6228</v>
      </c>
      <c r="Y432" s="1" t="s">
        <v>6229</v>
      </c>
      <c r="Z432" s="1" t="s">
        <v>7947</v>
      </c>
      <c r="AA432" s="1" t="s">
        <v>7948</v>
      </c>
      <c r="AB432" s="1" t="s">
        <v>7949</v>
      </c>
      <c r="AC432" s="1" t="s">
        <v>7950</v>
      </c>
      <c r="AD432" s="1" t="s">
        <v>7951</v>
      </c>
      <c r="AE432" s="1" t="s">
        <v>7952</v>
      </c>
      <c r="AF432" s="1"/>
      <c r="AG432" s="1" t="n">
        <v>62</v>
      </c>
      <c r="AH432" s="1" t="n">
        <v>1</v>
      </c>
      <c r="AI432" s="1" t="n">
        <v>1</v>
      </c>
      <c r="AJ432" s="1" t="n">
        <v>0</v>
      </c>
      <c r="AK432" s="1" t="n">
        <v>2</v>
      </c>
      <c r="AL432" s="1" t="s">
        <v>3711</v>
      </c>
      <c r="AM432" s="1" t="s">
        <v>95</v>
      </c>
      <c r="AN432" s="1" t="s">
        <v>3712</v>
      </c>
      <c r="AO432" s="1" t="s">
        <v>3713</v>
      </c>
      <c r="AP432" s="1" t="s">
        <v>3714</v>
      </c>
      <c r="AQ432" s="1"/>
      <c r="AR432" s="1" t="s">
        <v>3715</v>
      </c>
      <c r="AS432" s="1" t="s">
        <v>3716</v>
      </c>
      <c r="AT432" s="1" t="s">
        <v>808</v>
      </c>
      <c r="AU432" s="1" t="n">
        <v>2024</v>
      </c>
      <c r="AV432" s="1" t="n">
        <v>213</v>
      </c>
      <c r="AW432" s="1"/>
      <c r="AX432" s="1"/>
      <c r="AY432" s="1"/>
      <c r="AZ432" s="1"/>
      <c r="BA432" s="1"/>
      <c r="BB432" s="1"/>
      <c r="BC432" s="1"/>
      <c r="BD432" s="1" t="n">
        <v>112053</v>
      </c>
      <c r="BE432" s="1" t="s">
        <v>7953</v>
      </c>
      <c r="BF432" s="1" t="str">
        <f aca="false">HYPERLINK("http://dx.doi.org/10.1016/j.jss.2024.112053","http://dx.doi.org/10.1016/j.jss.2024.112053")</f>
        <v>http://dx.doi.org/10.1016/j.jss.2024.112053</v>
      </c>
      <c r="BG432" s="1"/>
      <c r="BH432" s="1" t="s">
        <v>2275</v>
      </c>
      <c r="BI432" s="1" t="n">
        <v>31</v>
      </c>
      <c r="BJ432" s="1" t="s">
        <v>994</v>
      </c>
      <c r="BK432" s="1" t="s">
        <v>204</v>
      </c>
      <c r="BL432" s="1" t="s">
        <v>101</v>
      </c>
      <c r="BM432" s="1" t="s">
        <v>7954</v>
      </c>
      <c r="BN432" s="1"/>
      <c r="BO432" s="1" t="s">
        <v>227</v>
      </c>
      <c r="BP432" s="1"/>
      <c r="BQ432" s="1"/>
      <c r="BR432" s="1" t="s">
        <v>103</v>
      </c>
      <c r="BS432" s="1" t="s">
        <v>7955</v>
      </c>
      <c r="BT432" s="1" t="str">
        <f aca="false">HYPERLINK("https%3A%2F%2Fwww.webofscience.com%2Fwos%2Fwoscc%2Ffull-record%2FWOS:001234407600001","View Full Record in Web of Science")</f>
        <v>View Full Record in Web of Science</v>
      </c>
    </row>
    <row r="433" customFormat="false" ht="12.75" hidden="false" customHeight="false" outlineLevel="0" collapsed="false">
      <c r="A433" s="1" t="s">
        <v>72</v>
      </c>
      <c r="B433" s="1" t="s">
        <v>7956</v>
      </c>
      <c r="C433" s="1"/>
      <c r="D433" s="1" t="s">
        <v>7957</v>
      </c>
      <c r="E433" s="1"/>
      <c r="F433" s="1" t="s">
        <v>7958</v>
      </c>
      <c r="G433" s="1"/>
      <c r="H433" s="1"/>
      <c r="I433" s="1" t="s">
        <v>7959</v>
      </c>
      <c r="J433" s="1" t="s">
        <v>7960</v>
      </c>
      <c r="K433" s="1" t="s">
        <v>7961</v>
      </c>
      <c r="L433" s="1"/>
      <c r="M433" s="1" t="s">
        <v>78</v>
      </c>
      <c r="N433" s="1" t="s">
        <v>79</v>
      </c>
      <c r="O433" s="1" t="s">
        <v>7962</v>
      </c>
      <c r="P433" s="1" t="s">
        <v>7963</v>
      </c>
      <c r="Q433" s="1" t="s">
        <v>7964</v>
      </c>
      <c r="R433" s="1" t="s">
        <v>7965</v>
      </c>
      <c r="S433" s="1" t="s">
        <v>7966</v>
      </c>
      <c r="T433" s="1" t="s">
        <v>7967</v>
      </c>
      <c r="U433" s="1"/>
      <c r="V433" s="1" t="s">
        <v>7968</v>
      </c>
      <c r="W433" s="1" t="s">
        <v>7969</v>
      </c>
      <c r="X433" s="1" t="s">
        <v>7970</v>
      </c>
      <c r="Y433" s="1" t="s">
        <v>7971</v>
      </c>
      <c r="Z433" s="1" t="s">
        <v>7972</v>
      </c>
      <c r="AA433" s="1" t="s">
        <v>7183</v>
      </c>
      <c r="AB433" s="1" t="s">
        <v>7973</v>
      </c>
      <c r="AC433" s="1"/>
      <c r="AD433" s="1"/>
      <c r="AE433" s="1"/>
      <c r="AF433" s="1"/>
      <c r="AG433" s="1" t="n">
        <v>23</v>
      </c>
      <c r="AH433" s="1" t="n">
        <v>0</v>
      </c>
      <c r="AI433" s="1" t="n">
        <v>0</v>
      </c>
      <c r="AJ433" s="1" t="n">
        <v>0</v>
      </c>
      <c r="AK433" s="1" t="n">
        <v>0</v>
      </c>
      <c r="AL433" s="1" t="s">
        <v>302</v>
      </c>
      <c r="AM433" s="1" t="s">
        <v>303</v>
      </c>
      <c r="AN433" s="1" t="s">
        <v>304</v>
      </c>
      <c r="AO433" s="1" t="s">
        <v>7974</v>
      </c>
      <c r="AP433" s="1" t="s">
        <v>990</v>
      </c>
      <c r="AQ433" s="1" t="s">
        <v>7975</v>
      </c>
      <c r="AR433" s="1" t="s">
        <v>7976</v>
      </c>
      <c r="AS433" s="1"/>
      <c r="AT433" s="1"/>
      <c r="AU433" s="1" t="n">
        <v>2024</v>
      </c>
      <c r="AV433" s="1" t="n">
        <v>14811</v>
      </c>
      <c r="AW433" s="1"/>
      <c r="AX433" s="1"/>
      <c r="AY433" s="1"/>
      <c r="AZ433" s="1"/>
      <c r="BA433" s="1"/>
      <c r="BB433" s="1" t="n">
        <v>29</v>
      </c>
      <c r="BC433" s="1" t="n">
        <v>40</v>
      </c>
      <c r="BD433" s="1"/>
      <c r="BE433" s="1" t="s">
        <v>7977</v>
      </c>
      <c r="BF433" s="1" t="str">
        <f aca="false">HYPERLINK("http://dx.doi.org/10.1007/978-3-031-70819-0_3","http://dx.doi.org/10.1007/978-3-031-70819-0_3")</f>
        <v>http://dx.doi.org/10.1007/978-3-031-70819-0_3</v>
      </c>
      <c r="BG433" s="1"/>
      <c r="BH433" s="1"/>
      <c r="BI433" s="1" t="n">
        <v>12</v>
      </c>
      <c r="BJ433" s="1" t="s">
        <v>2972</v>
      </c>
      <c r="BK433" s="1" t="s">
        <v>100</v>
      </c>
      <c r="BL433" s="1" t="s">
        <v>101</v>
      </c>
      <c r="BM433" s="1" t="s">
        <v>7978</v>
      </c>
      <c r="BN433" s="1"/>
      <c r="BO433" s="1"/>
      <c r="BP433" s="1"/>
      <c r="BQ433" s="1"/>
      <c r="BR433" s="1" t="s">
        <v>103</v>
      </c>
      <c r="BS433" s="1" t="s">
        <v>7979</v>
      </c>
      <c r="BT433" s="1" t="str">
        <f aca="false">HYPERLINK("https%3A%2F%2Fwww.webofscience.com%2Fwos%2Fwoscc%2Ffull-record%2FWOS:001331826200003","View Full Record in Web of Science")</f>
        <v>View Full Record in Web of Science</v>
      </c>
    </row>
    <row r="434" customFormat="false" ht="12.75" hidden="false" customHeight="false" outlineLevel="0" collapsed="false">
      <c r="A434" s="1" t="s">
        <v>181</v>
      </c>
      <c r="B434" s="1" t="s">
        <v>7980</v>
      </c>
      <c r="C434" s="1"/>
      <c r="D434" s="1"/>
      <c r="E434" s="1"/>
      <c r="F434" s="1" t="s">
        <v>7981</v>
      </c>
      <c r="G434" s="1"/>
      <c r="H434" s="1"/>
      <c r="I434" s="1" t="s">
        <v>7982</v>
      </c>
      <c r="J434" s="1" t="s">
        <v>7983</v>
      </c>
      <c r="K434" s="1"/>
      <c r="L434" s="1"/>
      <c r="M434" s="1" t="s">
        <v>78</v>
      </c>
      <c r="N434" s="1" t="s">
        <v>186</v>
      </c>
      <c r="O434" s="1"/>
      <c r="P434" s="1"/>
      <c r="Q434" s="1"/>
      <c r="R434" s="1"/>
      <c r="S434" s="1"/>
      <c r="T434" s="1" t="s">
        <v>7984</v>
      </c>
      <c r="U434" s="1" t="s">
        <v>7985</v>
      </c>
      <c r="V434" s="1" t="s">
        <v>7986</v>
      </c>
      <c r="W434" s="1" t="s">
        <v>7987</v>
      </c>
      <c r="X434" s="1" t="s">
        <v>7988</v>
      </c>
      <c r="Y434" s="1" t="s">
        <v>7989</v>
      </c>
      <c r="Z434" s="1" t="s">
        <v>1353</v>
      </c>
      <c r="AA434" s="1"/>
      <c r="AB434" s="1"/>
      <c r="AC434" s="1"/>
      <c r="AD434" s="1"/>
      <c r="AE434" s="1"/>
      <c r="AF434" s="1"/>
      <c r="AG434" s="1" t="n">
        <v>23</v>
      </c>
      <c r="AH434" s="1" t="n">
        <v>0</v>
      </c>
      <c r="AI434" s="1" t="n">
        <v>0</v>
      </c>
      <c r="AJ434" s="1" t="n">
        <v>7</v>
      </c>
      <c r="AK434" s="1" t="n">
        <v>18</v>
      </c>
      <c r="AL434" s="1" t="s">
        <v>1220</v>
      </c>
      <c r="AM434" s="1" t="s">
        <v>1221</v>
      </c>
      <c r="AN434" s="1" t="s">
        <v>1222</v>
      </c>
      <c r="AO434" s="1" t="s">
        <v>7990</v>
      </c>
      <c r="AP434" s="1" t="s">
        <v>7991</v>
      </c>
      <c r="AQ434" s="1"/>
      <c r="AR434" s="1" t="s">
        <v>7992</v>
      </c>
      <c r="AS434" s="1" t="s">
        <v>7993</v>
      </c>
      <c r="AT434" s="1" t="s">
        <v>2554</v>
      </c>
      <c r="AU434" s="1" t="n">
        <v>2025</v>
      </c>
      <c r="AV434" s="1" t="n">
        <v>40</v>
      </c>
      <c r="AW434" s="1" t="n">
        <v>1</v>
      </c>
      <c r="AX434" s="1"/>
      <c r="AY434" s="1"/>
      <c r="AZ434" s="1"/>
      <c r="BA434" s="1"/>
      <c r="BB434" s="1" t="n">
        <v>32</v>
      </c>
      <c r="BC434" s="1" t="n">
        <v>42</v>
      </c>
      <c r="BD434" s="1"/>
      <c r="BE434" s="1" t="s">
        <v>7994</v>
      </c>
      <c r="BF434" s="1" t="str">
        <f aca="false">HYPERLINK("http://dx.doi.org/10.1080/14681994.2023.2259325","http://dx.doi.org/10.1080/14681994.2023.2259325")</f>
        <v>http://dx.doi.org/10.1080/14681994.2023.2259325</v>
      </c>
      <c r="BG434" s="1"/>
      <c r="BH434" s="1" t="s">
        <v>6154</v>
      </c>
      <c r="BI434" s="1" t="n">
        <v>11</v>
      </c>
      <c r="BJ434" s="1" t="s">
        <v>7995</v>
      </c>
      <c r="BK434" s="1" t="s">
        <v>610</v>
      </c>
      <c r="BL434" s="1" t="s">
        <v>7996</v>
      </c>
      <c r="BM434" s="1" t="s">
        <v>7997</v>
      </c>
      <c r="BN434" s="1"/>
      <c r="BO434" s="1" t="s">
        <v>612</v>
      </c>
      <c r="BP434" s="1"/>
      <c r="BQ434" s="1"/>
      <c r="BR434" s="1" t="s">
        <v>103</v>
      </c>
      <c r="BS434" s="1" t="s">
        <v>7998</v>
      </c>
      <c r="BT434" s="1" t="str">
        <f aca="false">HYPERLINK("https%3A%2F%2Fwww.webofscience.com%2Fwos%2Fwoscc%2Ffull-record%2FWOS:001080714600001","View Full Record in Web of Science")</f>
        <v>View Full Record in Web of Science</v>
      </c>
    </row>
    <row r="435" customFormat="false" ht="12.75" hidden="false" customHeight="false" outlineLevel="0" collapsed="false">
      <c r="A435" s="1" t="s">
        <v>72</v>
      </c>
      <c r="B435" s="1" t="s">
        <v>7999</v>
      </c>
      <c r="C435" s="1"/>
      <c r="D435" s="1" t="s">
        <v>8000</v>
      </c>
      <c r="E435" s="1"/>
      <c r="F435" s="1" t="s">
        <v>8001</v>
      </c>
      <c r="G435" s="1"/>
      <c r="H435" s="1"/>
      <c r="I435" s="1" t="s">
        <v>8002</v>
      </c>
      <c r="J435" s="1" t="s">
        <v>8003</v>
      </c>
      <c r="K435" s="1" t="s">
        <v>4236</v>
      </c>
      <c r="L435" s="1"/>
      <c r="M435" s="1" t="s">
        <v>78</v>
      </c>
      <c r="N435" s="1" t="s">
        <v>79</v>
      </c>
      <c r="O435" s="1" t="s">
        <v>8004</v>
      </c>
      <c r="P435" s="1" t="s">
        <v>8005</v>
      </c>
      <c r="Q435" s="1" t="s">
        <v>1517</v>
      </c>
      <c r="R435" s="1" t="s">
        <v>4239</v>
      </c>
      <c r="S435" s="1"/>
      <c r="T435" s="1" t="s">
        <v>8006</v>
      </c>
      <c r="U435" s="1" t="s">
        <v>8007</v>
      </c>
      <c r="V435" s="1" t="s">
        <v>8008</v>
      </c>
      <c r="W435" s="1" t="s">
        <v>8009</v>
      </c>
      <c r="X435" s="1" t="s">
        <v>5496</v>
      </c>
      <c r="Y435" s="1" t="s">
        <v>8010</v>
      </c>
      <c r="Z435" s="1" t="s">
        <v>8011</v>
      </c>
      <c r="AA435" s="1" t="s">
        <v>3117</v>
      </c>
      <c r="AB435" s="1" t="s">
        <v>8012</v>
      </c>
      <c r="AC435" s="1"/>
      <c r="AD435" s="1"/>
      <c r="AE435" s="1"/>
      <c r="AF435" s="1"/>
      <c r="AG435" s="1" t="n">
        <v>19</v>
      </c>
      <c r="AH435" s="1" t="n">
        <v>0</v>
      </c>
      <c r="AI435" s="1" t="n">
        <v>0</v>
      </c>
      <c r="AJ435" s="1" t="n">
        <v>1</v>
      </c>
      <c r="AK435" s="1" t="n">
        <v>2</v>
      </c>
      <c r="AL435" s="1" t="s">
        <v>4250</v>
      </c>
      <c r="AM435" s="1" t="s">
        <v>4251</v>
      </c>
      <c r="AN435" s="1" t="s">
        <v>4252</v>
      </c>
      <c r="AO435" s="1" t="s">
        <v>4253</v>
      </c>
      <c r="AP435" s="1" t="s">
        <v>4254</v>
      </c>
      <c r="AQ435" s="1" t="s">
        <v>8013</v>
      </c>
      <c r="AR435" s="1" t="s">
        <v>4256</v>
      </c>
      <c r="AS435" s="1"/>
      <c r="AT435" s="1"/>
      <c r="AU435" s="1" t="n">
        <v>2023</v>
      </c>
      <c r="AV435" s="1" t="n">
        <v>12520</v>
      </c>
      <c r="AW435" s="1"/>
      <c r="AX435" s="1"/>
      <c r="AY435" s="1"/>
      <c r="AZ435" s="1"/>
      <c r="BA435" s="1"/>
      <c r="BB435" s="1"/>
      <c r="BC435" s="1"/>
      <c r="BD435" s="1" t="n">
        <v>1252009</v>
      </c>
      <c r="BE435" s="1" t="s">
        <v>8014</v>
      </c>
      <c r="BF435" s="1" t="str">
        <f aca="false">HYPERLINK("http://dx.doi.org/10.1117/12.2663452","http://dx.doi.org/10.1117/12.2663452")</f>
        <v>http://dx.doi.org/10.1117/12.2663452</v>
      </c>
      <c r="BG435" s="1"/>
      <c r="BH435" s="1"/>
      <c r="BI435" s="1" t="n">
        <v>5</v>
      </c>
      <c r="BJ435" s="1" t="s">
        <v>8015</v>
      </c>
      <c r="BK435" s="1" t="s">
        <v>100</v>
      </c>
      <c r="BL435" s="1" t="s">
        <v>8016</v>
      </c>
      <c r="BM435" s="1" t="s">
        <v>8017</v>
      </c>
      <c r="BN435" s="1"/>
      <c r="BO435" s="1"/>
      <c r="BP435" s="1"/>
      <c r="BQ435" s="1"/>
      <c r="BR435" s="1" t="s">
        <v>103</v>
      </c>
      <c r="BS435" s="1" t="s">
        <v>8018</v>
      </c>
      <c r="BT435" s="1" t="str">
        <f aca="false">HYPERLINK("https%3A%2F%2Fwww.webofscience.com%2Fwos%2Fwoscc%2Ffull-record%2FWOS:001012855700008","View Full Record in Web of Science")</f>
        <v>View Full Record in Web of Science</v>
      </c>
    </row>
    <row r="436" customFormat="false" ht="12.75" hidden="false" customHeight="false" outlineLevel="0" collapsed="false">
      <c r="A436" s="1" t="s">
        <v>181</v>
      </c>
      <c r="B436" s="1" t="s">
        <v>8019</v>
      </c>
      <c r="C436" s="1"/>
      <c r="D436" s="1"/>
      <c r="E436" s="1"/>
      <c r="F436" s="1" t="s">
        <v>8020</v>
      </c>
      <c r="G436" s="1"/>
      <c r="H436" s="1"/>
      <c r="I436" s="1" t="s">
        <v>8021</v>
      </c>
      <c r="J436" s="1" t="s">
        <v>3700</v>
      </c>
      <c r="K436" s="1"/>
      <c r="L436" s="1"/>
      <c r="M436" s="1" t="s">
        <v>78</v>
      </c>
      <c r="N436" s="1" t="s">
        <v>186</v>
      </c>
      <c r="O436" s="1"/>
      <c r="P436" s="1"/>
      <c r="Q436" s="1"/>
      <c r="R436" s="1"/>
      <c r="S436" s="1"/>
      <c r="T436" s="1" t="s">
        <v>8022</v>
      </c>
      <c r="U436" s="1"/>
      <c r="V436" s="1" t="s">
        <v>8023</v>
      </c>
      <c r="W436" s="1" t="s">
        <v>8024</v>
      </c>
      <c r="X436" s="1" t="s">
        <v>5847</v>
      </c>
      <c r="Y436" s="1" t="s">
        <v>8025</v>
      </c>
      <c r="Z436" s="1" t="s">
        <v>8026</v>
      </c>
      <c r="AA436" s="1" t="s">
        <v>8027</v>
      </c>
      <c r="AB436" s="1" t="s">
        <v>8028</v>
      </c>
      <c r="AC436" s="1" t="s">
        <v>8029</v>
      </c>
      <c r="AD436" s="1" t="s">
        <v>8030</v>
      </c>
      <c r="AE436" s="1" t="s">
        <v>8031</v>
      </c>
      <c r="AF436" s="1"/>
      <c r="AG436" s="1" t="n">
        <v>49</v>
      </c>
      <c r="AH436" s="1" t="n">
        <v>8</v>
      </c>
      <c r="AI436" s="1" t="n">
        <v>8</v>
      </c>
      <c r="AJ436" s="1" t="n">
        <v>0</v>
      </c>
      <c r="AK436" s="1" t="n">
        <v>8</v>
      </c>
      <c r="AL436" s="1" t="s">
        <v>3711</v>
      </c>
      <c r="AM436" s="1" t="s">
        <v>95</v>
      </c>
      <c r="AN436" s="1" t="s">
        <v>3712</v>
      </c>
      <c r="AO436" s="1" t="s">
        <v>3713</v>
      </c>
      <c r="AP436" s="1" t="s">
        <v>3714</v>
      </c>
      <c r="AQ436" s="1"/>
      <c r="AR436" s="1" t="s">
        <v>3715</v>
      </c>
      <c r="AS436" s="1" t="s">
        <v>3716</v>
      </c>
      <c r="AT436" s="1" t="s">
        <v>474</v>
      </c>
      <c r="AU436" s="1" t="n">
        <v>2022</v>
      </c>
      <c r="AV436" s="1" t="n">
        <v>191</v>
      </c>
      <c r="AW436" s="1"/>
      <c r="AX436" s="1"/>
      <c r="AY436" s="1"/>
      <c r="AZ436" s="1"/>
      <c r="BA436" s="1"/>
      <c r="BB436" s="1"/>
      <c r="BC436" s="1"/>
      <c r="BD436" s="1" t="n">
        <v>111369</v>
      </c>
      <c r="BE436" s="1" t="s">
        <v>8032</v>
      </c>
      <c r="BF436" s="1" t="str">
        <f aca="false">HYPERLINK("http://dx.doi.org/10.1016/j.jss.2022.111369","http://dx.doi.org/10.1016/j.jss.2022.111369")</f>
        <v>http://dx.doi.org/10.1016/j.jss.2022.111369</v>
      </c>
      <c r="BG436" s="1"/>
      <c r="BH436" s="1" t="s">
        <v>2297</v>
      </c>
      <c r="BI436" s="1" t="n">
        <v>20</v>
      </c>
      <c r="BJ436" s="1" t="s">
        <v>994</v>
      </c>
      <c r="BK436" s="1" t="s">
        <v>204</v>
      </c>
      <c r="BL436" s="1" t="s">
        <v>101</v>
      </c>
      <c r="BM436" s="1" t="s">
        <v>8033</v>
      </c>
      <c r="BN436" s="1"/>
      <c r="BO436" s="1" t="s">
        <v>4656</v>
      </c>
      <c r="BP436" s="1"/>
      <c r="BQ436" s="1"/>
      <c r="BR436" s="1" t="s">
        <v>103</v>
      </c>
      <c r="BS436" s="1" t="s">
        <v>8034</v>
      </c>
      <c r="BT436" s="1" t="str">
        <f aca="false">HYPERLINK("https%3A%2F%2Fwww.webofscience.com%2Fwos%2Fwoscc%2Ffull-record%2FWOS:000814741100004","View Full Record in Web of Science")</f>
        <v>View Full Record in Web of Science</v>
      </c>
    </row>
    <row r="437" customFormat="false" ht="12.75" hidden="false" customHeight="false" outlineLevel="0" collapsed="false">
      <c r="A437" s="1" t="s">
        <v>181</v>
      </c>
      <c r="B437" s="1" t="s">
        <v>8035</v>
      </c>
      <c r="C437" s="1"/>
      <c r="D437" s="1"/>
      <c r="E437" s="1"/>
      <c r="F437" s="1" t="s">
        <v>8036</v>
      </c>
      <c r="G437" s="1"/>
      <c r="H437" s="1"/>
      <c r="I437" s="1" t="s">
        <v>8037</v>
      </c>
      <c r="J437" s="1" t="s">
        <v>816</v>
      </c>
      <c r="K437" s="1"/>
      <c r="L437" s="1"/>
      <c r="M437" s="1" t="s">
        <v>78</v>
      </c>
      <c r="N437" s="1" t="s">
        <v>186</v>
      </c>
      <c r="O437" s="1"/>
      <c r="P437" s="1"/>
      <c r="Q437" s="1"/>
      <c r="R437" s="1"/>
      <c r="S437" s="1"/>
      <c r="T437" s="1" t="s">
        <v>8038</v>
      </c>
      <c r="U437" s="1" t="s">
        <v>2545</v>
      </c>
      <c r="V437" s="1" t="s">
        <v>8039</v>
      </c>
      <c r="W437" s="1" t="s">
        <v>8040</v>
      </c>
      <c r="X437" s="1" t="s">
        <v>5099</v>
      </c>
      <c r="Y437" s="1" t="s">
        <v>8041</v>
      </c>
      <c r="Z437" s="1" t="s">
        <v>8042</v>
      </c>
      <c r="AA437" s="1" t="s">
        <v>8043</v>
      </c>
      <c r="AB437" s="1" t="s">
        <v>8044</v>
      </c>
      <c r="AC437" s="1" t="s">
        <v>2613</v>
      </c>
      <c r="AD437" s="1" t="s">
        <v>2614</v>
      </c>
      <c r="AE437" s="1" t="s">
        <v>2615</v>
      </c>
      <c r="AF437" s="1"/>
      <c r="AG437" s="1" t="n">
        <v>92</v>
      </c>
      <c r="AH437" s="1" t="n">
        <v>0</v>
      </c>
      <c r="AI437" s="1" t="n">
        <v>0</v>
      </c>
      <c r="AJ437" s="1" t="n">
        <v>1</v>
      </c>
      <c r="AK437" s="1" t="n">
        <v>7</v>
      </c>
      <c r="AL437" s="1" t="s">
        <v>94</v>
      </c>
      <c r="AM437" s="1" t="s">
        <v>95</v>
      </c>
      <c r="AN437" s="1" t="s">
        <v>826</v>
      </c>
      <c r="AO437" s="1" t="s">
        <v>827</v>
      </c>
      <c r="AP437" s="1" t="s">
        <v>828</v>
      </c>
      <c r="AQ437" s="1"/>
      <c r="AR437" s="1" t="s">
        <v>829</v>
      </c>
      <c r="AS437" s="1" t="s">
        <v>830</v>
      </c>
      <c r="AT437" s="1" t="s">
        <v>1453</v>
      </c>
      <c r="AU437" s="1" t="n">
        <v>2022</v>
      </c>
      <c r="AV437" s="1" t="n">
        <v>31</v>
      </c>
      <c r="AW437" s="1" t="n">
        <v>1</v>
      </c>
      <c r="AX437" s="1"/>
      <c r="AY437" s="1"/>
      <c r="AZ437" s="1"/>
      <c r="BA437" s="1"/>
      <c r="BB437" s="1"/>
      <c r="BC437" s="1"/>
      <c r="BD437" s="1" t="n">
        <v>6</v>
      </c>
      <c r="BE437" s="1" t="s">
        <v>8045</v>
      </c>
      <c r="BF437" s="1" t="str">
        <f aca="false">HYPERLINK("http://dx.doi.org/10.1145/3468504","http://dx.doi.org/10.1145/3468504")</f>
        <v>http://dx.doi.org/10.1145/3468504</v>
      </c>
      <c r="BG437" s="1"/>
      <c r="BH437" s="1"/>
      <c r="BI437" s="1" t="n">
        <v>49</v>
      </c>
      <c r="BJ437" s="1" t="s">
        <v>252</v>
      </c>
      <c r="BK437" s="1" t="s">
        <v>204</v>
      </c>
      <c r="BL437" s="1" t="s">
        <v>101</v>
      </c>
      <c r="BM437" s="1" t="s">
        <v>8046</v>
      </c>
      <c r="BN437" s="1"/>
      <c r="BO437" s="1"/>
      <c r="BP437" s="1"/>
      <c r="BQ437" s="1"/>
      <c r="BR437" s="1" t="s">
        <v>103</v>
      </c>
      <c r="BS437" s="1" t="s">
        <v>8047</v>
      </c>
      <c r="BT437" s="1" t="str">
        <f aca="false">HYPERLINK("https%3A%2F%2Fwww.webofscience.com%2Fwos%2Fwoscc%2Ffull-record%2FWOS:000870650700006","View Full Record in Web of Science")</f>
        <v>View Full Record in Web of Science</v>
      </c>
    </row>
    <row r="438" customFormat="false" ht="12.75" hidden="false" customHeight="false" outlineLevel="0" collapsed="false">
      <c r="A438" s="1" t="s">
        <v>181</v>
      </c>
      <c r="B438" s="1" t="s">
        <v>4798</v>
      </c>
      <c r="C438" s="1"/>
      <c r="D438" s="1"/>
      <c r="E438" s="1"/>
      <c r="F438" s="1" t="s">
        <v>4800</v>
      </c>
      <c r="G438" s="1"/>
      <c r="H438" s="1"/>
      <c r="I438" s="1" t="s">
        <v>8048</v>
      </c>
      <c r="J438" s="1" t="s">
        <v>8049</v>
      </c>
      <c r="K438" s="1"/>
      <c r="L438" s="1"/>
      <c r="M438" s="1" t="s">
        <v>78</v>
      </c>
      <c r="N438" s="1" t="s">
        <v>186</v>
      </c>
      <c r="O438" s="1"/>
      <c r="P438" s="1"/>
      <c r="Q438" s="1"/>
      <c r="R438" s="1"/>
      <c r="S438" s="1"/>
      <c r="T438" s="1"/>
      <c r="U438" s="1"/>
      <c r="V438" s="1" t="s">
        <v>8050</v>
      </c>
      <c r="W438" s="1" t="s">
        <v>8051</v>
      </c>
      <c r="X438" s="1" t="s">
        <v>6481</v>
      </c>
      <c r="Y438" s="1" t="s">
        <v>8052</v>
      </c>
      <c r="Z438" s="1" t="s">
        <v>4810</v>
      </c>
      <c r="AA438" s="1" t="s">
        <v>4811</v>
      </c>
      <c r="AB438" s="1" t="s">
        <v>8053</v>
      </c>
      <c r="AC438" s="1" t="s">
        <v>8054</v>
      </c>
      <c r="AD438" s="1" t="s">
        <v>8055</v>
      </c>
      <c r="AE438" s="1" t="s">
        <v>8056</v>
      </c>
      <c r="AF438" s="1"/>
      <c r="AG438" s="1" t="n">
        <v>90</v>
      </c>
      <c r="AH438" s="1" t="n">
        <v>13</v>
      </c>
      <c r="AI438" s="1" t="n">
        <v>13</v>
      </c>
      <c r="AJ438" s="1" t="n">
        <v>0</v>
      </c>
      <c r="AK438" s="1" t="n">
        <v>3</v>
      </c>
      <c r="AL438" s="1" t="s">
        <v>1907</v>
      </c>
      <c r="AM438" s="1" t="s">
        <v>1908</v>
      </c>
      <c r="AN438" s="1" t="s">
        <v>1909</v>
      </c>
      <c r="AO438" s="1" t="s">
        <v>8057</v>
      </c>
      <c r="AP438" s="1" t="s">
        <v>8058</v>
      </c>
      <c r="AQ438" s="1"/>
      <c r="AR438" s="1" t="s">
        <v>8059</v>
      </c>
      <c r="AS438" s="1" t="s">
        <v>8060</v>
      </c>
      <c r="AT438" s="1" t="s">
        <v>8061</v>
      </c>
      <c r="AU438" s="1" t="n">
        <v>2021</v>
      </c>
      <c r="AV438" s="1" t="n">
        <v>2021</v>
      </c>
      <c r="AW438" s="1"/>
      <c r="AX438" s="1"/>
      <c r="AY438" s="1"/>
      <c r="AZ438" s="1"/>
      <c r="BA438" s="1"/>
      <c r="BB438" s="1"/>
      <c r="BC438" s="1"/>
      <c r="BD438" s="1" t="n">
        <v>6676644</v>
      </c>
      <c r="BE438" s="1" t="s">
        <v>8062</v>
      </c>
      <c r="BF438" s="1" t="str">
        <f aca="false">HYPERLINK("http://dx.doi.org/10.1155/2021/6676644","http://dx.doi.org/10.1155/2021/6676644")</f>
        <v>http://dx.doi.org/10.1155/2021/6676644</v>
      </c>
      <c r="BG438" s="1"/>
      <c r="BH438" s="1"/>
      <c r="BI438" s="1" t="n">
        <v>16</v>
      </c>
      <c r="BJ438" s="1" t="s">
        <v>252</v>
      </c>
      <c r="BK438" s="1" t="s">
        <v>253</v>
      </c>
      <c r="BL438" s="1" t="s">
        <v>101</v>
      </c>
      <c r="BM438" s="1" t="s">
        <v>8063</v>
      </c>
      <c r="BN438" s="1"/>
      <c r="BO438" s="1" t="s">
        <v>542</v>
      </c>
      <c r="BP438" s="1"/>
      <c r="BQ438" s="1"/>
      <c r="BR438" s="1" t="s">
        <v>103</v>
      </c>
      <c r="BS438" s="1" t="s">
        <v>8064</v>
      </c>
      <c r="BT438" s="1" t="str">
        <f aca="false">HYPERLINK("https%3A%2F%2Fwww.webofscience.com%2Fwos%2Fwoscc%2Ffull-record%2FWOS:000680193300001","View Full Record in Web of Science")</f>
        <v>View Full Record in Web of Science</v>
      </c>
    </row>
    <row r="439" customFormat="false" ht="12.75" hidden="false" customHeight="false" outlineLevel="0" collapsed="false">
      <c r="A439" s="1" t="s">
        <v>181</v>
      </c>
      <c r="B439" s="1" t="s">
        <v>5488</v>
      </c>
      <c r="C439" s="1"/>
      <c r="D439" s="1"/>
      <c r="E439" s="1"/>
      <c r="F439" s="1" t="s">
        <v>5489</v>
      </c>
      <c r="G439" s="1"/>
      <c r="H439" s="1"/>
      <c r="I439" s="1" t="s">
        <v>8065</v>
      </c>
      <c r="J439" s="1" t="s">
        <v>1104</v>
      </c>
      <c r="K439" s="1"/>
      <c r="L439" s="1"/>
      <c r="M439" s="1" t="s">
        <v>78</v>
      </c>
      <c r="N439" s="1" t="s">
        <v>186</v>
      </c>
      <c r="O439" s="1"/>
      <c r="P439" s="1"/>
      <c r="Q439" s="1"/>
      <c r="R439" s="1"/>
      <c r="S439" s="1"/>
      <c r="T439" s="1" t="s">
        <v>8066</v>
      </c>
      <c r="U439" s="1"/>
      <c r="V439" s="1" t="s">
        <v>8067</v>
      </c>
      <c r="W439" s="1" t="s">
        <v>8068</v>
      </c>
      <c r="X439" s="1" t="s">
        <v>5496</v>
      </c>
      <c r="Y439" s="1" t="s">
        <v>191</v>
      </c>
      <c r="Z439" s="1" t="s">
        <v>192</v>
      </c>
      <c r="AA439" s="1" t="s">
        <v>193</v>
      </c>
      <c r="AB439" s="1" t="s">
        <v>8069</v>
      </c>
      <c r="AC439" s="1"/>
      <c r="AD439" s="1"/>
      <c r="AE439" s="1"/>
      <c r="AF439" s="1"/>
      <c r="AG439" s="1" t="n">
        <v>25</v>
      </c>
      <c r="AH439" s="1" t="n">
        <v>1</v>
      </c>
      <c r="AI439" s="1" t="n">
        <v>1</v>
      </c>
      <c r="AJ439" s="1" t="n">
        <v>0</v>
      </c>
      <c r="AK439" s="1" t="n">
        <v>5</v>
      </c>
      <c r="AL439" s="1" t="s">
        <v>195</v>
      </c>
      <c r="AM439" s="1" t="s">
        <v>196</v>
      </c>
      <c r="AN439" s="1" t="s">
        <v>197</v>
      </c>
      <c r="AO439" s="1" t="s">
        <v>1114</v>
      </c>
      <c r="AP439" s="1"/>
      <c r="AQ439" s="1"/>
      <c r="AR439" s="1" t="s">
        <v>1104</v>
      </c>
      <c r="AS439" s="1" t="s">
        <v>1115</v>
      </c>
      <c r="AT439" s="1"/>
      <c r="AU439" s="1" t="n">
        <v>2021</v>
      </c>
      <c r="AV439" s="1" t="n">
        <v>9</v>
      </c>
      <c r="AW439" s="1"/>
      <c r="AX439" s="1"/>
      <c r="AY439" s="1"/>
      <c r="AZ439" s="1"/>
      <c r="BA439" s="1"/>
      <c r="BB439" s="1" t="n">
        <v>127906</v>
      </c>
      <c r="BC439" s="1" t="n">
        <v>127916</v>
      </c>
      <c r="BD439" s="1"/>
      <c r="BE439" s="1" t="s">
        <v>8070</v>
      </c>
      <c r="BF439" s="1" t="str">
        <f aca="false">HYPERLINK("http://dx.doi.org/10.1109/ACCESS.2021.3111039","http://dx.doi.org/10.1109/ACCESS.2021.3111039")</f>
        <v>http://dx.doi.org/10.1109/ACCESS.2021.3111039</v>
      </c>
      <c r="BG439" s="1"/>
      <c r="BH439" s="1"/>
      <c r="BI439" s="1" t="n">
        <v>11</v>
      </c>
      <c r="BJ439" s="1" t="s">
        <v>1117</v>
      </c>
      <c r="BK439" s="1" t="s">
        <v>204</v>
      </c>
      <c r="BL439" s="1" t="s">
        <v>1118</v>
      </c>
      <c r="BM439" s="1" t="s">
        <v>8071</v>
      </c>
      <c r="BN439" s="1"/>
      <c r="BO439" s="1" t="s">
        <v>1209</v>
      </c>
      <c r="BP439" s="1"/>
      <c r="BQ439" s="1"/>
      <c r="BR439" s="1" t="s">
        <v>103</v>
      </c>
      <c r="BS439" s="1" t="s">
        <v>8072</v>
      </c>
      <c r="BT439" s="1" t="str">
        <f aca="false">HYPERLINK("https%3A%2F%2Fwww.webofscience.com%2Fwos%2Fwoscc%2Ffull-record%2FWOS:000697807600001","View Full Record in Web of Science")</f>
        <v>View Full Record in Web of Science</v>
      </c>
    </row>
    <row r="440" customFormat="false" ht="12.75" hidden="false" customHeight="false" outlineLevel="0" collapsed="false">
      <c r="A440" s="1" t="s">
        <v>181</v>
      </c>
      <c r="B440" s="1" t="s">
        <v>5027</v>
      </c>
      <c r="C440" s="1"/>
      <c r="D440" s="1"/>
      <c r="E440" s="1"/>
      <c r="F440" s="1" t="s">
        <v>5029</v>
      </c>
      <c r="G440" s="1"/>
      <c r="H440" s="1"/>
      <c r="I440" s="1" t="s">
        <v>8073</v>
      </c>
      <c r="J440" s="1" t="s">
        <v>3700</v>
      </c>
      <c r="K440" s="1"/>
      <c r="L440" s="1"/>
      <c r="M440" s="1" t="s">
        <v>78</v>
      </c>
      <c r="N440" s="1" t="s">
        <v>186</v>
      </c>
      <c r="O440" s="1"/>
      <c r="P440" s="1"/>
      <c r="Q440" s="1"/>
      <c r="R440" s="1"/>
      <c r="S440" s="1"/>
      <c r="T440" s="1" t="s">
        <v>8074</v>
      </c>
      <c r="U440" s="1" t="s">
        <v>8075</v>
      </c>
      <c r="V440" s="1" t="s">
        <v>8076</v>
      </c>
      <c r="W440" s="1" t="s">
        <v>8077</v>
      </c>
      <c r="X440" s="1" t="s">
        <v>4095</v>
      </c>
      <c r="Y440" s="1" t="s">
        <v>8078</v>
      </c>
      <c r="Z440" s="1" t="s">
        <v>8079</v>
      </c>
      <c r="AA440" s="1" t="s">
        <v>4185</v>
      </c>
      <c r="AB440" s="1"/>
      <c r="AC440" s="1" t="s">
        <v>8080</v>
      </c>
      <c r="AD440" s="1" t="s">
        <v>8081</v>
      </c>
      <c r="AE440" s="1" t="s">
        <v>8082</v>
      </c>
      <c r="AF440" s="1"/>
      <c r="AG440" s="1" t="n">
        <v>37</v>
      </c>
      <c r="AH440" s="1" t="n">
        <v>1</v>
      </c>
      <c r="AI440" s="1" t="n">
        <v>1</v>
      </c>
      <c r="AJ440" s="1" t="n">
        <v>0</v>
      </c>
      <c r="AK440" s="1" t="n">
        <v>7</v>
      </c>
      <c r="AL440" s="1" t="s">
        <v>3711</v>
      </c>
      <c r="AM440" s="1" t="s">
        <v>95</v>
      </c>
      <c r="AN440" s="1" t="s">
        <v>3712</v>
      </c>
      <c r="AO440" s="1" t="s">
        <v>3713</v>
      </c>
      <c r="AP440" s="1" t="s">
        <v>3714</v>
      </c>
      <c r="AQ440" s="1"/>
      <c r="AR440" s="1" t="s">
        <v>3715</v>
      </c>
      <c r="AS440" s="1" t="s">
        <v>3716</v>
      </c>
      <c r="AT440" s="1" t="s">
        <v>1391</v>
      </c>
      <c r="AU440" s="1" t="n">
        <v>2020</v>
      </c>
      <c r="AV440" s="1" t="n">
        <v>169</v>
      </c>
      <c r="AW440" s="1"/>
      <c r="AX440" s="1"/>
      <c r="AY440" s="1"/>
      <c r="AZ440" s="1"/>
      <c r="BA440" s="1"/>
      <c r="BB440" s="1"/>
      <c r="BC440" s="1"/>
      <c r="BD440" s="1" t="n">
        <v>110719</v>
      </c>
      <c r="BE440" s="1" t="s">
        <v>8083</v>
      </c>
      <c r="BF440" s="1" t="str">
        <f aca="false">HYPERLINK("http://dx.doi.org/10.1016/j.jss.2020.110719","http://dx.doi.org/10.1016/j.jss.2020.110719")</f>
        <v>http://dx.doi.org/10.1016/j.jss.2020.110719</v>
      </c>
      <c r="BG440" s="1"/>
      <c r="BH440" s="1"/>
      <c r="BI440" s="1" t="n">
        <v>14</v>
      </c>
      <c r="BJ440" s="1" t="s">
        <v>994</v>
      </c>
      <c r="BK440" s="1" t="s">
        <v>204</v>
      </c>
      <c r="BL440" s="1" t="s">
        <v>101</v>
      </c>
      <c r="BM440" s="1" t="s">
        <v>5880</v>
      </c>
      <c r="BN440" s="1"/>
      <c r="BO440" s="1"/>
      <c r="BP440" s="1"/>
      <c r="BQ440" s="1"/>
      <c r="BR440" s="1" t="s">
        <v>103</v>
      </c>
      <c r="BS440" s="1" t="s">
        <v>8084</v>
      </c>
      <c r="BT440" s="1" t="str">
        <f aca="false">HYPERLINK("https%3A%2F%2Fwww.webofscience.com%2Fwos%2Fwoscc%2Ffull-record%2FWOS:000567509300002","View Full Record in Web of Science")</f>
        <v>View Full Record in Web of Science</v>
      </c>
    </row>
    <row r="441" customFormat="false" ht="12.75" hidden="false" customHeight="false" outlineLevel="0" collapsed="false">
      <c r="A441" s="1" t="s">
        <v>181</v>
      </c>
      <c r="B441" s="1" t="s">
        <v>8085</v>
      </c>
      <c r="C441" s="1"/>
      <c r="D441" s="1"/>
      <c r="E441" s="1"/>
      <c r="F441" s="1" t="s">
        <v>8086</v>
      </c>
      <c r="G441" s="1"/>
      <c r="H441" s="1"/>
      <c r="I441" s="1" t="s">
        <v>8087</v>
      </c>
      <c r="J441" s="1" t="s">
        <v>8088</v>
      </c>
      <c r="K441" s="1"/>
      <c r="L441" s="1"/>
      <c r="M441" s="1" t="s">
        <v>78</v>
      </c>
      <c r="N441" s="1" t="s">
        <v>186</v>
      </c>
      <c r="O441" s="1"/>
      <c r="P441" s="1"/>
      <c r="Q441" s="1"/>
      <c r="R441" s="1"/>
      <c r="S441" s="1"/>
      <c r="T441" s="1" t="s">
        <v>8089</v>
      </c>
      <c r="U441" s="1"/>
      <c r="V441" s="1" t="s">
        <v>8090</v>
      </c>
      <c r="W441" s="1" t="s">
        <v>8091</v>
      </c>
      <c r="X441" s="1" t="s">
        <v>6243</v>
      </c>
      <c r="Y441" s="1" t="s">
        <v>2451</v>
      </c>
      <c r="Z441" s="1" t="s">
        <v>8092</v>
      </c>
      <c r="AA441" s="1"/>
      <c r="AB441" s="1"/>
      <c r="AC441" s="1" t="s">
        <v>8093</v>
      </c>
      <c r="AD441" s="1" t="s">
        <v>8094</v>
      </c>
      <c r="AE441" s="1" t="s">
        <v>8095</v>
      </c>
      <c r="AF441" s="1"/>
      <c r="AG441" s="1" t="n">
        <v>36</v>
      </c>
      <c r="AH441" s="1" t="n">
        <v>0</v>
      </c>
      <c r="AI441" s="1" t="n">
        <v>0</v>
      </c>
      <c r="AJ441" s="1" t="n">
        <v>2</v>
      </c>
      <c r="AK441" s="1" t="n">
        <v>2</v>
      </c>
      <c r="AL441" s="1" t="s">
        <v>679</v>
      </c>
      <c r="AM441" s="1" t="s">
        <v>680</v>
      </c>
      <c r="AN441" s="1" t="s">
        <v>681</v>
      </c>
      <c r="AO441" s="1" t="s">
        <v>8096</v>
      </c>
      <c r="AP441" s="1" t="s">
        <v>8097</v>
      </c>
      <c r="AQ441" s="1"/>
      <c r="AR441" s="1" t="s">
        <v>8098</v>
      </c>
      <c r="AS441" s="1" t="s">
        <v>8099</v>
      </c>
      <c r="AT441" s="1" t="s">
        <v>537</v>
      </c>
      <c r="AU441" s="1" t="n">
        <v>2025</v>
      </c>
      <c r="AV441" s="1" t="n">
        <v>33</v>
      </c>
      <c r="AW441" s="1" t="n">
        <v>1</v>
      </c>
      <c r="AX441" s="1"/>
      <c r="AY441" s="1"/>
      <c r="AZ441" s="1"/>
      <c r="BA441" s="1"/>
      <c r="BB441" s="1"/>
      <c r="BC441" s="1"/>
      <c r="BD441" s="1" t="n">
        <v>5</v>
      </c>
      <c r="BE441" s="1" t="s">
        <v>8100</v>
      </c>
      <c r="BF441" s="1" t="str">
        <f aca="false">HYPERLINK("http://dx.doi.org/10.1007/s10485-024-09795-8","http://dx.doi.org/10.1007/s10485-024-09795-8")</f>
        <v>http://dx.doi.org/10.1007/s10485-024-09795-8</v>
      </c>
      <c r="BG441" s="1"/>
      <c r="BH441" s="1"/>
      <c r="BI441" s="1" t="n">
        <v>23</v>
      </c>
      <c r="BJ441" s="1" t="s">
        <v>280</v>
      </c>
      <c r="BK441" s="1" t="s">
        <v>204</v>
      </c>
      <c r="BL441" s="1" t="s">
        <v>280</v>
      </c>
      <c r="BM441" s="1" t="s">
        <v>8101</v>
      </c>
      <c r="BN441" s="1"/>
      <c r="BO441" s="1" t="s">
        <v>282</v>
      </c>
      <c r="BP441" s="1"/>
      <c r="BQ441" s="1"/>
      <c r="BR441" s="1" t="s">
        <v>103</v>
      </c>
      <c r="BS441" s="1" t="s">
        <v>8102</v>
      </c>
      <c r="BT441" s="1" t="str">
        <f aca="false">HYPERLINK("https%3A%2F%2Fwww.webofscience.com%2Fwos%2Fwoscc%2Ffull-record%2FWOS:001379547600001","View Full Record in Web of Science")</f>
        <v>View Full Record in Web of Science</v>
      </c>
    </row>
    <row r="442" customFormat="false" ht="12.75" hidden="false" customHeight="false" outlineLevel="0" collapsed="false">
      <c r="A442" s="1" t="s">
        <v>181</v>
      </c>
      <c r="B442" s="1" t="s">
        <v>8103</v>
      </c>
      <c r="C442" s="1"/>
      <c r="D442" s="1"/>
      <c r="E442" s="1"/>
      <c r="F442" s="1" t="s">
        <v>8104</v>
      </c>
      <c r="G442" s="1"/>
      <c r="H442" s="1"/>
      <c r="I442" s="1" t="s">
        <v>8105</v>
      </c>
      <c r="J442" s="1" t="s">
        <v>8106</v>
      </c>
      <c r="K442" s="1"/>
      <c r="L442" s="1"/>
      <c r="M442" s="1" t="s">
        <v>78</v>
      </c>
      <c r="N442" s="1" t="s">
        <v>186</v>
      </c>
      <c r="O442" s="1"/>
      <c r="P442" s="1"/>
      <c r="Q442" s="1"/>
      <c r="R442" s="1"/>
      <c r="S442" s="1"/>
      <c r="T442" s="1" t="s">
        <v>8107</v>
      </c>
      <c r="U442" s="1" t="s">
        <v>8108</v>
      </c>
      <c r="V442" s="1" t="s">
        <v>8109</v>
      </c>
      <c r="W442" s="1" t="s">
        <v>8110</v>
      </c>
      <c r="X442" s="1" t="s">
        <v>8111</v>
      </c>
      <c r="Y442" s="1" t="s">
        <v>8112</v>
      </c>
      <c r="Z442" s="1" t="s">
        <v>8113</v>
      </c>
      <c r="AA442" s="1" t="s">
        <v>8114</v>
      </c>
      <c r="AB442" s="1"/>
      <c r="AC442" s="1" t="s">
        <v>8115</v>
      </c>
      <c r="AD442" s="1" t="s">
        <v>8116</v>
      </c>
      <c r="AE442" s="1" t="s">
        <v>8117</v>
      </c>
      <c r="AF442" s="1"/>
      <c r="AG442" s="1" t="n">
        <v>45</v>
      </c>
      <c r="AH442" s="1" t="n">
        <v>0</v>
      </c>
      <c r="AI442" s="1" t="n">
        <v>0</v>
      </c>
      <c r="AJ442" s="1" t="n">
        <v>1</v>
      </c>
      <c r="AK442" s="1" t="n">
        <v>1</v>
      </c>
      <c r="AL442" s="1" t="s">
        <v>893</v>
      </c>
      <c r="AM442" s="1" t="s">
        <v>894</v>
      </c>
      <c r="AN442" s="1" t="s">
        <v>895</v>
      </c>
      <c r="AO442" s="1" t="s">
        <v>8118</v>
      </c>
      <c r="AP442" s="1" t="s">
        <v>8119</v>
      </c>
      <c r="AQ442" s="1"/>
      <c r="AR442" s="1" t="s">
        <v>8120</v>
      </c>
      <c r="AS442" s="1" t="s">
        <v>8121</v>
      </c>
      <c r="AT442" s="1" t="s">
        <v>537</v>
      </c>
      <c r="AU442" s="1" t="n">
        <v>2025</v>
      </c>
      <c r="AV442" s="1" t="n">
        <v>258</v>
      </c>
      <c r="AW442" s="1"/>
      <c r="AX442" s="1"/>
      <c r="AY442" s="1"/>
      <c r="AZ442" s="1"/>
      <c r="BA442" s="1"/>
      <c r="BB442" s="1"/>
      <c r="BC442" s="1"/>
      <c r="BD442" s="1" t="n">
        <v>111025</v>
      </c>
      <c r="BE442" s="1" t="s">
        <v>8122</v>
      </c>
      <c r="BF442" s="1" t="str">
        <f aca="false">HYPERLINK("http://dx.doi.org/10.1016/j.comnet.2024.111025","http://dx.doi.org/10.1016/j.comnet.2024.111025")</f>
        <v>http://dx.doi.org/10.1016/j.comnet.2024.111025</v>
      </c>
      <c r="BG442" s="1"/>
      <c r="BH442" s="1"/>
      <c r="BI442" s="1" t="n">
        <v>18</v>
      </c>
      <c r="BJ442" s="1" t="s">
        <v>8123</v>
      </c>
      <c r="BK442" s="1" t="s">
        <v>204</v>
      </c>
      <c r="BL442" s="1" t="s">
        <v>1118</v>
      </c>
      <c r="BM442" s="1" t="s">
        <v>8124</v>
      </c>
      <c r="BN442" s="1"/>
      <c r="BO442" s="1"/>
      <c r="BP442" s="1"/>
      <c r="BQ442" s="1"/>
      <c r="BR442" s="1" t="s">
        <v>103</v>
      </c>
      <c r="BS442" s="1" t="s">
        <v>8125</v>
      </c>
      <c r="BT442" s="1" t="str">
        <f aca="false">HYPERLINK("https%3A%2F%2Fwww.webofscience.com%2Fwos%2Fwoscc%2Ffull-record%2FWOS:001399345900001","View Full Record in Web of Science")</f>
        <v>View Full Record in Web of Science</v>
      </c>
    </row>
    <row r="443" customFormat="false" ht="12.75" hidden="false" customHeight="false" outlineLevel="0" collapsed="false">
      <c r="A443" s="1" t="s">
        <v>72</v>
      </c>
      <c r="B443" s="1" t="s">
        <v>5027</v>
      </c>
      <c r="C443" s="1"/>
      <c r="D443" s="1" t="s">
        <v>8126</v>
      </c>
      <c r="E443" s="1"/>
      <c r="F443" s="1" t="s">
        <v>5029</v>
      </c>
      <c r="G443" s="1"/>
      <c r="H443" s="1"/>
      <c r="I443" s="1" t="s">
        <v>8127</v>
      </c>
      <c r="J443" s="1" t="s">
        <v>8128</v>
      </c>
      <c r="K443" s="1" t="s">
        <v>498</v>
      </c>
      <c r="L443" s="1"/>
      <c r="M443" s="1" t="s">
        <v>78</v>
      </c>
      <c r="N443" s="1" t="s">
        <v>79</v>
      </c>
      <c r="O443" s="1" t="s">
        <v>5032</v>
      </c>
      <c r="P443" s="1" t="s">
        <v>5033</v>
      </c>
      <c r="Q443" s="1" t="s">
        <v>4310</v>
      </c>
      <c r="R443" s="1"/>
      <c r="S443" s="1"/>
      <c r="T443" s="1" t="s">
        <v>8129</v>
      </c>
      <c r="U443" s="1" t="s">
        <v>8130</v>
      </c>
      <c r="V443" s="1" t="s">
        <v>8131</v>
      </c>
      <c r="W443" s="1" t="s">
        <v>5037</v>
      </c>
      <c r="X443" s="1" t="s">
        <v>4095</v>
      </c>
      <c r="Y443" s="1" t="s">
        <v>5038</v>
      </c>
      <c r="Z443" s="1" t="s">
        <v>5039</v>
      </c>
      <c r="AA443" s="1" t="s">
        <v>4185</v>
      </c>
      <c r="AB443" s="1" t="s">
        <v>4099</v>
      </c>
      <c r="AC443" s="1" t="s">
        <v>8132</v>
      </c>
      <c r="AD443" s="1" t="s">
        <v>8133</v>
      </c>
      <c r="AE443" s="1" t="s">
        <v>8134</v>
      </c>
      <c r="AF443" s="1"/>
      <c r="AG443" s="1" t="n">
        <v>12</v>
      </c>
      <c r="AH443" s="1" t="n">
        <v>1</v>
      </c>
      <c r="AI443" s="1" t="n">
        <v>1</v>
      </c>
      <c r="AJ443" s="1" t="n">
        <v>9</v>
      </c>
      <c r="AK443" s="1" t="n">
        <v>9</v>
      </c>
      <c r="AL443" s="1" t="s">
        <v>302</v>
      </c>
      <c r="AM443" s="1" t="s">
        <v>303</v>
      </c>
      <c r="AN443" s="1" t="s">
        <v>304</v>
      </c>
      <c r="AO443" s="1" t="s">
        <v>512</v>
      </c>
      <c r="AP443" s="1" t="s">
        <v>513</v>
      </c>
      <c r="AQ443" s="1" t="s">
        <v>8135</v>
      </c>
      <c r="AR443" s="1" t="s">
        <v>515</v>
      </c>
      <c r="AS443" s="1"/>
      <c r="AT443" s="1"/>
      <c r="AU443" s="1" t="n">
        <v>2024</v>
      </c>
      <c r="AV443" s="1" t="n">
        <v>489</v>
      </c>
      <c r="AW443" s="1"/>
      <c r="AX443" s="1"/>
      <c r="AY443" s="1"/>
      <c r="AZ443" s="1"/>
      <c r="BA443" s="1"/>
      <c r="BB443" s="1" t="n">
        <v>149</v>
      </c>
      <c r="BC443" s="1" t="n">
        <v>158</v>
      </c>
      <c r="BD443" s="1"/>
      <c r="BE443" s="1" t="s">
        <v>8136</v>
      </c>
      <c r="BF443" s="1" t="str">
        <f aca="false">HYPERLINK("http://dx.doi.org/10.1007/978-3-031-48550-3_15","http://dx.doi.org/10.1007/978-3-031-48550-3_15")</f>
        <v>http://dx.doi.org/10.1007/978-3-031-48550-3_15</v>
      </c>
      <c r="BG443" s="1"/>
      <c r="BH443" s="1"/>
      <c r="BI443" s="1" t="n">
        <v>10</v>
      </c>
      <c r="BJ443" s="1" t="s">
        <v>517</v>
      </c>
      <c r="BK443" s="1" t="s">
        <v>100</v>
      </c>
      <c r="BL443" s="1" t="s">
        <v>101</v>
      </c>
      <c r="BM443" s="1" t="s">
        <v>8137</v>
      </c>
      <c r="BN443" s="1"/>
      <c r="BO443" s="1"/>
      <c r="BP443" s="1"/>
      <c r="BQ443" s="1"/>
      <c r="BR443" s="1" t="s">
        <v>103</v>
      </c>
      <c r="BS443" s="1" t="s">
        <v>8138</v>
      </c>
      <c r="BT443" s="1" t="str">
        <f aca="false">HYPERLINK("https%3A%2F%2Fwww.webofscience.com%2Fwos%2Fwoscc%2Ffull-record%2FWOS:001290448500016","View Full Record in Web of Science")</f>
        <v>View Full Record in Web of Science</v>
      </c>
    </row>
    <row r="444" customFormat="false" ht="12.75" hidden="false" customHeight="false" outlineLevel="0" collapsed="false">
      <c r="A444" s="1" t="s">
        <v>181</v>
      </c>
      <c r="B444" s="1" t="s">
        <v>8139</v>
      </c>
      <c r="C444" s="1"/>
      <c r="D444" s="1"/>
      <c r="E444" s="1"/>
      <c r="F444" s="1" t="s">
        <v>8140</v>
      </c>
      <c r="G444" s="1"/>
      <c r="H444" s="1"/>
      <c r="I444" s="1" t="s">
        <v>8141</v>
      </c>
      <c r="J444" s="1" t="s">
        <v>3668</v>
      </c>
      <c r="K444" s="1"/>
      <c r="L444" s="1"/>
      <c r="M444" s="1" t="s">
        <v>78</v>
      </c>
      <c r="N444" s="1" t="s">
        <v>186</v>
      </c>
      <c r="O444" s="1"/>
      <c r="P444" s="1"/>
      <c r="Q444" s="1"/>
      <c r="R444" s="1"/>
      <c r="S444" s="1"/>
      <c r="T444" s="1" t="s">
        <v>8142</v>
      </c>
      <c r="U444" s="1" t="s">
        <v>8143</v>
      </c>
      <c r="V444" s="1" t="s">
        <v>8144</v>
      </c>
      <c r="W444" s="1" t="s">
        <v>8145</v>
      </c>
      <c r="X444" s="1" t="s">
        <v>86</v>
      </c>
      <c r="Y444" s="1" t="s">
        <v>8146</v>
      </c>
      <c r="Z444" s="1" t="s">
        <v>8147</v>
      </c>
      <c r="AA444" s="1"/>
      <c r="AB444" s="1" t="s">
        <v>8148</v>
      </c>
      <c r="AC444" s="1"/>
      <c r="AD444" s="1"/>
      <c r="AE444" s="1"/>
      <c r="AF444" s="1"/>
      <c r="AG444" s="1" t="n">
        <v>61</v>
      </c>
      <c r="AH444" s="1" t="n">
        <v>4</v>
      </c>
      <c r="AI444" s="1" t="n">
        <v>4</v>
      </c>
      <c r="AJ444" s="1" t="n">
        <v>8</v>
      </c>
      <c r="AK444" s="1" t="n">
        <v>22</v>
      </c>
      <c r="AL444" s="1" t="s">
        <v>893</v>
      </c>
      <c r="AM444" s="1" t="s">
        <v>894</v>
      </c>
      <c r="AN444" s="1" t="s">
        <v>895</v>
      </c>
      <c r="AO444" s="1" t="s">
        <v>3675</v>
      </c>
      <c r="AP444" s="1"/>
      <c r="AQ444" s="1"/>
      <c r="AR444" s="1" t="s">
        <v>3676</v>
      </c>
      <c r="AS444" s="1" t="s">
        <v>3677</v>
      </c>
      <c r="AT444" s="1" t="s">
        <v>474</v>
      </c>
      <c r="AU444" s="1" t="n">
        <v>2023</v>
      </c>
      <c r="AV444" s="1" t="n">
        <v>79</v>
      </c>
      <c r="AW444" s="1"/>
      <c r="AX444" s="1"/>
      <c r="AY444" s="1"/>
      <c r="AZ444" s="1"/>
      <c r="BA444" s="1"/>
      <c r="BB444" s="1" t="n">
        <v>942</v>
      </c>
      <c r="BC444" s="1" t="n">
        <v>966</v>
      </c>
      <c r="BD444" s="1"/>
      <c r="BE444" s="1" t="s">
        <v>8149</v>
      </c>
      <c r="BF444" s="1" t="str">
        <f aca="false">HYPERLINK("http://dx.doi.org/10.1016/j.eap.2023.07.005","http://dx.doi.org/10.1016/j.eap.2023.07.005")</f>
        <v>http://dx.doi.org/10.1016/j.eap.2023.07.005</v>
      </c>
      <c r="BG444" s="1"/>
      <c r="BH444" s="1" t="s">
        <v>3898</v>
      </c>
      <c r="BI444" s="1" t="n">
        <v>25</v>
      </c>
      <c r="BJ444" s="1" t="s">
        <v>3680</v>
      </c>
      <c r="BK444" s="1" t="s">
        <v>610</v>
      </c>
      <c r="BL444" s="1" t="s">
        <v>715</v>
      </c>
      <c r="BM444" s="1" t="s">
        <v>8150</v>
      </c>
      <c r="BN444" s="1"/>
      <c r="BO444" s="1"/>
      <c r="BP444" s="1"/>
      <c r="BQ444" s="1"/>
      <c r="BR444" s="1" t="s">
        <v>103</v>
      </c>
      <c r="BS444" s="1" t="s">
        <v>8151</v>
      </c>
      <c r="BT444" s="1" t="str">
        <f aca="false">HYPERLINK("https%3A%2F%2Fwww.webofscience.com%2Fwos%2Fwoscc%2Ffull-record%2FWOS:001051425800001","View Full Record in Web of Science")</f>
        <v>View Full Record in Web of Science</v>
      </c>
    </row>
    <row r="445" customFormat="false" ht="12.75" hidden="false" customHeight="false" outlineLevel="0" collapsed="false">
      <c r="A445" s="1" t="s">
        <v>181</v>
      </c>
      <c r="B445" s="1" t="s">
        <v>8152</v>
      </c>
      <c r="C445" s="1"/>
      <c r="D445" s="1"/>
      <c r="E445" s="1"/>
      <c r="F445" s="1" t="s">
        <v>8153</v>
      </c>
      <c r="G445" s="1"/>
      <c r="H445" s="1"/>
      <c r="I445" s="1" t="s">
        <v>8154</v>
      </c>
      <c r="J445" s="1" t="s">
        <v>8155</v>
      </c>
      <c r="K445" s="1"/>
      <c r="L445" s="1"/>
      <c r="M445" s="1" t="s">
        <v>78</v>
      </c>
      <c r="N445" s="1" t="s">
        <v>618</v>
      </c>
      <c r="O445" s="1"/>
      <c r="P445" s="1"/>
      <c r="Q445" s="1"/>
      <c r="R445" s="1"/>
      <c r="S445" s="1"/>
      <c r="T445" s="1" t="s">
        <v>8156</v>
      </c>
      <c r="U445" s="1" t="s">
        <v>8157</v>
      </c>
      <c r="V445" s="1" t="s">
        <v>8158</v>
      </c>
      <c r="W445" s="1" t="s">
        <v>8159</v>
      </c>
      <c r="X445" s="1" t="s">
        <v>912</v>
      </c>
      <c r="Y445" s="1" t="s">
        <v>8160</v>
      </c>
      <c r="Z445" s="1" t="s">
        <v>8161</v>
      </c>
      <c r="AA445" s="1" t="s">
        <v>8162</v>
      </c>
      <c r="AB445" s="1" t="s">
        <v>8163</v>
      </c>
      <c r="AC445" s="1" t="s">
        <v>8164</v>
      </c>
      <c r="AD445" s="1" t="s">
        <v>8164</v>
      </c>
      <c r="AE445" s="1" t="s">
        <v>8165</v>
      </c>
      <c r="AF445" s="1"/>
      <c r="AG445" s="1" t="n">
        <v>147</v>
      </c>
      <c r="AH445" s="1" t="n">
        <v>8</v>
      </c>
      <c r="AI445" s="1" t="n">
        <v>8</v>
      </c>
      <c r="AJ445" s="1" t="n">
        <v>7</v>
      </c>
      <c r="AK445" s="1" t="n">
        <v>71</v>
      </c>
      <c r="AL445" s="1" t="s">
        <v>679</v>
      </c>
      <c r="AM445" s="1" t="s">
        <v>95</v>
      </c>
      <c r="AN445" s="1" t="s">
        <v>803</v>
      </c>
      <c r="AO445" s="1" t="s">
        <v>8166</v>
      </c>
      <c r="AP445" s="1" t="s">
        <v>8167</v>
      </c>
      <c r="AQ445" s="1"/>
      <c r="AR445" s="1" t="s">
        <v>8168</v>
      </c>
      <c r="AS445" s="1" t="s">
        <v>8169</v>
      </c>
      <c r="AT445" s="1" t="s">
        <v>8170</v>
      </c>
      <c r="AU445" s="1" t="n">
        <v>2022</v>
      </c>
      <c r="AV445" s="1" t="n">
        <v>2022</v>
      </c>
      <c r="AW445" s="1" t="n">
        <v>1</v>
      </c>
      <c r="AX445" s="1"/>
      <c r="AY445" s="1"/>
      <c r="AZ445" s="1"/>
      <c r="BA445" s="1"/>
      <c r="BB445" s="1"/>
      <c r="BC445" s="1"/>
      <c r="BD445" s="1" t="n">
        <v>1</v>
      </c>
      <c r="BE445" s="1" t="s">
        <v>8171</v>
      </c>
      <c r="BF445" s="1" t="str">
        <f aca="false">HYPERLINK("http://dx.doi.org/10.1186/s13640-021-00578-y","http://dx.doi.org/10.1186/s13640-021-00578-y")</f>
        <v>http://dx.doi.org/10.1186/s13640-021-00578-y</v>
      </c>
      <c r="BG445" s="1"/>
      <c r="BH445" s="1"/>
      <c r="BI445" s="1" t="n">
        <v>31</v>
      </c>
      <c r="BJ445" s="1" t="s">
        <v>8172</v>
      </c>
      <c r="BK445" s="1" t="s">
        <v>204</v>
      </c>
      <c r="BL445" s="1" t="s">
        <v>8173</v>
      </c>
      <c r="BM445" s="1" t="s">
        <v>8174</v>
      </c>
      <c r="BN445" s="1"/>
      <c r="BO445" s="1" t="s">
        <v>642</v>
      </c>
      <c r="BP445" s="1"/>
      <c r="BQ445" s="1"/>
      <c r="BR445" s="1" t="s">
        <v>103</v>
      </c>
      <c r="BS445" s="1" t="s">
        <v>8175</v>
      </c>
      <c r="BT445" s="1" t="str">
        <f aca="false">HYPERLINK("https%3A%2F%2Fwww.webofscience.com%2Fwos%2Fwoscc%2Ffull-record%2FWOS:000742003800001","View Full Record in Web of Science")</f>
        <v>View Full Record in Web of Science</v>
      </c>
    </row>
    <row r="446" customFormat="false" ht="12.75" hidden="false" customHeight="false" outlineLevel="0" collapsed="false">
      <c r="A446" s="1" t="s">
        <v>181</v>
      </c>
      <c r="B446" s="1" t="s">
        <v>8176</v>
      </c>
      <c r="C446" s="1"/>
      <c r="D446" s="1"/>
      <c r="E446" s="1"/>
      <c r="F446" s="1" t="s">
        <v>8177</v>
      </c>
      <c r="G446" s="1"/>
      <c r="H446" s="1"/>
      <c r="I446" s="1" t="s">
        <v>8178</v>
      </c>
      <c r="J446" s="1" t="s">
        <v>3481</v>
      </c>
      <c r="K446" s="1"/>
      <c r="L446" s="1"/>
      <c r="M446" s="1" t="s">
        <v>78</v>
      </c>
      <c r="N446" s="1" t="s">
        <v>186</v>
      </c>
      <c r="O446" s="1"/>
      <c r="P446" s="1"/>
      <c r="Q446" s="1"/>
      <c r="R446" s="1"/>
      <c r="S446" s="1"/>
      <c r="T446" s="1" t="s">
        <v>8179</v>
      </c>
      <c r="U446" s="1" t="s">
        <v>8180</v>
      </c>
      <c r="V446" s="1" t="s">
        <v>8181</v>
      </c>
      <c r="W446" s="1" t="s">
        <v>8182</v>
      </c>
      <c r="X446" s="1" t="s">
        <v>86</v>
      </c>
      <c r="Y446" s="1" t="s">
        <v>8183</v>
      </c>
      <c r="Z446" s="1" t="s">
        <v>8184</v>
      </c>
      <c r="AA446" s="1" t="s">
        <v>7092</v>
      </c>
      <c r="AB446" s="1" t="s">
        <v>7093</v>
      </c>
      <c r="AC446" s="1" t="s">
        <v>7094</v>
      </c>
      <c r="AD446" s="1" t="s">
        <v>7095</v>
      </c>
      <c r="AE446" s="1" t="s">
        <v>8185</v>
      </c>
      <c r="AF446" s="1"/>
      <c r="AG446" s="1" t="n">
        <v>64</v>
      </c>
      <c r="AH446" s="1" t="n">
        <v>6</v>
      </c>
      <c r="AI446" s="1" t="n">
        <v>6</v>
      </c>
      <c r="AJ446" s="1" t="n">
        <v>2</v>
      </c>
      <c r="AK446" s="1" t="n">
        <v>8</v>
      </c>
      <c r="AL446" s="1" t="s">
        <v>367</v>
      </c>
      <c r="AM446" s="1" t="s">
        <v>368</v>
      </c>
      <c r="AN446" s="1" t="s">
        <v>369</v>
      </c>
      <c r="AO446" s="1"/>
      <c r="AP446" s="1" t="s">
        <v>3492</v>
      </c>
      <c r="AQ446" s="1"/>
      <c r="AR446" s="1" t="s">
        <v>3493</v>
      </c>
      <c r="AS446" s="1" t="s">
        <v>3494</v>
      </c>
      <c r="AT446" s="1" t="s">
        <v>537</v>
      </c>
      <c r="AU446" s="1" t="n">
        <v>2021</v>
      </c>
      <c r="AV446" s="1" t="n">
        <v>21</v>
      </c>
      <c r="AW446" s="1" t="n">
        <v>4</v>
      </c>
      <c r="AX446" s="1"/>
      <c r="AY446" s="1"/>
      <c r="AZ446" s="1"/>
      <c r="BA446" s="1"/>
      <c r="BB446" s="1"/>
      <c r="BC446" s="1"/>
      <c r="BD446" s="1" t="n">
        <v>1464</v>
      </c>
      <c r="BE446" s="1" t="s">
        <v>8186</v>
      </c>
      <c r="BF446" s="1" t="str">
        <f aca="false">HYPERLINK("http://dx.doi.org/10.3390/s21041464","http://dx.doi.org/10.3390/s21041464")</f>
        <v>http://dx.doi.org/10.3390/s21041464</v>
      </c>
      <c r="BG446" s="1"/>
      <c r="BH446" s="1"/>
      <c r="BI446" s="1" t="n">
        <v>25</v>
      </c>
      <c r="BJ446" s="1" t="s">
        <v>3496</v>
      </c>
      <c r="BK446" s="1" t="s">
        <v>204</v>
      </c>
      <c r="BL446" s="1" t="s">
        <v>3497</v>
      </c>
      <c r="BM446" s="1" t="s">
        <v>8187</v>
      </c>
      <c r="BN446" s="1" t="n">
        <v>33672458</v>
      </c>
      <c r="BO446" s="1" t="s">
        <v>401</v>
      </c>
      <c r="BP446" s="1"/>
      <c r="BQ446" s="1"/>
      <c r="BR446" s="1" t="s">
        <v>103</v>
      </c>
      <c r="BS446" s="1" t="s">
        <v>8188</v>
      </c>
      <c r="BT446" s="1" t="str">
        <f aca="false">HYPERLINK("https%3A%2F%2Fwww.webofscience.com%2Fwos%2Fwoscc%2Ffull-record%2FWOS:000624684500001","View Full Record in Web of Science")</f>
        <v>View Full Record in Web of Science</v>
      </c>
    </row>
    <row r="447" customFormat="false" ht="12.75" hidden="false" customHeight="false" outlineLevel="0" collapsed="false">
      <c r="A447" s="1" t="s">
        <v>181</v>
      </c>
      <c r="B447" s="1" t="s">
        <v>8189</v>
      </c>
      <c r="C447" s="1"/>
      <c r="D447" s="1"/>
      <c r="E447" s="1"/>
      <c r="F447" s="1" t="s">
        <v>8190</v>
      </c>
      <c r="G447" s="1"/>
      <c r="H447" s="1"/>
      <c r="I447" s="1" t="s">
        <v>8191</v>
      </c>
      <c r="J447" s="1" t="s">
        <v>2226</v>
      </c>
      <c r="K447" s="1"/>
      <c r="L447" s="1"/>
      <c r="M447" s="1" t="s">
        <v>78</v>
      </c>
      <c r="N447" s="1" t="s">
        <v>186</v>
      </c>
      <c r="O447" s="1"/>
      <c r="P447" s="1"/>
      <c r="Q447" s="1"/>
      <c r="R447" s="1"/>
      <c r="S447" s="1"/>
      <c r="T447" s="1" t="s">
        <v>8192</v>
      </c>
      <c r="U447" s="1"/>
      <c r="V447" s="1" t="s">
        <v>8193</v>
      </c>
      <c r="W447" s="1" t="s">
        <v>8194</v>
      </c>
      <c r="X447" s="1" t="s">
        <v>8195</v>
      </c>
      <c r="Y447" s="1" t="s">
        <v>8196</v>
      </c>
      <c r="Z447" s="1" t="s">
        <v>8197</v>
      </c>
      <c r="AA447" s="1" t="s">
        <v>8198</v>
      </c>
      <c r="AB447" s="1" t="s">
        <v>8199</v>
      </c>
      <c r="AC447" s="1" t="s">
        <v>8200</v>
      </c>
      <c r="AD447" s="1" t="s">
        <v>8201</v>
      </c>
      <c r="AE447" s="1" t="s">
        <v>8202</v>
      </c>
      <c r="AF447" s="1"/>
      <c r="AG447" s="1" t="n">
        <v>49</v>
      </c>
      <c r="AH447" s="1" t="n">
        <v>2</v>
      </c>
      <c r="AI447" s="1" t="n">
        <v>2</v>
      </c>
      <c r="AJ447" s="1" t="n">
        <v>0</v>
      </c>
      <c r="AK447" s="1" t="n">
        <v>10</v>
      </c>
      <c r="AL447" s="1" t="s">
        <v>367</v>
      </c>
      <c r="AM447" s="1" t="s">
        <v>368</v>
      </c>
      <c r="AN447" s="1" t="s">
        <v>369</v>
      </c>
      <c r="AO447" s="1"/>
      <c r="AP447" s="1" t="s">
        <v>2234</v>
      </c>
      <c r="AQ447" s="1"/>
      <c r="AR447" s="1" t="s">
        <v>2235</v>
      </c>
      <c r="AS447" s="1" t="s">
        <v>2236</v>
      </c>
      <c r="AT447" s="1" t="s">
        <v>2313</v>
      </c>
      <c r="AU447" s="1" t="n">
        <v>2023</v>
      </c>
      <c r="AV447" s="1" t="n">
        <v>15</v>
      </c>
      <c r="AW447" s="1" t="n">
        <v>9</v>
      </c>
      <c r="AX447" s="1"/>
      <c r="AY447" s="1"/>
      <c r="AZ447" s="1"/>
      <c r="BA447" s="1"/>
      <c r="BB447" s="1"/>
      <c r="BC447" s="1"/>
      <c r="BD447" s="1" t="n">
        <v>2401</v>
      </c>
      <c r="BE447" s="1" t="s">
        <v>8203</v>
      </c>
      <c r="BF447" s="1" t="str">
        <f aca="false">HYPERLINK("http://dx.doi.org/10.3390/rs15092401","http://dx.doi.org/10.3390/rs15092401")</f>
        <v>http://dx.doi.org/10.3390/rs15092401</v>
      </c>
      <c r="BG447" s="1"/>
      <c r="BH447" s="1"/>
      <c r="BI447" s="1" t="n">
        <v>18</v>
      </c>
      <c r="BJ447" s="1" t="s">
        <v>2238</v>
      </c>
      <c r="BK447" s="1" t="s">
        <v>204</v>
      </c>
      <c r="BL447" s="1" t="s">
        <v>2239</v>
      </c>
      <c r="BM447" s="1" t="s">
        <v>8204</v>
      </c>
      <c r="BN447" s="1"/>
      <c r="BO447" s="1" t="s">
        <v>542</v>
      </c>
      <c r="BP447" s="1"/>
      <c r="BQ447" s="1"/>
      <c r="BR447" s="1" t="s">
        <v>103</v>
      </c>
      <c r="BS447" s="1" t="s">
        <v>8205</v>
      </c>
      <c r="BT447" s="1" t="str">
        <f aca="false">HYPERLINK("https%3A%2F%2Fwww.webofscience.com%2Fwos%2Fwoscc%2Ffull-record%2FWOS:000988128500001","View Full Record in Web of Science")</f>
        <v>View Full Record in Web of Science</v>
      </c>
    </row>
    <row r="448" customFormat="false" ht="12.75" hidden="false" customHeight="false" outlineLevel="0" collapsed="false">
      <c r="A448" s="1" t="s">
        <v>181</v>
      </c>
      <c r="B448" s="1" t="s">
        <v>8206</v>
      </c>
      <c r="C448" s="1"/>
      <c r="D448" s="1"/>
      <c r="E448" s="1"/>
      <c r="F448" s="1" t="s">
        <v>8207</v>
      </c>
      <c r="G448" s="1"/>
      <c r="H448" s="1"/>
      <c r="I448" s="1" t="s">
        <v>8208</v>
      </c>
      <c r="J448" s="1" t="s">
        <v>8209</v>
      </c>
      <c r="K448" s="1"/>
      <c r="L448" s="1"/>
      <c r="M448" s="1" t="s">
        <v>78</v>
      </c>
      <c r="N448" s="1" t="s">
        <v>186</v>
      </c>
      <c r="O448" s="1"/>
      <c r="P448" s="1"/>
      <c r="Q448" s="1"/>
      <c r="R448" s="1"/>
      <c r="S448" s="1"/>
      <c r="T448" s="1" t="s">
        <v>8210</v>
      </c>
      <c r="U448" s="1" t="s">
        <v>8211</v>
      </c>
      <c r="V448" s="1" t="s">
        <v>8212</v>
      </c>
      <c r="W448" s="1" t="s">
        <v>8213</v>
      </c>
      <c r="X448" s="1" t="s">
        <v>6264</v>
      </c>
      <c r="Y448" s="1" t="s">
        <v>8214</v>
      </c>
      <c r="Z448" s="1" t="s">
        <v>8215</v>
      </c>
      <c r="AA448" s="1" t="s">
        <v>595</v>
      </c>
      <c r="AB448" s="1" t="s">
        <v>8216</v>
      </c>
      <c r="AC448" s="1" t="s">
        <v>3226</v>
      </c>
      <c r="AD448" s="1" t="s">
        <v>3226</v>
      </c>
      <c r="AE448" s="1" t="s">
        <v>8217</v>
      </c>
      <c r="AF448" s="1"/>
      <c r="AG448" s="1" t="n">
        <v>50</v>
      </c>
      <c r="AH448" s="1" t="n">
        <v>13</v>
      </c>
      <c r="AI448" s="1" t="n">
        <v>13</v>
      </c>
      <c r="AJ448" s="1" t="n">
        <v>2</v>
      </c>
      <c r="AK448" s="1" t="n">
        <v>21</v>
      </c>
      <c r="AL448" s="1" t="s">
        <v>8218</v>
      </c>
      <c r="AM448" s="1" t="s">
        <v>1908</v>
      </c>
      <c r="AN448" s="1" t="s">
        <v>8219</v>
      </c>
      <c r="AO448" s="1"/>
      <c r="AP448" s="1" t="s">
        <v>8220</v>
      </c>
      <c r="AQ448" s="1"/>
      <c r="AR448" s="1" t="s">
        <v>8221</v>
      </c>
      <c r="AS448" s="1" t="s">
        <v>8222</v>
      </c>
      <c r="AT448" s="1" t="s">
        <v>8223</v>
      </c>
      <c r="AU448" s="1" t="n">
        <v>2023</v>
      </c>
      <c r="AV448" s="1" t="n">
        <v>23</v>
      </c>
      <c r="AW448" s="1" t="n">
        <v>1</v>
      </c>
      <c r="AX448" s="1"/>
      <c r="AY448" s="1"/>
      <c r="AZ448" s="1"/>
      <c r="BA448" s="1"/>
      <c r="BB448" s="1"/>
      <c r="BC448" s="1"/>
      <c r="BD448" s="1" t="n">
        <v>5</v>
      </c>
      <c r="BE448" s="1" t="s">
        <v>8224</v>
      </c>
      <c r="BF448" s="1" t="str">
        <f aca="false">HYPERLINK("http://dx.doi.org/10.1186/s12877-022-03723-y","http://dx.doi.org/10.1186/s12877-022-03723-y")</f>
        <v>http://dx.doi.org/10.1186/s12877-022-03723-y</v>
      </c>
      <c r="BG448" s="1"/>
      <c r="BH448" s="1"/>
      <c r="BI448" s="1" t="n">
        <v>11</v>
      </c>
      <c r="BJ448" s="1" t="s">
        <v>7684</v>
      </c>
      <c r="BK448" s="1" t="s">
        <v>398</v>
      </c>
      <c r="BL448" s="1" t="s">
        <v>2038</v>
      </c>
      <c r="BM448" s="1" t="s">
        <v>8225</v>
      </c>
      <c r="BN448" s="1" t="n">
        <v>36597040</v>
      </c>
      <c r="BO448" s="1" t="s">
        <v>401</v>
      </c>
      <c r="BP448" s="1"/>
      <c r="BQ448" s="1"/>
      <c r="BR448" s="1" t="s">
        <v>103</v>
      </c>
      <c r="BS448" s="1" t="s">
        <v>8226</v>
      </c>
      <c r="BT448" s="1" t="str">
        <f aca="false">HYPERLINK("https%3A%2F%2Fwww.webofscience.com%2Fwos%2Fwoscc%2Ffull-record%2FWOS:000907115400001","View Full Record in Web of Science")</f>
        <v>View Full Record in Web of Science</v>
      </c>
    </row>
    <row r="449" customFormat="false" ht="12.75" hidden="false" customHeight="false" outlineLevel="0" collapsed="false">
      <c r="A449" s="1" t="s">
        <v>72</v>
      </c>
      <c r="B449" s="1" t="s">
        <v>8227</v>
      </c>
      <c r="C449" s="1"/>
      <c r="D449" s="1" t="s">
        <v>8228</v>
      </c>
      <c r="E449" s="1"/>
      <c r="F449" s="1" t="s">
        <v>8229</v>
      </c>
      <c r="G449" s="1"/>
      <c r="H449" s="1"/>
      <c r="I449" s="1" t="s">
        <v>8230</v>
      </c>
      <c r="J449" s="1" t="s">
        <v>8231</v>
      </c>
      <c r="K449" s="1" t="s">
        <v>289</v>
      </c>
      <c r="L449" s="1"/>
      <c r="M449" s="1" t="s">
        <v>78</v>
      </c>
      <c r="N449" s="1" t="s">
        <v>79</v>
      </c>
      <c r="O449" s="1" t="s">
        <v>8232</v>
      </c>
      <c r="P449" s="1" t="s">
        <v>8233</v>
      </c>
      <c r="Q449" s="1" t="s">
        <v>8234</v>
      </c>
      <c r="R449" s="1" t="s">
        <v>8235</v>
      </c>
      <c r="S449" s="1"/>
      <c r="T449" s="1" t="s">
        <v>8236</v>
      </c>
      <c r="U449" s="1"/>
      <c r="V449" s="1" t="s">
        <v>8237</v>
      </c>
      <c r="W449" s="1" t="s">
        <v>8238</v>
      </c>
      <c r="X449" s="1" t="s">
        <v>5680</v>
      </c>
      <c r="Y449" s="1" t="s">
        <v>8239</v>
      </c>
      <c r="Z449" s="1" t="s">
        <v>5682</v>
      </c>
      <c r="AA449" s="1" t="s">
        <v>8240</v>
      </c>
      <c r="AB449" s="1" t="s">
        <v>8241</v>
      </c>
      <c r="AC449" s="1"/>
      <c r="AD449" s="1"/>
      <c r="AE449" s="1"/>
      <c r="AF449" s="1"/>
      <c r="AG449" s="1" t="n">
        <v>10</v>
      </c>
      <c r="AH449" s="1" t="n">
        <v>3</v>
      </c>
      <c r="AI449" s="1" t="n">
        <v>3</v>
      </c>
      <c r="AJ449" s="1" t="n">
        <v>2</v>
      </c>
      <c r="AK449" s="1" t="n">
        <v>15</v>
      </c>
      <c r="AL449" s="1" t="s">
        <v>302</v>
      </c>
      <c r="AM449" s="1" t="s">
        <v>303</v>
      </c>
      <c r="AN449" s="1" t="s">
        <v>304</v>
      </c>
      <c r="AO449" s="1" t="s">
        <v>305</v>
      </c>
      <c r="AP449" s="1" t="s">
        <v>306</v>
      </c>
      <c r="AQ449" s="1" t="s">
        <v>8242</v>
      </c>
      <c r="AR449" s="1" t="s">
        <v>308</v>
      </c>
      <c r="AS449" s="1"/>
      <c r="AT449" s="1"/>
      <c r="AU449" s="1" t="n">
        <v>2020</v>
      </c>
      <c r="AV449" s="1" t="n">
        <v>592</v>
      </c>
      <c r="AW449" s="1"/>
      <c r="AX449" s="1"/>
      <c r="AY449" s="1"/>
      <c r="AZ449" s="1"/>
      <c r="BA449" s="1"/>
      <c r="BB449" s="1" t="n">
        <v>314</v>
      </c>
      <c r="BC449" s="1" t="n">
        <v>321</v>
      </c>
      <c r="BD449" s="1"/>
      <c r="BE449" s="1" t="s">
        <v>8243</v>
      </c>
      <c r="BF449" s="1" t="str">
        <f aca="false">HYPERLINK("http://dx.doi.org/10.1007/978-3-030-57997-5_37","http://dx.doi.org/10.1007/978-3-030-57997-5_37")</f>
        <v>http://dx.doi.org/10.1007/978-3-030-57997-5_37</v>
      </c>
      <c r="BG449" s="1"/>
      <c r="BH449" s="1"/>
      <c r="BI449" s="1" t="n">
        <v>8</v>
      </c>
      <c r="BJ449" s="1" t="s">
        <v>2210</v>
      </c>
      <c r="BK449" s="1" t="s">
        <v>100</v>
      </c>
      <c r="BL449" s="1" t="s">
        <v>311</v>
      </c>
      <c r="BM449" s="1" t="s">
        <v>8244</v>
      </c>
      <c r="BN449" s="1"/>
      <c r="BO449" s="1"/>
      <c r="BP449" s="1"/>
      <c r="BQ449" s="1"/>
      <c r="BR449" s="1" t="s">
        <v>103</v>
      </c>
      <c r="BS449" s="1" t="s">
        <v>8245</v>
      </c>
      <c r="BT449" s="1" t="str">
        <f aca="false">HYPERLINK("https%3A%2F%2Fwww.webofscience.com%2Fwos%2Fwoscc%2Ffull-record%2FWOS:000681218300037","View Full Record in Web of Science")</f>
        <v>View Full Record in Web of Science</v>
      </c>
    </row>
    <row r="450" customFormat="false" ht="12.75" hidden="false" customHeight="false" outlineLevel="0" collapsed="false">
      <c r="A450" s="1" t="s">
        <v>72</v>
      </c>
      <c r="B450" s="1" t="s">
        <v>8246</v>
      </c>
      <c r="C450" s="1"/>
      <c r="D450" s="1" t="s">
        <v>5243</v>
      </c>
      <c r="E450" s="1"/>
      <c r="F450" s="1" t="s">
        <v>8247</v>
      </c>
      <c r="G450" s="1"/>
      <c r="H450" s="1"/>
      <c r="I450" s="1" t="s">
        <v>8248</v>
      </c>
      <c r="J450" s="1" t="s">
        <v>5246</v>
      </c>
      <c r="K450" s="1" t="s">
        <v>5153</v>
      </c>
      <c r="L450" s="1"/>
      <c r="M450" s="1" t="s">
        <v>78</v>
      </c>
      <c r="N450" s="1" t="s">
        <v>79</v>
      </c>
      <c r="O450" s="1" t="s">
        <v>5247</v>
      </c>
      <c r="P450" s="1" t="s">
        <v>5248</v>
      </c>
      <c r="Q450" s="1" t="s">
        <v>82</v>
      </c>
      <c r="R450" s="1" t="s">
        <v>5249</v>
      </c>
      <c r="S450" s="1"/>
      <c r="T450" s="1"/>
      <c r="U450" s="1"/>
      <c r="V450" s="1" t="s">
        <v>8249</v>
      </c>
      <c r="W450" s="1" t="s">
        <v>8250</v>
      </c>
      <c r="X450" s="1" t="s">
        <v>86</v>
      </c>
      <c r="Y450" s="1" t="s">
        <v>5252</v>
      </c>
      <c r="Z450" s="1" t="s">
        <v>5253</v>
      </c>
      <c r="AA450" s="1" t="s">
        <v>5254</v>
      </c>
      <c r="AB450" s="1"/>
      <c r="AC450" s="1" t="s">
        <v>8251</v>
      </c>
      <c r="AD450" s="1" t="s">
        <v>8252</v>
      </c>
      <c r="AE450" s="1" t="s">
        <v>8253</v>
      </c>
      <c r="AF450" s="1"/>
      <c r="AG450" s="1" t="n">
        <v>9</v>
      </c>
      <c r="AH450" s="1" t="n">
        <v>0</v>
      </c>
      <c r="AI450" s="1" t="n">
        <v>0</v>
      </c>
      <c r="AJ450" s="1" t="n">
        <v>2</v>
      </c>
      <c r="AK450" s="1" t="n">
        <v>2</v>
      </c>
      <c r="AL450" s="1" t="s">
        <v>5169</v>
      </c>
      <c r="AM450" s="1" t="s">
        <v>5170</v>
      </c>
      <c r="AN450" s="1" t="s">
        <v>5171</v>
      </c>
      <c r="AO450" s="1" t="s">
        <v>5172</v>
      </c>
      <c r="AP450" s="1"/>
      <c r="AQ450" s="1"/>
      <c r="AR450" s="1" t="s">
        <v>5173</v>
      </c>
      <c r="AS450" s="1"/>
      <c r="AT450" s="1"/>
      <c r="AU450" s="1" t="n">
        <v>2024</v>
      </c>
      <c r="AV450" s="1" t="n">
        <v>1307</v>
      </c>
      <c r="AW450" s="1"/>
      <c r="AX450" s="1"/>
      <c r="AY450" s="1"/>
      <c r="AZ450" s="1"/>
      <c r="BA450" s="1"/>
      <c r="BB450" s="1"/>
      <c r="BC450" s="1"/>
      <c r="BD450" s="1" t="n">
        <v>12037</v>
      </c>
      <c r="BE450" s="1" t="s">
        <v>8254</v>
      </c>
      <c r="BF450" s="1" t="str">
        <f aca="false">HYPERLINK("http://dx.doi.org/10.1088/1757-899X/1307/1/012037","http://dx.doi.org/10.1088/1757-899X/1307/1/012037")</f>
        <v>http://dx.doi.org/10.1088/1757-899X/1307/1/012037</v>
      </c>
      <c r="BG450" s="1"/>
      <c r="BH450" s="1"/>
      <c r="BI450" s="1" t="n">
        <v>8</v>
      </c>
      <c r="BJ450" s="1" t="s">
        <v>5175</v>
      </c>
      <c r="BK450" s="1" t="s">
        <v>100</v>
      </c>
      <c r="BL450" s="1" t="s">
        <v>5176</v>
      </c>
      <c r="BM450" s="1" t="s">
        <v>5259</v>
      </c>
      <c r="BN450" s="1"/>
      <c r="BO450" s="1" t="s">
        <v>1209</v>
      </c>
      <c r="BP450" s="1"/>
      <c r="BQ450" s="1"/>
      <c r="BR450" s="1" t="s">
        <v>103</v>
      </c>
      <c r="BS450" s="1" t="s">
        <v>8255</v>
      </c>
      <c r="BT450" s="1" t="str">
        <f aca="false">HYPERLINK("https%3A%2F%2Fwww.webofscience.com%2Fwos%2Fwoscc%2Ffull-record%2FWOS:001245186500037","View Full Record in Web of Science")</f>
        <v>View Full Record in Web of Science</v>
      </c>
    </row>
    <row r="451" customFormat="false" ht="12.75" hidden="false" customHeight="false" outlineLevel="0" collapsed="false">
      <c r="A451" s="1" t="s">
        <v>72</v>
      </c>
      <c r="B451" s="1" t="s">
        <v>8256</v>
      </c>
      <c r="C451" s="1"/>
      <c r="D451" s="1" t="s">
        <v>8257</v>
      </c>
      <c r="E451" s="1"/>
      <c r="F451" s="1" t="s">
        <v>8258</v>
      </c>
      <c r="G451" s="1"/>
      <c r="H451" s="1"/>
      <c r="I451" s="1" t="s">
        <v>8259</v>
      </c>
      <c r="J451" s="1" t="s">
        <v>8260</v>
      </c>
      <c r="K451" s="1" t="s">
        <v>289</v>
      </c>
      <c r="L451" s="1"/>
      <c r="M451" s="1" t="s">
        <v>78</v>
      </c>
      <c r="N451" s="1" t="s">
        <v>79</v>
      </c>
      <c r="O451" s="1" t="s">
        <v>8261</v>
      </c>
      <c r="P451" s="1" t="s">
        <v>8262</v>
      </c>
      <c r="Q451" s="1" t="s">
        <v>8263</v>
      </c>
      <c r="R451" s="1" t="s">
        <v>8264</v>
      </c>
      <c r="S451" s="1"/>
      <c r="T451" s="1" t="s">
        <v>8265</v>
      </c>
      <c r="U451" s="1" t="s">
        <v>8266</v>
      </c>
      <c r="V451" s="1" t="s">
        <v>8267</v>
      </c>
      <c r="W451" s="1" t="s">
        <v>8268</v>
      </c>
      <c r="X451" s="1" t="s">
        <v>86</v>
      </c>
      <c r="Y451" s="1" t="s">
        <v>8269</v>
      </c>
      <c r="Z451" s="1" t="s">
        <v>8270</v>
      </c>
      <c r="AA451" s="1" t="s">
        <v>1246</v>
      </c>
      <c r="AB451" s="1" t="s">
        <v>8271</v>
      </c>
      <c r="AC451" s="1" t="s">
        <v>8272</v>
      </c>
      <c r="AD451" s="1" t="s">
        <v>8273</v>
      </c>
      <c r="AE451" s="1" t="s">
        <v>8274</v>
      </c>
      <c r="AF451" s="1"/>
      <c r="AG451" s="1" t="n">
        <v>39</v>
      </c>
      <c r="AH451" s="1" t="n">
        <v>0</v>
      </c>
      <c r="AI451" s="1" t="n">
        <v>0</v>
      </c>
      <c r="AJ451" s="1" t="n">
        <v>2</v>
      </c>
      <c r="AK451" s="1" t="n">
        <v>2</v>
      </c>
      <c r="AL451" s="1" t="s">
        <v>302</v>
      </c>
      <c r="AM451" s="1" t="s">
        <v>303</v>
      </c>
      <c r="AN451" s="1" t="s">
        <v>304</v>
      </c>
      <c r="AO451" s="1" t="s">
        <v>305</v>
      </c>
      <c r="AP451" s="1" t="s">
        <v>306</v>
      </c>
      <c r="AQ451" s="1" t="s">
        <v>8275</v>
      </c>
      <c r="AR451" s="1" t="s">
        <v>308</v>
      </c>
      <c r="AS451" s="1"/>
      <c r="AT451" s="1"/>
      <c r="AU451" s="1" t="n">
        <v>2024</v>
      </c>
      <c r="AV451" s="1" t="n">
        <v>726</v>
      </c>
      <c r="AW451" s="1"/>
      <c r="AX451" s="1"/>
      <c r="AY451" s="1"/>
      <c r="AZ451" s="1"/>
      <c r="BA451" s="1"/>
      <c r="BB451" s="1" t="n">
        <v>305</v>
      </c>
      <c r="BC451" s="1" t="n">
        <v>318</v>
      </c>
      <c r="BD451" s="1"/>
      <c r="BE451" s="1" t="s">
        <v>8276</v>
      </c>
      <c r="BF451" s="1" t="str">
        <f aca="false">HYPERLINK("http://dx.doi.org/10.1007/978-3-031-71739-0_20","http://dx.doi.org/10.1007/978-3-031-71739-0_20")</f>
        <v>http://dx.doi.org/10.1007/978-3-031-71739-0_20</v>
      </c>
      <c r="BG451" s="1"/>
      <c r="BH451" s="1"/>
      <c r="BI451" s="1" t="n">
        <v>14</v>
      </c>
      <c r="BJ451" s="1" t="s">
        <v>310</v>
      </c>
      <c r="BK451" s="1" t="s">
        <v>100</v>
      </c>
      <c r="BL451" s="1" t="s">
        <v>311</v>
      </c>
      <c r="BM451" s="1" t="s">
        <v>8277</v>
      </c>
      <c r="BN451" s="1"/>
      <c r="BO451" s="1"/>
      <c r="BP451" s="1"/>
      <c r="BQ451" s="1"/>
      <c r="BR451" s="1" t="s">
        <v>103</v>
      </c>
      <c r="BS451" s="1" t="s">
        <v>8278</v>
      </c>
      <c r="BT451" s="1" t="str">
        <f aca="false">HYPERLINK("https%3A%2F%2Fwww.webofscience.com%2Fwos%2Fwoscc%2Ffull-record%2FWOS:001336708500020","View Full Record in Web of Science")</f>
        <v>View Full Record in Web of Science</v>
      </c>
    </row>
    <row r="452" customFormat="false" ht="12.75" hidden="false" customHeight="false" outlineLevel="0" collapsed="false">
      <c r="A452" s="1" t="s">
        <v>181</v>
      </c>
      <c r="B452" s="1" t="s">
        <v>8279</v>
      </c>
      <c r="C452" s="1"/>
      <c r="D452" s="1"/>
      <c r="E452" s="1"/>
      <c r="F452" s="1" t="s">
        <v>8280</v>
      </c>
      <c r="G452" s="1"/>
      <c r="H452" s="1"/>
      <c r="I452" s="1" t="s">
        <v>8281</v>
      </c>
      <c r="J452" s="1" t="s">
        <v>2226</v>
      </c>
      <c r="K452" s="1"/>
      <c r="L452" s="1"/>
      <c r="M452" s="1" t="s">
        <v>78</v>
      </c>
      <c r="N452" s="1" t="s">
        <v>186</v>
      </c>
      <c r="O452" s="1"/>
      <c r="P452" s="1"/>
      <c r="Q452" s="1"/>
      <c r="R452" s="1"/>
      <c r="S452" s="1"/>
      <c r="T452" s="1" t="s">
        <v>8282</v>
      </c>
      <c r="U452" s="1" t="s">
        <v>8283</v>
      </c>
      <c r="V452" s="1" t="s">
        <v>8284</v>
      </c>
      <c r="W452" s="1" t="s">
        <v>8285</v>
      </c>
      <c r="X452" s="1" t="s">
        <v>8286</v>
      </c>
      <c r="Y452" s="1" t="s">
        <v>8287</v>
      </c>
      <c r="Z452" s="1" t="s">
        <v>8288</v>
      </c>
      <c r="AA452" s="1" t="s">
        <v>8289</v>
      </c>
      <c r="AB452" s="1" t="s">
        <v>8290</v>
      </c>
      <c r="AC452" s="1" t="s">
        <v>8291</v>
      </c>
      <c r="AD452" s="1" t="s">
        <v>8292</v>
      </c>
      <c r="AE452" s="1" t="s">
        <v>8293</v>
      </c>
      <c r="AF452" s="1"/>
      <c r="AG452" s="1" t="n">
        <v>24</v>
      </c>
      <c r="AH452" s="1" t="n">
        <v>19</v>
      </c>
      <c r="AI452" s="1" t="n">
        <v>20</v>
      </c>
      <c r="AJ452" s="1" t="n">
        <v>1</v>
      </c>
      <c r="AK452" s="1" t="n">
        <v>9</v>
      </c>
      <c r="AL452" s="1" t="s">
        <v>367</v>
      </c>
      <c r="AM452" s="1" t="s">
        <v>368</v>
      </c>
      <c r="AN452" s="1" t="s">
        <v>369</v>
      </c>
      <c r="AO452" s="1"/>
      <c r="AP452" s="1" t="s">
        <v>2234</v>
      </c>
      <c r="AQ452" s="1"/>
      <c r="AR452" s="1" t="s">
        <v>2235</v>
      </c>
      <c r="AS452" s="1" t="s">
        <v>2236</v>
      </c>
      <c r="AT452" s="1" t="s">
        <v>2698</v>
      </c>
      <c r="AU452" s="1" t="n">
        <v>2020</v>
      </c>
      <c r="AV452" s="1" t="n">
        <v>12</v>
      </c>
      <c r="AW452" s="1" t="n">
        <v>12</v>
      </c>
      <c r="AX452" s="1"/>
      <c r="AY452" s="1"/>
      <c r="AZ452" s="1"/>
      <c r="BA452" s="1"/>
      <c r="BB452" s="1"/>
      <c r="BC452" s="1"/>
      <c r="BD452" s="1" t="n">
        <v>1916</v>
      </c>
      <c r="BE452" s="1" t="s">
        <v>8294</v>
      </c>
      <c r="BF452" s="1" t="str">
        <f aca="false">HYPERLINK("http://dx.doi.org/10.3390/rs12121916","http://dx.doi.org/10.3390/rs12121916")</f>
        <v>http://dx.doi.org/10.3390/rs12121916</v>
      </c>
      <c r="BG452" s="1"/>
      <c r="BH452" s="1"/>
      <c r="BI452" s="1" t="n">
        <v>11</v>
      </c>
      <c r="BJ452" s="1" t="s">
        <v>2238</v>
      </c>
      <c r="BK452" s="1" t="s">
        <v>204</v>
      </c>
      <c r="BL452" s="1" t="s">
        <v>2239</v>
      </c>
      <c r="BM452" s="1" t="s">
        <v>8295</v>
      </c>
      <c r="BN452" s="1"/>
      <c r="BO452" s="1" t="s">
        <v>1209</v>
      </c>
      <c r="BP452" s="1"/>
      <c r="BQ452" s="1"/>
      <c r="BR452" s="1" t="s">
        <v>103</v>
      </c>
      <c r="BS452" s="1" t="s">
        <v>8296</v>
      </c>
      <c r="BT452" s="1" t="str">
        <f aca="false">HYPERLINK("https%3A%2F%2Fwww.webofscience.com%2Fwos%2Fwoscc%2Ffull-record%2FWOS:000553559300001","View Full Record in Web of Science")</f>
        <v>View Full Record in Web of Science</v>
      </c>
    </row>
    <row r="453" customFormat="false" ht="12.75" hidden="false" customHeight="false" outlineLevel="0" collapsed="false">
      <c r="A453" s="1" t="s">
        <v>181</v>
      </c>
      <c r="B453" s="1" t="s">
        <v>8297</v>
      </c>
      <c r="C453" s="1"/>
      <c r="D453" s="1"/>
      <c r="E453" s="1"/>
      <c r="F453" s="1" t="s">
        <v>8298</v>
      </c>
      <c r="G453" s="1"/>
      <c r="H453" s="1"/>
      <c r="I453" s="1" t="s">
        <v>8299</v>
      </c>
      <c r="J453" s="1" t="s">
        <v>8300</v>
      </c>
      <c r="K453" s="1"/>
      <c r="L453" s="1"/>
      <c r="M453" s="1" t="s">
        <v>78</v>
      </c>
      <c r="N453" s="1" t="s">
        <v>186</v>
      </c>
      <c r="O453" s="1"/>
      <c r="P453" s="1"/>
      <c r="Q453" s="1"/>
      <c r="R453" s="1"/>
      <c r="S453" s="1"/>
      <c r="T453" s="1"/>
      <c r="U453" s="1" t="s">
        <v>8301</v>
      </c>
      <c r="V453" s="1" t="s">
        <v>8302</v>
      </c>
      <c r="W453" s="1" t="s">
        <v>8303</v>
      </c>
      <c r="X453" s="1" t="s">
        <v>8304</v>
      </c>
      <c r="Y453" s="1" t="s">
        <v>8305</v>
      </c>
      <c r="Z453" s="1" t="s">
        <v>8306</v>
      </c>
      <c r="AA453" s="1" t="s">
        <v>936</v>
      </c>
      <c r="AB453" s="1"/>
      <c r="AC453" s="1" t="s">
        <v>8307</v>
      </c>
      <c r="AD453" s="1" t="s">
        <v>8307</v>
      </c>
      <c r="AE453" s="1" t="s">
        <v>916</v>
      </c>
      <c r="AF453" s="1"/>
      <c r="AG453" s="1" t="n">
        <v>58</v>
      </c>
      <c r="AH453" s="1" t="n">
        <v>1</v>
      </c>
      <c r="AI453" s="1" t="n">
        <v>1</v>
      </c>
      <c r="AJ453" s="1" t="n">
        <v>3</v>
      </c>
      <c r="AK453" s="1" t="n">
        <v>6</v>
      </c>
      <c r="AL453" s="1" t="s">
        <v>8308</v>
      </c>
      <c r="AM453" s="1" t="s">
        <v>8309</v>
      </c>
      <c r="AN453" s="1" t="s">
        <v>8310</v>
      </c>
      <c r="AO453" s="1" t="s">
        <v>8311</v>
      </c>
      <c r="AP453" s="1" t="s">
        <v>8312</v>
      </c>
      <c r="AQ453" s="1"/>
      <c r="AR453" s="1" t="s">
        <v>8313</v>
      </c>
      <c r="AS453" s="1" t="s">
        <v>8314</v>
      </c>
      <c r="AT453" s="1" t="s">
        <v>2698</v>
      </c>
      <c r="AU453" s="1" t="n">
        <v>2024</v>
      </c>
      <c r="AV453" s="1" t="n">
        <v>235</v>
      </c>
      <c r="AW453" s="1" t="n">
        <v>6</v>
      </c>
      <c r="AX453" s="1"/>
      <c r="AY453" s="1"/>
      <c r="AZ453" s="1"/>
      <c r="BA453" s="1"/>
      <c r="BB453" s="1" t="n">
        <v>3643</v>
      </c>
      <c r="BC453" s="1" t="n">
        <v>3656</v>
      </c>
      <c r="BD453" s="1"/>
      <c r="BE453" s="1" t="s">
        <v>8315</v>
      </c>
      <c r="BF453" s="1" t="str">
        <f aca="false">HYPERLINK("http://dx.doi.org/10.1007/s00707-024-03903-4","http://dx.doi.org/10.1007/s00707-024-03903-4")</f>
        <v>http://dx.doi.org/10.1007/s00707-024-03903-4</v>
      </c>
      <c r="BG453" s="1"/>
      <c r="BH453" s="1" t="s">
        <v>2019</v>
      </c>
      <c r="BI453" s="1" t="n">
        <v>14</v>
      </c>
      <c r="BJ453" s="1" t="s">
        <v>8316</v>
      </c>
      <c r="BK453" s="1" t="s">
        <v>204</v>
      </c>
      <c r="BL453" s="1" t="s">
        <v>8316</v>
      </c>
      <c r="BM453" s="1" t="s">
        <v>8317</v>
      </c>
      <c r="BN453" s="1"/>
      <c r="BO453" s="1"/>
      <c r="BP453" s="1"/>
      <c r="BQ453" s="1"/>
      <c r="BR453" s="1" t="s">
        <v>103</v>
      </c>
      <c r="BS453" s="1" t="s">
        <v>8318</v>
      </c>
      <c r="BT453" s="1" t="str">
        <f aca="false">HYPERLINK("https%3A%2F%2Fwww.webofscience.com%2Fwos%2Fwoscc%2Ffull-record%2FWOS:001190213600001","View Full Record in Web of Science")</f>
        <v>View Full Record in Web of Science</v>
      </c>
    </row>
    <row r="454" customFormat="false" ht="12.75" hidden="false" customHeight="false" outlineLevel="0" collapsed="false">
      <c r="A454" s="1" t="s">
        <v>181</v>
      </c>
      <c r="B454" s="1" t="s">
        <v>8319</v>
      </c>
      <c r="C454" s="1"/>
      <c r="D454" s="1"/>
      <c r="E454" s="1"/>
      <c r="F454" s="1" t="s">
        <v>8320</v>
      </c>
      <c r="G454" s="1"/>
      <c r="H454" s="1"/>
      <c r="I454" s="1" t="s">
        <v>8321</v>
      </c>
      <c r="J454" s="1" t="s">
        <v>2753</v>
      </c>
      <c r="K454" s="1"/>
      <c r="L454" s="1"/>
      <c r="M454" s="1" t="s">
        <v>78</v>
      </c>
      <c r="N454" s="1" t="s">
        <v>907</v>
      </c>
      <c r="O454" s="1"/>
      <c r="P454" s="1"/>
      <c r="Q454" s="1"/>
      <c r="R454" s="1"/>
      <c r="S454" s="1"/>
      <c r="T454" s="1" t="s">
        <v>8322</v>
      </c>
      <c r="U454" s="1" t="s">
        <v>2906</v>
      </c>
      <c r="V454" s="1" t="s">
        <v>8323</v>
      </c>
      <c r="W454" s="1" t="s">
        <v>8324</v>
      </c>
      <c r="X454" s="1" t="s">
        <v>8325</v>
      </c>
      <c r="Y454" s="1" t="s">
        <v>8326</v>
      </c>
      <c r="Z454" s="1" t="s">
        <v>8327</v>
      </c>
      <c r="AA454" s="1" t="s">
        <v>936</v>
      </c>
      <c r="AB454" s="1" t="s">
        <v>937</v>
      </c>
      <c r="AC454" s="1" t="s">
        <v>268</v>
      </c>
      <c r="AD454" s="1" t="s">
        <v>268</v>
      </c>
      <c r="AE454" s="1" t="s">
        <v>269</v>
      </c>
      <c r="AF454" s="1"/>
      <c r="AG454" s="1" t="n">
        <v>34</v>
      </c>
      <c r="AH454" s="1" t="n">
        <v>6</v>
      </c>
      <c r="AI454" s="1" t="n">
        <v>7</v>
      </c>
      <c r="AJ454" s="1" t="n">
        <v>8</v>
      </c>
      <c r="AK454" s="1" t="n">
        <v>23</v>
      </c>
      <c r="AL454" s="1" t="s">
        <v>2761</v>
      </c>
      <c r="AM454" s="1" t="s">
        <v>1908</v>
      </c>
      <c r="AN454" s="1" t="s">
        <v>2762</v>
      </c>
      <c r="AO454" s="1" t="s">
        <v>2763</v>
      </c>
      <c r="AP454" s="1" t="s">
        <v>2764</v>
      </c>
      <c r="AQ454" s="1"/>
      <c r="AR454" s="1" t="s">
        <v>2765</v>
      </c>
      <c r="AS454" s="1" t="s">
        <v>2766</v>
      </c>
      <c r="AT454" s="1" t="s">
        <v>8328</v>
      </c>
      <c r="AU454" s="1" t="n">
        <v>2022</v>
      </c>
      <c r="AV454" s="1"/>
      <c r="AW454" s="1"/>
      <c r="AX454" s="1"/>
      <c r="AY454" s="1"/>
      <c r="AZ454" s="1"/>
      <c r="BA454" s="1"/>
      <c r="BB454" s="1"/>
      <c r="BC454" s="1"/>
      <c r="BD454" s="1"/>
      <c r="BE454" s="1" t="s">
        <v>8329</v>
      </c>
      <c r="BF454" s="1" t="str">
        <f aca="false">HYPERLINK("http://dx.doi.org/10.1007/s00521-022-07347-6","http://dx.doi.org/10.1007/s00521-022-07347-6")</f>
        <v>http://dx.doi.org/10.1007/s00521-022-07347-6</v>
      </c>
      <c r="BG454" s="1"/>
      <c r="BH454" s="1" t="s">
        <v>2297</v>
      </c>
      <c r="BI454" s="1" t="n">
        <v>14</v>
      </c>
      <c r="BJ454" s="1" t="s">
        <v>1625</v>
      </c>
      <c r="BK454" s="1" t="s">
        <v>204</v>
      </c>
      <c r="BL454" s="1" t="s">
        <v>101</v>
      </c>
      <c r="BM454" s="1" t="s">
        <v>8330</v>
      </c>
      <c r="BN454" s="1"/>
      <c r="BO454" s="1" t="s">
        <v>612</v>
      </c>
      <c r="BP454" s="1"/>
      <c r="BQ454" s="1"/>
      <c r="BR454" s="1" t="s">
        <v>103</v>
      </c>
      <c r="BS454" s="1" t="s">
        <v>8331</v>
      </c>
      <c r="BT454" s="1" t="str">
        <f aca="false">HYPERLINK("https%3A%2F%2Fwww.webofscience.com%2Fwos%2Fwoscc%2Ffull-record%2FWOS:000800995800001","View Full Record in Web of Science")</f>
        <v>View Full Record in Web of Science</v>
      </c>
    </row>
    <row r="455" customFormat="false" ht="12.75" hidden="false" customHeight="false" outlineLevel="0" collapsed="false">
      <c r="A455" s="1" t="s">
        <v>72</v>
      </c>
      <c r="B455" s="1" t="s">
        <v>8332</v>
      </c>
      <c r="C455" s="1"/>
      <c r="D455" s="1"/>
      <c r="E455" s="1" t="s">
        <v>94</v>
      </c>
      <c r="F455" s="1" t="s">
        <v>8333</v>
      </c>
      <c r="G455" s="1"/>
      <c r="H455" s="1"/>
      <c r="I455" s="1" t="s">
        <v>8334</v>
      </c>
      <c r="J455" s="1" t="s">
        <v>2482</v>
      </c>
      <c r="K455" s="1"/>
      <c r="L455" s="1"/>
      <c r="M455" s="1" t="s">
        <v>78</v>
      </c>
      <c r="N455" s="1" t="s">
        <v>79</v>
      </c>
      <c r="O455" s="1" t="s">
        <v>2483</v>
      </c>
      <c r="P455" s="1" t="s">
        <v>2484</v>
      </c>
      <c r="Q455" s="1" t="s">
        <v>292</v>
      </c>
      <c r="R455" s="1" t="s">
        <v>2485</v>
      </c>
      <c r="S455" s="1"/>
      <c r="T455" s="1"/>
      <c r="U455" s="1"/>
      <c r="V455" s="1" t="s">
        <v>8335</v>
      </c>
      <c r="W455" s="1" t="s">
        <v>8336</v>
      </c>
      <c r="X455" s="1" t="s">
        <v>5206</v>
      </c>
      <c r="Y455" s="1" t="s">
        <v>8337</v>
      </c>
      <c r="Z455" s="1"/>
      <c r="AA455" s="1" t="s">
        <v>8338</v>
      </c>
      <c r="AB455" s="1" t="s">
        <v>240</v>
      </c>
      <c r="AC455" s="1" t="s">
        <v>8339</v>
      </c>
      <c r="AD455" s="1" t="s">
        <v>8340</v>
      </c>
      <c r="AE455" s="1" t="s">
        <v>8341</v>
      </c>
      <c r="AF455" s="1"/>
      <c r="AG455" s="1" t="n">
        <v>18</v>
      </c>
      <c r="AH455" s="1" t="n">
        <v>0</v>
      </c>
      <c r="AI455" s="1" t="n">
        <v>0</v>
      </c>
      <c r="AJ455" s="1" t="n">
        <v>1</v>
      </c>
      <c r="AK455" s="1" t="n">
        <v>1</v>
      </c>
      <c r="AL455" s="1" t="s">
        <v>94</v>
      </c>
      <c r="AM455" s="1" t="s">
        <v>95</v>
      </c>
      <c r="AN455" s="1" t="s">
        <v>96</v>
      </c>
      <c r="AO455" s="1"/>
      <c r="AP455" s="1"/>
      <c r="AQ455" s="1" t="s">
        <v>2494</v>
      </c>
      <c r="AR455" s="1"/>
      <c r="AS455" s="1"/>
      <c r="AT455" s="1"/>
      <c r="AU455" s="1" t="n">
        <v>2024</v>
      </c>
      <c r="AV455" s="1"/>
      <c r="AW455" s="1"/>
      <c r="AX455" s="1"/>
      <c r="AY455" s="1"/>
      <c r="AZ455" s="1"/>
      <c r="BA455" s="1"/>
      <c r="BB455" s="1" t="n">
        <v>17</v>
      </c>
      <c r="BC455" s="1" t="n">
        <v>20</v>
      </c>
      <c r="BD455" s="1"/>
      <c r="BE455" s="1" t="s">
        <v>8342</v>
      </c>
      <c r="BF455" s="1" t="str">
        <f aca="false">HYPERLINK("http://dx.doi.org/10.1145/3643664.3648205","http://dx.doi.org/10.1145/3643664.3648205")</f>
        <v>http://dx.doi.org/10.1145/3643664.3648205</v>
      </c>
      <c r="BG455" s="1"/>
      <c r="BH455" s="1"/>
      <c r="BI455" s="1" t="n">
        <v>4</v>
      </c>
      <c r="BJ455" s="1" t="s">
        <v>994</v>
      </c>
      <c r="BK455" s="1" t="s">
        <v>100</v>
      </c>
      <c r="BL455" s="1" t="s">
        <v>101</v>
      </c>
      <c r="BM455" s="1" t="s">
        <v>2496</v>
      </c>
      <c r="BN455" s="1"/>
      <c r="BO455" s="1"/>
      <c r="BP455" s="1"/>
      <c r="BQ455" s="1"/>
      <c r="BR455" s="1" t="s">
        <v>103</v>
      </c>
      <c r="BS455" s="1" t="s">
        <v>8343</v>
      </c>
      <c r="BT455" s="1" t="str">
        <f aca="false">HYPERLINK("https%3A%2F%2Fwww.webofscience.com%2Fwos%2Fwoscc%2Ffull-record%2FWOS:001293147200004","View Full Record in Web of Science")</f>
        <v>View Full Record in Web of Science</v>
      </c>
    </row>
    <row r="456" customFormat="false" ht="12.75" hidden="false" customHeight="false" outlineLevel="0" collapsed="false">
      <c r="A456" s="1" t="s">
        <v>181</v>
      </c>
      <c r="B456" s="1" t="s">
        <v>8344</v>
      </c>
      <c r="C456" s="1"/>
      <c r="D456" s="1"/>
      <c r="E456" s="1"/>
      <c r="F456" s="1" t="s">
        <v>8345</v>
      </c>
      <c r="G456" s="1"/>
      <c r="H456" s="1"/>
      <c r="I456" s="1" t="s">
        <v>8346</v>
      </c>
      <c r="J456" s="1" t="s">
        <v>8347</v>
      </c>
      <c r="K456" s="1"/>
      <c r="L456" s="1"/>
      <c r="M456" s="1" t="s">
        <v>78</v>
      </c>
      <c r="N456" s="1" t="s">
        <v>618</v>
      </c>
      <c r="O456" s="1"/>
      <c r="P456" s="1"/>
      <c r="Q456" s="1"/>
      <c r="R456" s="1"/>
      <c r="S456" s="1"/>
      <c r="T456" s="1" t="s">
        <v>8348</v>
      </c>
      <c r="U456" s="1" t="s">
        <v>8349</v>
      </c>
      <c r="V456" s="1" t="s">
        <v>8350</v>
      </c>
      <c r="W456" s="1" t="s">
        <v>8351</v>
      </c>
      <c r="X456" s="1" t="s">
        <v>6264</v>
      </c>
      <c r="Y456" s="1" t="s">
        <v>8352</v>
      </c>
      <c r="Z456" s="1" t="s">
        <v>7413</v>
      </c>
      <c r="AA456" s="1" t="s">
        <v>595</v>
      </c>
      <c r="AB456" s="1" t="s">
        <v>8353</v>
      </c>
      <c r="AC456" s="1"/>
      <c r="AD456" s="1"/>
      <c r="AE456" s="1"/>
      <c r="AF456" s="1"/>
      <c r="AG456" s="1" t="n">
        <v>193</v>
      </c>
      <c r="AH456" s="1" t="n">
        <v>10</v>
      </c>
      <c r="AI456" s="1" t="n">
        <v>10</v>
      </c>
      <c r="AJ456" s="1" t="n">
        <v>4</v>
      </c>
      <c r="AK456" s="1" t="n">
        <v>21</v>
      </c>
      <c r="AL456" s="1" t="s">
        <v>846</v>
      </c>
      <c r="AM456" s="1" t="s">
        <v>847</v>
      </c>
      <c r="AN456" s="1" t="s">
        <v>848</v>
      </c>
      <c r="AO456" s="1" t="s">
        <v>8354</v>
      </c>
      <c r="AP456" s="1"/>
      <c r="AQ456" s="1"/>
      <c r="AR456" s="1" t="s">
        <v>8355</v>
      </c>
      <c r="AS456" s="1" t="s">
        <v>8356</v>
      </c>
      <c r="AT456" s="1" t="s">
        <v>8357</v>
      </c>
      <c r="AU456" s="1" t="n">
        <v>2023</v>
      </c>
      <c r="AV456" s="1" t="n">
        <v>25</v>
      </c>
      <c r="AW456" s="1"/>
      <c r="AX456" s="1"/>
      <c r="AY456" s="1"/>
      <c r="AZ456" s="1"/>
      <c r="BA456" s="1"/>
      <c r="BB456" s="1"/>
      <c r="BC456" s="1"/>
      <c r="BD456" s="1" t="s">
        <v>8358</v>
      </c>
      <c r="BE456" s="1" t="s">
        <v>8359</v>
      </c>
      <c r="BF456" s="1" t="str">
        <f aca="false">HYPERLINK("http://dx.doi.org/10.2196/46105","http://dx.doi.org/10.2196/46105")</f>
        <v>http://dx.doi.org/10.2196/46105</v>
      </c>
      <c r="BG456" s="1"/>
      <c r="BH456" s="1"/>
      <c r="BI456" s="1" t="n">
        <v>27</v>
      </c>
      <c r="BJ456" s="1" t="s">
        <v>854</v>
      </c>
      <c r="BK456" s="1" t="s">
        <v>204</v>
      </c>
      <c r="BL456" s="1" t="s">
        <v>854</v>
      </c>
      <c r="BM456" s="1" t="s">
        <v>8360</v>
      </c>
      <c r="BN456" s="1" t="n">
        <v>37467031</v>
      </c>
      <c r="BO456" s="1" t="s">
        <v>3499</v>
      </c>
      <c r="BP456" s="1"/>
      <c r="BQ456" s="1"/>
      <c r="BR456" s="1" t="s">
        <v>103</v>
      </c>
      <c r="BS456" s="1" t="s">
        <v>8361</v>
      </c>
      <c r="BT456" s="1" t="str">
        <f aca="false">HYPERLINK("https%3A%2F%2Fwww.webofscience.com%2Fwos%2Fwoscc%2Ffull-record%2FWOS:001048954300007","View Full Record in Web of Science")</f>
        <v>View Full Record in Web of Science</v>
      </c>
    </row>
    <row r="457" customFormat="false" ht="12.75" hidden="false" customHeight="false" outlineLevel="0" collapsed="false">
      <c r="A457" s="1" t="s">
        <v>72</v>
      </c>
      <c r="B457" s="1" t="s">
        <v>8362</v>
      </c>
      <c r="C457" s="1"/>
      <c r="D457" s="1" t="s">
        <v>5149</v>
      </c>
      <c r="E457" s="1"/>
      <c r="F457" s="1" t="s">
        <v>8363</v>
      </c>
      <c r="G457" s="1"/>
      <c r="H457" s="1"/>
      <c r="I457" s="1" t="s">
        <v>8364</v>
      </c>
      <c r="J457" s="1" t="s">
        <v>5152</v>
      </c>
      <c r="K457" s="1" t="s">
        <v>5153</v>
      </c>
      <c r="L457" s="1"/>
      <c r="M457" s="1" t="s">
        <v>78</v>
      </c>
      <c r="N457" s="1" t="s">
        <v>79</v>
      </c>
      <c r="O457" s="1" t="s">
        <v>5154</v>
      </c>
      <c r="P457" s="1" t="s">
        <v>5155</v>
      </c>
      <c r="Q457" s="1" t="s">
        <v>5156</v>
      </c>
      <c r="R457" s="1" t="s">
        <v>5157</v>
      </c>
      <c r="S457" s="1"/>
      <c r="T457" s="1"/>
      <c r="U457" s="1"/>
      <c r="V457" s="1" t="s">
        <v>8365</v>
      </c>
      <c r="W457" s="1" t="s">
        <v>8366</v>
      </c>
      <c r="X457" s="1" t="s">
        <v>8367</v>
      </c>
      <c r="Y457" s="1" t="s">
        <v>8368</v>
      </c>
      <c r="Z457" s="1" t="s">
        <v>8369</v>
      </c>
      <c r="AA457" s="1" t="s">
        <v>8370</v>
      </c>
      <c r="AB457" s="1" t="s">
        <v>7029</v>
      </c>
      <c r="AC457" s="1" t="s">
        <v>8371</v>
      </c>
      <c r="AD457" s="1" t="s">
        <v>8372</v>
      </c>
      <c r="AE457" s="1" t="s">
        <v>8373</v>
      </c>
      <c r="AF457" s="1"/>
      <c r="AG457" s="1" t="n">
        <v>12</v>
      </c>
      <c r="AH457" s="1" t="n">
        <v>2</v>
      </c>
      <c r="AI457" s="1" t="n">
        <v>2</v>
      </c>
      <c r="AJ457" s="1" t="n">
        <v>1</v>
      </c>
      <c r="AK457" s="1" t="n">
        <v>3</v>
      </c>
      <c r="AL457" s="1" t="s">
        <v>5169</v>
      </c>
      <c r="AM457" s="1" t="s">
        <v>5170</v>
      </c>
      <c r="AN457" s="1" t="s">
        <v>5171</v>
      </c>
      <c r="AO457" s="1" t="s">
        <v>5172</v>
      </c>
      <c r="AP457" s="1"/>
      <c r="AQ457" s="1"/>
      <c r="AR457" s="1" t="s">
        <v>5173</v>
      </c>
      <c r="AS457" s="1"/>
      <c r="AT457" s="1"/>
      <c r="AU457" s="1" t="n">
        <v>2023</v>
      </c>
      <c r="AV457" s="1" t="n">
        <v>1284</v>
      </c>
      <c r="AW457" s="1"/>
      <c r="AX457" s="1"/>
      <c r="AY457" s="1"/>
      <c r="AZ457" s="1"/>
      <c r="BA457" s="1"/>
      <c r="BB457" s="1"/>
      <c r="BC457" s="1"/>
      <c r="BD457" s="1" t="n">
        <v>12055</v>
      </c>
      <c r="BE457" s="1" t="s">
        <v>8374</v>
      </c>
      <c r="BF457" s="1" t="str">
        <f aca="false">HYPERLINK("http://dx.doi.org/10.1088/1757-899X/1284/1/012055","http://dx.doi.org/10.1088/1757-899X/1284/1/012055")</f>
        <v>http://dx.doi.org/10.1088/1757-899X/1284/1/012055</v>
      </c>
      <c r="BG457" s="1"/>
      <c r="BH457" s="1"/>
      <c r="BI457" s="1" t="n">
        <v>10</v>
      </c>
      <c r="BJ457" s="1" t="s">
        <v>5175</v>
      </c>
      <c r="BK457" s="1" t="s">
        <v>100</v>
      </c>
      <c r="BL457" s="1" t="s">
        <v>5176</v>
      </c>
      <c r="BM457" s="1" t="s">
        <v>5177</v>
      </c>
      <c r="BN457" s="1"/>
      <c r="BO457" s="1" t="s">
        <v>376</v>
      </c>
      <c r="BP457" s="1"/>
      <c r="BQ457" s="1"/>
      <c r="BR457" s="1" t="s">
        <v>103</v>
      </c>
      <c r="BS457" s="1" t="s">
        <v>8375</v>
      </c>
      <c r="BT457" s="1" t="str">
        <f aca="false">HYPERLINK("https%3A%2F%2Fwww.webofscience.com%2Fwos%2Fwoscc%2Ffull-record%2FWOS:001017824300055","View Full Record in Web of Science")</f>
        <v>View Full Record in Web of Science</v>
      </c>
    </row>
    <row r="458" customFormat="false" ht="12.75" hidden="false" customHeight="false" outlineLevel="0" collapsed="false">
      <c r="A458" s="1" t="s">
        <v>181</v>
      </c>
      <c r="B458" s="1" t="s">
        <v>8376</v>
      </c>
      <c r="C458" s="1"/>
      <c r="D458" s="1"/>
      <c r="E458" s="1"/>
      <c r="F458" s="1" t="s">
        <v>8377</v>
      </c>
      <c r="G458" s="1"/>
      <c r="H458" s="1"/>
      <c r="I458" s="1" t="s">
        <v>8378</v>
      </c>
      <c r="J458" s="1" t="s">
        <v>4022</v>
      </c>
      <c r="K458" s="1"/>
      <c r="L458" s="1"/>
      <c r="M458" s="1" t="s">
        <v>78</v>
      </c>
      <c r="N458" s="1" t="s">
        <v>186</v>
      </c>
      <c r="O458" s="1"/>
      <c r="P458" s="1"/>
      <c r="Q458" s="1"/>
      <c r="R458" s="1"/>
      <c r="S458" s="1"/>
      <c r="T458" s="1" t="s">
        <v>8379</v>
      </c>
      <c r="U458" s="1" t="s">
        <v>8380</v>
      </c>
      <c r="V458" s="1" t="s">
        <v>8381</v>
      </c>
      <c r="W458" s="1" t="s">
        <v>8382</v>
      </c>
      <c r="X458" s="1" t="s">
        <v>8383</v>
      </c>
      <c r="Y458" s="1" t="s">
        <v>8384</v>
      </c>
      <c r="Z458" s="1" t="s">
        <v>8385</v>
      </c>
      <c r="AA458" s="1" t="s">
        <v>8386</v>
      </c>
      <c r="AB458" s="1" t="s">
        <v>8387</v>
      </c>
      <c r="AC458" s="1" t="s">
        <v>8388</v>
      </c>
      <c r="AD458" s="1" t="s">
        <v>8388</v>
      </c>
      <c r="AE458" s="1" t="s">
        <v>8389</v>
      </c>
      <c r="AF458" s="1"/>
      <c r="AG458" s="1" t="n">
        <v>34</v>
      </c>
      <c r="AH458" s="1" t="n">
        <v>5</v>
      </c>
      <c r="AI458" s="1" t="n">
        <v>5</v>
      </c>
      <c r="AJ458" s="1" t="n">
        <v>0</v>
      </c>
      <c r="AK458" s="1" t="n">
        <v>3</v>
      </c>
      <c r="AL458" s="1" t="s">
        <v>367</v>
      </c>
      <c r="AM458" s="1" t="s">
        <v>368</v>
      </c>
      <c r="AN458" s="1" t="s">
        <v>369</v>
      </c>
      <c r="AO458" s="1"/>
      <c r="AP458" s="1" t="s">
        <v>4032</v>
      </c>
      <c r="AQ458" s="1"/>
      <c r="AR458" s="1" t="s">
        <v>4022</v>
      </c>
      <c r="AS458" s="1" t="s">
        <v>4033</v>
      </c>
      <c r="AT458" s="1" t="s">
        <v>1362</v>
      </c>
      <c r="AU458" s="1" t="n">
        <v>2021</v>
      </c>
      <c r="AV458" s="1" t="n">
        <v>14</v>
      </c>
      <c r="AW458" s="1" t="n">
        <v>19</v>
      </c>
      <c r="AX458" s="1"/>
      <c r="AY458" s="1"/>
      <c r="AZ458" s="1"/>
      <c r="BA458" s="1"/>
      <c r="BB458" s="1"/>
      <c r="BC458" s="1"/>
      <c r="BD458" s="1" t="n">
        <v>6216</v>
      </c>
      <c r="BE458" s="1" t="s">
        <v>8390</v>
      </c>
      <c r="BF458" s="1" t="str">
        <f aca="false">HYPERLINK("http://dx.doi.org/10.3390/en14196216","http://dx.doi.org/10.3390/en14196216")</f>
        <v>http://dx.doi.org/10.3390/en14196216</v>
      </c>
      <c r="BG458" s="1"/>
      <c r="BH458" s="1"/>
      <c r="BI458" s="1" t="n">
        <v>30</v>
      </c>
      <c r="BJ458" s="1" t="s">
        <v>4035</v>
      </c>
      <c r="BK458" s="1" t="s">
        <v>204</v>
      </c>
      <c r="BL458" s="1" t="s">
        <v>4035</v>
      </c>
      <c r="BM458" s="1" t="s">
        <v>8391</v>
      </c>
      <c r="BN458" s="1"/>
      <c r="BO458" s="1" t="s">
        <v>542</v>
      </c>
      <c r="BP458" s="1"/>
      <c r="BQ458" s="1"/>
      <c r="BR458" s="1" t="s">
        <v>103</v>
      </c>
      <c r="BS458" s="1" t="s">
        <v>8392</v>
      </c>
      <c r="BT458" s="1" t="str">
        <f aca="false">HYPERLINK("https%3A%2F%2Fwww.webofscience.com%2Fwos%2Fwoscc%2Ffull-record%2FWOS:000809830800001","View Full Record in Web of Science")</f>
        <v>View Full Record in Web of Science</v>
      </c>
    </row>
    <row r="459" customFormat="false" ht="12.75" hidden="false" customHeight="false" outlineLevel="0" collapsed="false">
      <c r="A459" s="1" t="s">
        <v>181</v>
      </c>
      <c r="B459" s="1" t="s">
        <v>8393</v>
      </c>
      <c r="C459" s="1"/>
      <c r="D459" s="1"/>
      <c r="E459" s="1"/>
      <c r="F459" s="1" t="s">
        <v>8394</v>
      </c>
      <c r="G459" s="1"/>
      <c r="H459" s="1"/>
      <c r="I459" s="1" t="s">
        <v>8395</v>
      </c>
      <c r="J459" s="1" t="s">
        <v>588</v>
      </c>
      <c r="K459" s="1"/>
      <c r="L459" s="1"/>
      <c r="M459" s="1" t="s">
        <v>78</v>
      </c>
      <c r="N459" s="1" t="s">
        <v>186</v>
      </c>
      <c r="O459" s="1"/>
      <c r="P459" s="1"/>
      <c r="Q459" s="1"/>
      <c r="R459" s="1"/>
      <c r="S459" s="1"/>
      <c r="T459" s="1" t="s">
        <v>8396</v>
      </c>
      <c r="U459" s="1" t="s">
        <v>8397</v>
      </c>
      <c r="V459" s="1" t="s">
        <v>8398</v>
      </c>
      <c r="W459" s="1" t="s">
        <v>8399</v>
      </c>
      <c r="X459" s="1" t="s">
        <v>6290</v>
      </c>
      <c r="Y459" s="1" t="s">
        <v>1352</v>
      </c>
      <c r="Z459" s="1" t="s">
        <v>1353</v>
      </c>
      <c r="AA459" s="1"/>
      <c r="AB459" s="1"/>
      <c r="AC459" s="1" t="s">
        <v>8400</v>
      </c>
      <c r="AD459" s="1" t="s">
        <v>8400</v>
      </c>
      <c r="AE459" s="1" t="s">
        <v>8401</v>
      </c>
      <c r="AF459" s="1"/>
      <c r="AG459" s="1" t="n">
        <v>21</v>
      </c>
      <c r="AH459" s="1" t="n">
        <v>0</v>
      </c>
      <c r="AI459" s="1" t="n">
        <v>0</v>
      </c>
      <c r="AJ459" s="1" t="n">
        <v>0</v>
      </c>
      <c r="AK459" s="1" t="n">
        <v>5</v>
      </c>
      <c r="AL459" s="1" t="s">
        <v>600</v>
      </c>
      <c r="AM459" s="1" t="s">
        <v>601</v>
      </c>
      <c r="AN459" s="1" t="s">
        <v>602</v>
      </c>
      <c r="AO459" s="1" t="s">
        <v>603</v>
      </c>
      <c r="AP459" s="1" t="s">
        <v>604</v>
      </c>
      <c r="AQ459" s="1"/>
      <c r="AR459" s="1" t="s">
        <v>605</v>
      </c>
      <c r="AS459" s="1" t="s">
        <v>606</v>
      </c>
      <c r="AT459" s="1" t="s">
        <v>474</v>
      </c>
      <c r="AU459" s="1" t="n">
        <v>2020</v>
      </c>
      <c r="AV459" s="1" t="n">
        <v>34</v>
      </c>
      <c r="AW459" s="1" t="n">
        <v>3</v>
      </c>
      <c r="AX459" s="1"/>
      <c r="AY459" s="1"/>
      <c r="AZ459" s="1"/>
      <c r="BA459" s="1"/>
      <c r="BB459" s="1" t="n">
        <v>622</v>
      </c>
      <c r="BC459" s="1" t="n">
        <v>626</v>
      </c>
      <c r="BD459" s="1"/>
      <c r="BE459" s="1" t="s">
        <v>8402</v>
      </c>
      <c r="BF459" s="1" t="str">
        <f aca="false">HYPERLINK("http://dx.doi.org/10.1111/scs.12761","http://dx.doi.org/10.1111/scs.12761")</f>
        <v>http://dx.doi.org/10.1111/scs.12761</v>
      </c>
      <c r="BG459" s="1"/>
      <c r="BH459" s="1" t="s">
        <v>8403</v>
      </c>
      <c r="BI459" s="1" t="n">
        <v>5</v>
      </c>
      <c r="BJ459" s="1" t="s">
        <v>609</v>
      </c>
      <c r="BK459" s="1" t="s">
        <v>610</v>
      </c>
      <c r="BL459" s="1" t="s">
        <v>609</v>
      </c>
      <c r="BM459" s="1" t="s">
        <v>8404</v>
      </c>
      <c r="BN459" s="1" t="n">
        <v>31657057</v>
      </c>
      <c r="BO459" s="1"/>
      <c r="BP459" s="1"/>
      <c r="BQ459" s="1"/>
      <c r="BR459" s="1" t="s">
        <v>103</v>
      </c>
      <c r="BS459" s="1" t="s">
        <v>8405</v>
      </c>
      <c r="BT459" s="1" t="str">
        <f aca="false">HYPERLINK("https%3A%2F%2Fwww.webofscience.com%2Fwos%2Fwoscc%2Ffull-record%2FWOS:000492671500001","View Full Record in Web of Science")</f>
        <v>View Full Record in Web of Science</v>
      </c>
    </row>
    <row r="460" customFormat="false" ht="12.75" hidden="false" customHeight="false" outlineLevel="0" collapsed="false">
      <c r="A460" s="1" t="s">
        <v>181</v>
      </c>
      <c r="B460" s="1" t="s">
        <v>8406</v>
      </c>
      <c r="C460" s="1"/>
      <c r="D460" s="1"/>
      <c r="E460" s="1"/>
      <c r="F460" s="1" t="s">
        <v>8407</v>
      </c>
      <c r="G460" s="1"/>
      <c r="H460" s="1"/>
      <c r="I460" s="1" t="s">
        <v>8408</v>
      </c>
      <c r="J460" s="1" t="s">
        <v>8409</v>
      </c>
      <c r="K460" s="1"/>
      <c r="L460" s="1"/>
      <c r="M460" s="1" t="s">
        <v>78</v>
      </c>
      <c r="N460" s="1" t="s">
        <v>907</v>
      </c>
      <c r="O460" s="1"/>
      <c r="P460" s="1"/>
      <c r="Q460" s="1"/>
      <c r="R460" s="1"/>
      <c r="S460" s="1"/>
      <c r="T460" s="1" t="s">
        <v>8410</v>
      </c>
      <c r="U460" s="1" t="s">
        <v>8411</v>
      </c>
      <c r="V460" s="1" t="s">
        <v>8412</v>
      </c>
      <c r="W460" s="1" t="s">
        <v>8413</v>
      </c>
      <c r="X460" s="1" t="s">
        <v>5743</v>
      </c>
      <c r="Y460" s="1" t="s">
        <v>8414</v>
      </c>
      <c r="Z460" s="1"/>
      <c r="AA460" s="1" t="s">
        <v>8415</v>
      </c>
      <c r="AB460" s="1"/>
      <c r="AC460" s="1" t="s">
        <v>8416</v>
      </c>
      <c r="AD460" s="1" t="s">
        <v>8417</v>
      </c>
      <c r="AE460" s="1" t="s">
        <v>8418</v>
      </c>
      <c r="AF460" s="1"/>
      <c r="AG460" s="1" t="n">
        <v>109</v>
      </c>
      <c r="AH460" s="1" t="n">
        <v>0</v>
      </c>
      <c r="AI460" s="1" t="n">
        <v>0</v>
      </c>
      <c r="AJ460" s="1" t="n">
        <v>0</v>
      </c>
      <c r="AK460" s="1" t="n">
        <v>0</v>
      </c>
      <c r="AL460" s="1" t="s">
        <v>1220</v>
      </c>
      <c r="AM460" s="1" t="s">
        <v>1221</v>
      </c>
      <c r="AN460" s="1" t="s">
        <v>1222</v>
      </c>
      <c r="AO460" s="1" t="s">
        <v>8419</v>
      </c>
      <c r="AP460" s="1" t="s">
        <v>8420</v>
      </c>
      <c r="AQ460" s="1"/>
      <c r="AR460" s="1" t="s">
        <v>8421</v>
      </c>
      <c r="AS460" s="1" t="s">
        <v>8422</v>
      </c>
      <c r="AT460" s="1" t="s">
        <v>8423</v>
      </c>
      <c r="AU460" s="1" t="n">
        <v>2024</v>
      </c>
      <c r="AV460" s="1"/>
      <c r="AW460" s="1"/>
      <c r="AX460" s="1"/>
      <c r="AY460" s="1"/>
      <c r="AZ460" s="1"/>
      <c r="BA460" s="1"/>
      <c r="BB460" s="1"/>
      <c r="BC460" s="1"/>
      <c r="BD460" s="1"/>
      <c r="BE460" s="1" t="s">
        <v>8424</v>
      </c>
      <c r="BF460" s="1" t="str">
        <f aca="false">HYPERLINK("http://dx.doi.org/10.1080/07360932.2024.2354719","http://dx.doi.org/10.1080/07360932.2024.2354719")</f>
        <v>http://dx.doi.org/10.1080/07360932.2024.2354719</v>
      </c>
      <c r="BG460" s="1"/>
      <c r="BH460" s="1" t="s">
        <v>2002</v>
      </c>
      <c r="BI460" s="1" t="n">
        <v>37</v>
      </c>
      <c r="BJ460" s="1" t="s">
        <v>3680</v>
      </c>
      <c r="BK460" s="1" t="s">
        <v>253</v>
      </c>
      <c r="BL460" s="1" t="s">
        <v>715</v>
      </c>
      <c r="BM460" s="1" t="s">
        <v>8425</v>
      </c>
      <c r="BN460" s="1"/>
      <c r="BO460" s="1" t="s">
        <v>612</v>
      </c>
      <c r="BP460" s="1"/>
      <c r="BQ460" s="1"/>
      <c r="BR460" s="1" t="s">
        <v>103</v>
      </c>
      <c r="BS460" s="1" t="s">
        <v>8426</v>
      </c>
      <c r="BT460" s="1" t="str">
        <f aca="false">HYPERLINK("https%3A%2F%2Fwww.webofscience.com%2Fwos%2Fwoscc%2Ffull-record%2FWOS:001228621900001","View Full Record in Web of Science")</f>
        <v>View Full Record in Web of Science</v>
      </c>
    </row>
    <row r="461" customFormat="false" ht="12.75" hidden="false" customHeight="false" outlineLevel="0" collapsed="false">
      <c r="A461" s="1" t="s">
        <v>181</v>
      </c>
      <c r="B461" s="1" t="s">
        <v>8427</v>
      </c>
      <c r="C461" s="1"/>
      <c r="D461" s="1"/>
      <c r="E461" s="1"/>
      <c r="F461" s="1" t="s">
        <v>8428</v>
      </c>
      <c r="G461" s="1"/>
      <c r="H461" s="1"/>
      <c r="I461" s="1" t="s">
        <v>8429</v>
      </c>
      <c r="J461" s="1" t="s">
        <v>8430</v>
      </c>
      <c r="K461" s="1"/>
      <c r="L461" s="1"/>
      <c r="M461" s="1" t="s">
        <v>78</v>
      </c>
      <c r="N461" s="1" t="s">
        <v>186</v>
      </c>
      <c r="O461" s="1"/>
      <c r="P461" s="1"/>
      <c r="Q461" s="1"/>
      <c r="R461" s="1"/>
      <c r="S461" s="1"/>
      <c r="T461" s="1" t="s">
        <v>8431</v>
      </c>
      <c r="U461" s="1" t="s">
        <v>8432</v>
      </c>
      <c r="V461" s="1" t="s">
        <v>8433</v>
      </c>
      <c r="W461" s="1" t="s">
        <v>8434</v>
      </c>
      <c r="X461" s="1" t="s">
        <v>5576</v>
      </c>
      <c r="Y461" s="1" t="s">
        <v>8435</v>
      </c>
      <c r="Z461" s="1" t="s">
        <v>8436</v>
      </c>
      <c r="AA461" s="1"/>
      <c r="AB461" s="1" t="s">
        <v>8437</v>
      </c>
      <c r="AC461" s="1"/>
      <c r="AD461" s="1"/>
      <c r="AE461" s="1"/>
      <c r="AF461" s="1"/>
      <c r="AG461" s="1" t="n">
        <v>34</v>
      </c>
      <c r="AH461" s="1" t="n">
        <v>1</v>
      </c>
      <c r="AI461" s="1" t="n">
        <v>1</v>
      </c>
      <c r="AJ461" s="1" t="n">
        <v>0</v>
      </c>
      <c r="AK461" s="1" t="n">
        <v>3</v>
      </c>
      <c r="AL461" s="1" t="s">
        <v>630</v>
      </c>
      <c r="AM461" s="1" t="s">
        <v>631</v>
      </c>
      <c r="AN461" s="1" t="s">
        <v>632</v>
      </c>
      <c r="AO461" s="1" t="s">
        <v>8438</v>
      </c>
      <c r="AP461" s="1" t="s">
        <v>8439</v>
      </c>
      <c r="AQ461" s="1"/>
      <c r="AR461" s="1" t="s">
        <v>8440</v>
      </c>
      <c r="AS461" s="1" t="s">
        <v>8441</v>
      </c>
      <c r="AT461" s="1" t="s">
        <v>1362</v>
      </c>
      <c r="AU461" s="1" t="n">
        <v>2024</v>
      </c>
      <c r="AV461" s="1" t="n">
        <v>22</v>
      </c>
      <c r="AW461" s="1" t="n">
        <v>5</v>
      </c>
      <c r="AX461" s="1"/>
      <c r="AY461" s="1"/>
      <c r="AZ461" s="1"/>
      <c r="BA461" s="1"/>
      <c r="BB461" s="1" t="n">
        <v>1142</v>
      </c>
      <c r="BC461" s="1" t="n">
        <v>1149</v>
      </c>
      <c r="BD461" s="1"/>
      <c r="BE461" s="1" t="s">
        <v>8442</v>
      </c>
      <c r="BF461" s="1" t="str">
        <f aca="false">HYPERLINK("http://dx.doi.org/10.1017/S1478951523001323","http://dx.doi.org/10.1017/S1478951523001323")</f>
        <v>http://dx.doi.org/10.1017/S1478951523001323</v>
      </c>
      <c r="BG461" s="1"/>
      <c r="BH461" s="1" t="s">
        <v>6154</v>
      </c>
      <c r="BI461" s="1" t="n">
        <v>8</v>
      </c>
      <c r="BJ461" s="1" t="s">
        <v>8443</v>
      </c>
      <c r="BK461" s="1" t="s">
        <v>610</v>
      </c>
      <c r="BL461" s="1" t="s">
        <v>4452</v>
      </c>
      <c r="BM461" s="1" t="s">
        <v>8444</v>
      </c>
      <c r="BN461" s="1" t="n">
        <v>37746762</v>
      </c>
      <c r="BO461" s="1" t="s">
        <v>612</v>
      </c>
      <c r="BP461" s="1"/>
      <c r="BQ461" s="1"/>
      <c r="BR461" s="1" t="s">
        <v>103</v>
      </c>
      <c r="BS461" s="1" t="s">
        <v>8445</v>
      </c>
      <c r="BT461" s="1" t="str">
        <f aca="false">HYPERLINK("https%3A%2F%2Fwww.webofscience.com%2Fwos%2Fwoscc%2Ffull-record%2FWOS:001071522700001","View Full Record in Web of Science")</f>
        <v>View Full Record in Web of Science</v>
      </c>
    </row>
    <row r="462" customFormat="false" ht="12.75" hidden="false" customHeight="false" outlineLevel="0" collapsed="false">
      <c r="A462" s="1" t="s">
        <v>72</v>
      </c>
      <c r="B462" s="1" t="s">
        <v>4050</v>
      </c>
      <c r="C462" s="1"/>
      <c r="D462" s="1"/>
      <c r="E462" s="1" t="s">
        <v>106</v>
      </c>
      <c r="F462" s="1" t="s">
        <v>4051</v>
      </c>
      <c r="G462" s="1"/>
      <c r="H462" s="1"/>
      <c r="I462" s="1" t="s">
        <v>8446</v>
      </c>
      <c r="J462" s="1" t="s">
        <v>3388</v>
      </c>
      <c r="K462" s="1"/>
      <c r="L462" s="1"/>
      <c r="M462" s="1" t="s">
        <v>78</v>
      </c>
      <c r="N462" s="1" t="s">
        <v>79</v>
      </c>
      <c r="O462" s="1" t="s">
        <v>3389</v>
      </c>
      <c r="P462" s="1" t="s">
        <v>3390</v>
      </c>
      <c r="Q462" s="1" t="s">
        <v>2932</v>
      </c>
      <c r="R462" s="1" t="s">
        <v>3391</v>
      </c>
      <c r="S462" s="1"/>
      <c r="T462" s="1" t="s">
        <v>8447</v>
      </c>
      <c r="U462" s="1"/>
      <c r="V462" s="1" t="s">
        <v>8448</v>
      </c>
      <c r="W462" s="1" t="s">
        <v>8449</v>
      </c>
      <c r="X462" s="1" t="s">
        <v>8450</v>
      </c>
      <c r="Y462" s="1" t="s">
        <v>8451</v>
      </c>
      <c r="Z462" s="1" t="s">
        <v>8452</v>
      </c>
      <c r="AA462" s="1" t="s">
        <v>2867</v>
      </c>
      <c r="AB462" s="1" t="s">
        <v>8453</v>
      </c>
      <c r="AC462" s="1" t="s">
        <v>8454</v>
      </c>
      <c r="AD462" s="1" t="s">
        <v>8455</v>
      </c>
      <c r="AE462" s="1" t="s">
        <v>8456</v>
      </c>
      <c r="AF462" s="1"/>
      <c r="AG462" s="1" t="n">
        <v>23</v>
      </c>
      <c r="AH462" s="1" t="n">
        <v>1</v>
      </c>
      <c r="AI462" s="1" t="n">
        <v>1</v>
      </c>
      <c r="AJ462" s="1" t="n">
        <v>0</v>
      </c>
      <c r="AK462" s="1" t="n">
        <v>3</v>
      </c>
      <c r="AL462" s="1" t="s">
        <v>106</v>
      </c>
      <c r="AM462" s="1" t="s">
        <v>95</v>
      </c>
      <c r="AN462" s="1" t="s">
        <v>122</v>
      </c>
      <c r="AO462" s="1"/>
      <c r="AP462" s="1"/>
      <c r="AQ462" s="1" t="s">
        <v>3398</v>
      </c>
      <c r="AR462" s="1"/>
      <c r="AS462" s="1"/>
      <c r="AT462" s="1"/>
      <c r="AU462" s="1" t="n">
        <v>2023</v>
      </c>
      <c r="AV462" s="1"/>
      <c r="AW462" s="1"/>
      <c r="AX462" s="1"/>
      <c r="AY462" s="1"/>
      <c r="AZ462" s="1"/>
      <c r="BA462" s="1"/>
      <c r="BB462" s="1"/>
      <c r="BC462" s="1"/>
      <c r="BD462" s="1"/>
      <c r="BE462" s="1" t="s">
        <v>8457</v>
      </c>
      <c r="BF462" s="1" t="str">
        <f aca="false">HYPERLINK("http://dx.doi.org/10.1109/RADARCONF2351548.2023.10149587","http://dx.doi.org/10.1109/RADARCONF2351548.2023.10149587")</f>
        <v>http://dx.doi.org/10.1109/RADARCONF2351548.2023.10149587</v>
      </c>
      <c r="BG462" s="1"/>
      <c r="BH462" s="1"/>
      <c r="BI462" s="1" t="n">
        <v>6</v>
      </c>
      <c r="BJ462" s="1" t="s">
        <v>3400</v>
      </c>
      <c r="BK462" s="1" t="s">
        <v>100</v>
      </c>
      <c r="BL462" s="1" t="s">
        <v>3400</v>
      </c>
      <c r="BM462" s="1" t="s">
        <v>3401</v>
      </c>
      <c r="BN462" s="1"/>
      <c r="BO462" s="1"/>
      <c r="BP462" s="1"/>
      <c r="BQ462" s="1"/>
      <c r="BR462" s="1" t="s">
        <v>103</v>
      </c>
      <c r="BS462" s="1" t="s">
        <v>8458</v>
      </c>
      <c r="BT462" s="1" t="str">
        <f aca="false">HYPERLINK("https%3A%2F%2Fwww.webofscience.com%2Fwos%2Fwoscc%2Ffull-record%2FWOS:001031599600049","View Full Record in Web of Science")</f>
        <v>View Full Record in Web of Science</v>
      </c>
    </row>
    <row r="463" customFormat="false" ht="12.75" hidden="false" customHeight="false" outlineLevel="0" collapsed="false">
      <c r="A463" s="1" t="s">
        <v>181</v>
      </c>
      <c r="B463" s="1" t="s">
        <v>8459</v>
      </c>
      <c r="C463" s="1"/>
      <c r="D463" s="1"/>
      <c r="E463" s="1"/>
      <c r="F463" s="1" t="s">
        <v>8460</v>
      </c>
      <c r="G463" s="1"/>
      <c r="H463" s="1"/>
      <c r="I463" s="1" t="s">
        <v>8461</v>
      </c>
      <c r="J463" s="1" t="s">
        <v>8462</v>
      </c>
      <c r="K463" s="1"/>
      <c r="L463" s="1"/>
      <c r="M463" s="1" t="s">
        <v>78</v>
      </c>
      <c r="N463" s="1" t="s">
        <v>186</v>
      </c>
      <c r="O463" s="1"/>
      <c r="P463" s="1"/>
      <c r="Q463" s="1"/>
      <c r="R463" s="1"/>
      <c r="S463" s="1"/>
      <c r="T463" s="1" t="s">
        <v>8463</v>
      </c>
      <c r="U463" s="1"/>
      <c r="V463" s="1" t="s">
        <v>8464</v>
      </c>
      <c r="W463" s="1" t="s">
        <v>8465</v>
      </c>
      <c r="X463" s="1" t="s">
        <v>8466</v>
      </c>
      <c r="Y463" s="1" t="s">
        <v>8467</v>
      </c>
      <c r="Z463" s="1" t="s">
        <v>8468</v>
      </c>
      <c r="AA463" s="1" t="s">
        <v>8469</v>
      </c>
      <c r="AB463" s="1" t="s">
        <v>8470</v>
      </c>
      <c r="AC463" s="1" t="s">
        <v>8471</v>
      </c>
      <c r="AD463" s="1" t="s">
        <v>8472</v>
      </c>
      <c r="AE463" s="1" t="s">
        <v>8473</v>
      </c>
      <c r="AF463" s="1"/>
      <c r="AG463" s="1" t="n">
        <v>34</v>
      </c>
      <c r="AH463" s="1" t="n">
        <v>0</v>
      </c>
      <c r="AI463" s="1" t="n">
        <v>0</v>
      </c>
      <c r="AJ463" s="1" t="n">
        <v>4</v>
      </c>
      <c r="AK463" s="1" t="n">
        <v>4</v>
      </c>
      <c r="AL463" s="1" t="s">
        <v>1651</v>
      </c>
      <c r="AM463" s="1" t="s">
        <v>1026</v>
      </c>
      <c r="AN463" s="1" t="s">
        <v>1652</v>
      </c>
      <c r="AO463" s="1" t="s">
        <v>8474</v>
      </c>
      <c r="AP463" s="1" t="s">
        <v>8475</v>
      </c>
      <c r="AQ463" s="1"/>
      <c r="AR463" s="1" t="s">
        <v>8462</v>
      </c>
      <c r="AS463" s="1" t="s">
        <v>8476</v>
      </c>
      <c r="AT463" s="1" t="s">
        <v>8477</v>
      </c>
      <c r="AU463" s="1" t="n">
        <v>2024</v>
      </c>
      <c r="AV463" s="1" t="n">
        <v>307</v>
      </c>
      <c r="AW463" s="1"/>
      <c r="AX463" s="1"/>
      <c r="AY463" s="1"/>
      <c r="AZ463" s="1"/>
      <c r="BA463" s="1"/>
      <c r="BB463" s="1"/>
      <c r="BC463" s="1"/>
      <c r="BD463" s="1" t="n">
        <v>132711</v>
      </c>
      <c r="BE463" s="1" t="s">
        <v>8478</v>
      </c>
      <c r="BF463" s="1" t="str">
        <f aca="false">HYPERLINK("http://dx.doi.org/10.1016/j.energy.2024.132711","http://dx.doi.org/10.1016/j.energy.2024.132711")</f>
        <v>http://dx.doi.org/10.1016/j.energy.2024.132711</v>
      </c>
      <c r="BG463" s="1"/>
      <c r="BH463" s="1" t="s">
        <v>6127</v>
      </c>
      <c r="BI463" s="1" t="n">
        <v>12</v>
      </c>
      <c r="BJ463" s="1" t="s">
        <v>8479</v>
      </c>
      <c r="BK463" s="1" t="s">
        <v>204</v>
      </c>
      <c r="BL463" s="1" t="s">
        <v>8479</v>
      </c>
      <c r="BM463" s="1" t="s">
        <v>8480</v>
      </c>
      <c r="BN463" s="1"/>
      <c r="BO463" s="1" t="s">
        <v>282</v>
      </c>
      <c r="BP463" s="1"/>
      <c r="BQ463" s="1"/>
      <c r="BR463" s="1" t="s">
        <v>103</v>
      </c>
      <c r="BS463" s="1" t="s">
        <v>8481</v>
      </c>
      <c r="BT463" s="1" t="str">
        <f aca="false">HYPERLINK("https%3A%2F%2Fwww.webofscience.com%2Fwos%2Fwoscc%2Ffull-record%2FWOS:001294250900001","View Full Record in Web of Science")</f>
        <v>View Full Record in Web of Science</v>
      </c>
    </row>
    <row r="464" customFormat="false" ht="12.75" hidden="false" customHeight="false" outlineLevel="0" collapsed="false">
      <c r="A464" s="1" t="s">
        <v>181</v>
      </c>
      <c r="B464" s="1" t="s">
        <v>8482</v>
      </c>
      <c r="C464" s="1"/>
      <c r="D464" s="1"/>
      <c r="E464" s="1"/>
      <c r="F464" s="1" t="s">
        <v>8483</v>
      </c>
      <c r="G464" s="1"/>
      <c r="H464" s="1"/>
      <c r="I464" s="1" t="s">
        <v>8484</v>
      </c>
      <c r="J464" s="1" t="s">
        <v>1378</v>
      </c>
      <c r="K464" s="1"/>
      <c r="L464" s="1"/>
      <c r="M464" s="1" t="s">
        <v>78</v>
      </c>
      <c r="N464" s="1" t="s">
        <v>186</v>
      </c>
      <c r="O464" s="1"/>
      <c r="P464" s="1"/>
      <c r="Q464" s="1"/>
      <c r="R464" s="1"/>
      <c r="S464" s="1"/>
      <c r="T464" s="1" t="s">
        <v>8485</v>
      </c>
      <c r="U464" s="1" t="s">
        <v>8486</v>
      </c>
      <c r="V464" s="1" t="s">
        <v>8487</v>
      </c>
      <c r="W464" s="1" t="s">
        <v>8488</v>
      </c>
      <c r="X464" s="1" t="s">
        <v>8489</v>
      </c>
      <c r="Y464" s="1" t="s">
        <v>8490</v>
      </c>
      <c r="Z464" s="1" t="s">
        <v>8491</v>
      </c>
      <c r="AA464" s="1" t="s">
        <v>8492</v>
      </c>
      <c r="AB464" s="1" t="s">
        <v>8493</v>
      </c>
      <c r="AC464" s="1"/>
      <c r="AD464" s="1"/>
      <c r="AE464" s="1"/>
      <c r="AF464" s="1"/>
      <c r="AG464" s="1" t="n">
        <v>67</v>
      </c>
      <c r="AH464" s="1" t="n">
        <v>0</v>
      </c>
      <c r="AI464" s="1" t="n">
        <v>0</v>
      </c>
      <c r="AJ464" s="1" t="n">
        <v>1</v>
      </c>
      <c r="AK464" s="1" t="n">
        <v>4</v>
      </c>
      <c r="AL464" s="1" t="s">
        <v>893</v>
      </c>
      <c r="AM464" s="1" t="s">
        <v>894</v>
      </c>
      <c r="AN464" s="1" t="s">
        <v>895</v>
      </c>
      <c r="AO464" s="1" t="s">
        <v>1387</v>
      </c>
      <c r="AP464" s="1" t="s">
        <v>1388</v>
      </c>
      <c r="AQ464" s="1"/>
      <c r="AR464" s="1" t="s">
        <v>1389</v>
      </c>
      <c r="AS464" s="1" t="s">
        <v>1390</v>
      </c>
      <c r="AT464" s="1" t="s">
        <v>754</v>
      </c>
      <c r="AU464" s="1" t="n">
        <v>2024</v>
      </c>
      <c r="AV464" s="1" t="n">
        <v>169</v>
      </c>
      <c r="AW464" s="1"/>
      <c r="AX464" s="1"/>
      <c r="AY464" s="1"/>
      <c r="AZ464" s="1"/>
      <c r="BA464" s="1"/>
      <c r="BB464" s="1"/>
      <c r="BC464" s="1"/>
      <c r="BD464" s="1" t="n">
        <v>107407</v>
      </c>
      <c r="BE464" s="1" t="s">
        <v>8494</v>
      </c>
      <c r="BF464" s="1" t="str">
        <f aca="false">HYPERLINK("http://dx.doi.org/10.1016/j.infsof.2024.107407","http://dx.doi.org/10.1016/j.infsof.2024.107407")</f>
        <v>http://dx.doi.org/10.1016/j.infsof.2024.107407</v>
      </c>
      <c r="BG464" s="1"/>
      <c r="BH464" s="1" t="s">
        <v>3549</v>
      </c>
      <c r="BI464" s="1" t="n">
        <v>17</v>
      </c>
      <c r="BJ464" s="1" t="s">
        <v>1394</v>
      </c>
      <c r="BK464" s="1" t="s">
        <v>204</v>
      </c>
      <c r="BL464" s="1" t="s">
        <v>101</v>
      </c>
      <c r="BM464" s="1" t="s">
        <v>8495</v>
      </c>
      <c r="BN464" s="1"/>
      <c r="BO464" s="1"/>
      <c r="BP464" s="1"/>
      <c r="BQ464" s="1"/>
      <c r="BR464" s="1" t="s">
        <v>103</v>
      </c>
      <c r="BS464" s="1" t="s">
        <v>8496</v>
      </c>
      <c r="BT464" s="1" t="str">
        <f aca="false">HYPERLINK("https%3A%2F%2Fwww.webofscience.com%2Fwos%2Fwoscc%2Ffull-record%2FWOS:001184278400001","View Full Record in Web of Science")</f>
        <v>View Full Record in Web of Science</v>
      </c>
    </row>
    <row r="465" customFormat="false" ht="12.75" hidden="false" customHeight="false" outlineLevel="0" collapsed="false">
      <c r="A465" s="1" t="s">
        <v>181</v>
      </c>
      <c r="B465" s="1" t="s">
        <v>8497</v>
      </c>
      <c r="C465" s="1"/>
      <c r="D465" s="1"/>
      <c r="E465" s="1"/>
      <c r="F465" s="1" t="s">
        <v>8498</v>
      </c>
      <c r="G465" s="1"/>
      <c r="H465" s="1"/>
      <c r="I465" s="1" t="s">
        <v>8499</v>
      </c>
      <c r="J465" s="1" t="s">
        <v>8500</v>
      </c>
      <c r="K465" s="1"/>
      <c r="L465" s="1"/>
      <c r="M465" s="1" t="s">
        <v>78</v>
      </c>
      <c r="N465" s="1" t="s">
        <v>186</v>
      </c>
      <c r="O465" s="1"/>
      <c r="P465" s="1"/>
      <c r="Q465" s="1"/>
      <c r="R465" s="1"/>
      <c r="S465" s="1"/>
      <c r="T465" s="1" t="s">
        <v>8501</v>
      </c>
      <c r="U465" s="1" t="s">
        <v>8502</v>
      </c>
      <c r="V465" s="1" t="s">
        <v>8503</v>
      </c>
      <c r="W465" s="1" t="s">
        <v>8504</v>
      </c>
      <c r="X465" s="1" t="s">
        <v>6075</v>
      </c>
      <c r="Y465" s="1" t="s">
        <v>8505</v>
      </c>
      <c r="Z465" s="1" t="s">
        <v>8506</v>
      </c>
      <c r="AA465" s="1" t="s">
        <v>8507</v>
      </c>
      <c r="AB465" s="1" t="s">
        <v>8508</v>
      </c>
      <c r="AC465" s="1" t="s">
        <v>8509</v>
      </c>
      <c r="AD465" s="1" t="s">
        <v>8510</v>
      </c>
      <c r="AE465" s="1" t="s">
        <v>8511</v>
      </c>
      <c r="AF465" s="1"/>
      <c r="AG465" s="1" t="n">
        <v>49</v>
      </c>
      <c r="AH465" s="1" t="n">
        <v>2</v>
      </c>
      <c r="AI465" s="1" t="n">
        <v>2</v>
      </c>
      <c r="AJ465" s="1" t="n">
        <v>1</v>
      </c>
      <c r="AK465" s="1" t="n">
        <v>7</v>
      </c>
      <c r="AL465" s="1" t="s">
        <v>893</v>
      </c>
      <c r="AM465" s="1" t="s">
        <v>894</v>
      </c>
      <c r="AN465" s="1" t="s">
        <v>895</v>
      </c>
      <c r="AO465" s="1" t="s">
        <v>8512</v>
      </c>
      <c r="AP465" s="1" t="s">
        <v>8513</v>
      </c>
      <c r="AQ465" s="1"/>
      <c r="AR465" s="1" t="s">
        <v>8514</v>
      </c>
      <c r="AS465" s="1" t="s">
        <v>8515</v>
      </c>
      <c r="AT465" s="1" t="s">
        <v>372</v>
      </c>
      <c r="AU465" s="1" t="n">
        <v>2023</v>
      </c>
      <c r="AV465" s="1" t="n">
        <v>60</v>
      </c>
      <c r="AW465" s="1"/>
      <c r="AX465" s="1"/>
      <c r="AY465" s="1"/>
      <c r="AZ465" s="1"/>
      <c r="BA465" s="1"/>
      <c r="BB465" s="1"/>
      <c r="BC465" s="1"/>
      <c r="BD465" s="1" t="n">
        <v>103493</v>
      </c>
      <c r="BE465" s="1" t="s">
        <v>8516</v>
      </c>
      <c r="BF465" s="1" t="str">
        <f aca="false">HYPERLINK("http://dx.doi.org/10.1016/j.seta.2023.103493","http://dx.doi.org/10.1016/j.seta.2023.103493")</f>
        <v>http://dx.doi.org/10.1016/j.seta.2023.103493</v>
      </c>
      <c r="BG465" s="1"/>
      <c r="BH465" s="1" t="s">
        <v>2672</v>
      </c>
      <c r="BI465" s="1" t="n">
        <v>11</v>
      </c>
      <c r="BJ465" s="1" t="s">
        <v>8517</v>
      </c>
      <c r="BK465" s="1" t="s">
        <v>204</v>
      </c>
      <c r="BL465" s="1" t="s">
        <v>8518</v>
      </c>
      <c r="BM465" s="1" t="s">
        <v>8519</v>
      </c>
      <c r="BN465" s="1"/>
      <c r="BO465" s="1" t="s">
        <v>207</v>
      </c>
      <c r="BP465" s="1"/>
      <c r="BQ465" s="1"/>
      <c r="BR465" s="1" t="s">
        <v>103</v>
      </c>
      <c r="BS465" s="1" t="s">
        <v>8520</v>
      </c>
      <c r="BT465" s="1" t="str">
        <f aca="false">HYPERLINK("https%3A%2F%2Fwww.webofscience.com%2Fwos%2Fwoscc%2Ffull-record%2FWOS:001124397200001","View Full Record in Web of Science")</f>
        <v>View Full Record in Web of Science</v>
      </c>
    </row>
    <row r="466" customFormat="false" ht="12.75" hidden="false" customHeight="false" outlineLevel="0" collapsed="false">
      <c r="A466" s="1" t="s">
        <v>181</v>
      </c>
      <c r="B466" s="1" t="s">
        <v>4393</v>
      </c>
      <c r="C466" s="1"/>
      <c r="D466" s="1"/>
      <c r="E466" s="1"/>
      <c r="F466" s="1" t="s">
        <v>4394</v>
      </c>
      <c r="G466" s="1"/>
      <c r="H466" s="1"/>
      <c r="I466" s="1" t="s">
        <v>8521</v>
      </c>
      <c r="J466" s="1" t="s">
        <v>1629</v>
      </c>
      <c r="K466" s="1"/>
      <c r="L466" s="1"/>
      <c r="M466" s="1" t="s">
        <v>78</v>
      </c>
      <c r="N466" s="1" t="s">
        <v>5066</v>
      </c>
      <c r="O466" s="1"/>
      <c r="P466" s="1"/>
      <c r="Q466" s="1"/>
      <c r="R466" s="1"/>
      <c r="S466" s="1"/>
      <c r="T466" s="1" t="s">
        <v>8522</v>
      </c>
      <c r="U466" s="1"/>
      <c r="V466" s="1" t="s">
        <v>8523</v>
      </c>
      <c r="W466" s="1" t="s">
        <v>8524</v>
      </c>
      <c r="X466" s="1" t="s">
        <v>8525</v>
      </c>
      <c r="Y466" s="1" t="s">
        <v>2451</v>
      </c>
      <c r="Z466" s="1" t="s">
        <v>4400</v>
      </c>
      <c r="AA466" s="1"/>
      <c r="AB466" s="1"/>
      <c r="AC466" s="1"/>
      <c r="AD466" s="1"/>
      <c r="AE466" s="1"/>
      <c r="AF466" s="1"/>
      <c r="AG466" s="1" t="n">
        <v>1</v>
      </c>
      <c r="AH466" s="1" t="n">
        <v>1</v>
      </c>
      <c r="AI466" s="1" t="n">
        <v>1</v>
      </c>
      <c r="AJ466" s="1" t="n">
        <v>0</v>
      </c>
      <c r="AK466" s="1" t="n">
        <v>3</v>
      </c>
      <c r="AL466" s="1" t="s">
        <v>704</v>
      </c>
      <c r="AM466" s="1" t="s">
        <v>705</v>
      </c>
      <c r="AN466" s="1" t="s">
        <v>706</v>
      </c>
      <c r="AO466" s="1" t="s">
        <v>1634</v>
      </c>
      <c r="AP466" s="1" t="s">
        <v>1635</v>
      </c>
      <c r="AQ466" s="1"/>
      <c r="AR466" s="1" t="s">
        <v>1636</v>
      </c>
      <c r="AS466" s="1" t="s">
        <v>1637</v>
      </c>
      <c r="AT466" s="1" t="s">
        <v>754</v>
      </c>
      <c r="AU466" s="1" t="n">
        <v>2024</v>
      </c>
      <c r="AV466" s="1" t="n">
        <v>23</v>
      </c>
      <c r="AW466" s="1" t="n">
        <v>6</v>
      </c>
      <c r="AX466" s="1"/>
      <c r="AY466" s="1"/>
      <c r="AZ466" s="1"/>
      <c r="BA466" s="1"/>
      <c r="BB466" s="1"/>
      <c r="BC466" s="1"/>
      <c r="BD466" s="1" t="n">
        <v>2492001</v>
      </c>
      <c r="BE466" s="1" t="s">
        <v>8526</v>
      </c>
      <c r="BF466" s="1" t="str">
        <f aca="false">HYPERLINK("http://dx.doi.org/10.1142/S0219498824920014","http://dx.doi.org/10.1142/S0219498824920014")</f>
        <v>http://dx.doi.org/10.1142/S0219498824920014</v>
      </c>
      <c r="BG466" s="1"/>
      <c r="BH466" s="1" t="s">
        <v>4380</v>
      </c>
      <c r="BI466" s="1" t="n">
        <v>3</v>
      </c>
      <c r="BJ466" s="1" t="s">
        <v>1007</v>
      </c>
      <c r="BK466" s="1" t="s">
        <v>204</v>
      </c>
      <c r="BL466" s="1" t="s">
        <v>280</v>
      </c>
      <c r="BM466" s="1" t="s">
        <v>8527</v>
      </c>
      <c r="BN466" s="1"/>
      <c r="BO466" s="1"/>
      <c r="BP466" s="1"/>
      <c r="BQ466" s="1"/>
      <c r="BR466" s="1" t="s">
        <v>103</v>
      </c>
      <c r="BS466" s="1" t="s">
        <v>8528</v>
      </c>
      <c r="BT466" s="1" t="str">
        <f aca="false">HYPERLINK("https%3A%2F%2Fwww.webofscience.com%2Fwos%2Fwoscc%2Ffull-record%2FWOS:000946343400001","View Full Record in Web of Science")</f>
        <v>View Full Record in Web of Science</v>
      </c>
    </row>
    <row r="467" customFormat="false" ht="12.75" hidden="false" customHeight="false" outlineLevel="0" collapsed="false">
      <c r="A467" s="1" t="s">
        <v>72</v>
      </c>
      <c r="B467" s="1" t="s">
        <v>8529</v>
      </c>
      <c r="C467" s="1"/>
      <c r="D467" s="1"/>
      <c r="E467" s="1" t="s">
        <v>106</v>
      </c>
      <c r="F467" s="1" t="s">
        <v>8530</v>
      </c>
      <c r="G467" s="1"/>
      <c r="H467" s="1"/>
      <c r="I467" s="1" t="s">
        <v>8531</v>
      </c>
      <c r="J467" s="1" t="s">
        <v>8532</v>
      </c>
      <c r="K467" s="1"/>
      <c r="L467" s="1"/>
      <c r="M467" s="1" t="s">
        <v>78</v>
      </c>
      <c r="N467" s="1" t="s">
        <v>79</v>
      </c>
      <c r="O467" s="1" t="s">
        <v>8533</v>
      </c>
      <c r="P467" s="1" t="s">
        <v>8534</v>
      </c>
      <c r="Q467" s="1" t="s">
        <v>3135</v>
      </c>
      <c r="R467" s="1" t="s">
        <v>8535</v>
      </c>
      <c r="S467" s="1"/>
      <c r="T467" s="1" t="s">
        <v>8536</v>
      </c>
      <c r="U467" s="1"/>
      <c r="V467" s="1"/>
      <c r="W467" s="1" t="s">
        <v>8537</v>
      </c>
      <c r="X467" s="1" t="s">
        <v>8538</v>
      </c>
      <c r="Y467" s="1" t="s">
        <v>8539</v>
      </c>
      <c r="Z467" s="1" t="s">
        <v>8540</v>
      </c>
      <c r="AA467" s="1" t="s">
        <v>8541</v>
      </c>
      <c r="AB467" s="1"/>
      <c r="AC467" s="1"/>
      <c r="AD467" s="1"/>
      <c r="AE467" s="1"/>
      <c r="AF467" s="1"/>
      <c r="AG467" s="1" t="n">
        <v>9</v>
      </c>
      <c r="AH467" s="1" t="n">
        <v>1</v>
      </c>
      <c r="AI467" s="1" t="n">
        <v>1</v>
      </c>
      <c r="AJ467" s="1" t="n">
        <v>0</v>
      </c>
      <c r="AK467" s="1" t="n">
        <v>3</v>
      </c>
      <c r="AL467" s="1" t="s">
        <v>106</v>
      </c>
      <c r="AM467" s="1" t="s">
        <v>95</v>
      </c>
      <c r="AN467" s="1" t="s">
        <v>122</v>
      </c>
      <c r="AO467" s="1"/>
      <c r="AP467" s="1"/>
      <c r="AQ467" s="1" t="s">
        <v>8542</v>
      </c>
      <c r="AR467" s="1"/>
      <c r="AS467" s="1"/>
      <c r="AT467" s="1"/>
      <c r="AU467" s="1" t="n">
        <v>2021</v>
      </c>
      <c r="AV467" s="1"/>
      <c r="AW467" s="1"/>
      <c r="AX467" s="1"/>
      <c r="AY467" s="1"/>
      <c r="AZ467" s="1"/>
      <c r="BA467" s="1"/>
      <c r="BB467" s="1" t="n">
        <v>632</v>
      </c>
      <c r="BC467" s="1" t="n">
        <v>636</v>
      </c>
      <c r="BD467" s="1"/>
      <c r="BE467" s="1"/>
      <c r="BF467" s="1"/>
      <c r="BG467" s="1"/>
      <c r="BH467" s="1"/>
      <c r="BI467" s="1" t="n">
        <v>5</v>
      </c>
      <c r="BJ467" s="1" t="s">
        <v>8543</v>
      </c>
      <c r="BK467" s="1" t="s">
        <v>100</v>
      </c>
      <c r="BL467" s="1" t="s">
        <v>8544</v>
      </c>
      <c r="BM467" s="1" t="s">
        <v>8545</v>
      </c>
      <c r="BN467" s="1"/>
      <c r="BO467" s="1"/>
      <c r="BP467" s="1"/>
      <c r="BQ467" s="1"/>
      <c r="BR467" s="1" t="s">
        <v>103</v>
      </c>
      <c r="BS467" s="1" t="s">
        <v>8546</v>
      </c>
      <c r="BT467" s="1" t="str">
        <f aca="false">HYPERLINK("https%3A%2F%2Fwww.webofscience.com%2Fwos%2Fwoscc%2Ffull-record%2FWOS:000838125200091","View Full Record in Web of Science")</f>
        <v>View Full Record in Web of Science</v>
      </c>
    </row>
    <row r="468" customFormat="false" ht="12.75" hidden="false" customHeight="false" outlineLevel="0" collapsed="false">
      <c r="A468" s="1" t="s">
        <v>181</v>
      </c>
      <c r="B468" s="1" t="s">
        <v>8547</v>
      </c>
      <c r="C468" s="1"/>
      <c r="D468" s="1"/>
      <c r="E468" s="1"/>
      <c r="F468" s="1" t="s">
        <v>8548</v>
      </c>
      <c r="G468" s="1"/>
      <c r="H468" s="1"/>
      <c r="I468" s="1" t="s">
        <v>8549</v>
      </c>
      <c r="J468" s="1" t="s">
        <v>8550</v>
      </c>
      <c r="K468" s="1"/>
      <c r="L468" s="1"/>
      <c r="M468" s="1" t="s">
        <v>78</v>
      </c>
      <c r="N468" s="1" t="s">
        <v>186</v>
      </c>
      <c r="O468" s="1"/>
      <c r="P468" s="1"/>
      <c r="Q468" s="1"/>
      <c r="R468" s="1"/>
      <c r="S468" s="1"/>
      <c r="T468" s="1" t="s">
        <v>8551</v>
      </c>
      <c r="U468" s="1" t="s">
        <v>8552</v>
      </c>
      <c r="V468" s="1" t="s">
        <v>8553</v>
      </c>
      <c r="W468" s="1" t="s">
        <v>8554</v>
      </c>
      <c r="X468" s="1" t="s">
        <v>8555</v>
      </c>
      <c r="Y468" s="1" t="s">
        <v>8556</v>
      </c>
      <c r="Z468" s="1" t="s">
        <v>8557</v>
      </c>
      <c r="AA468" s="1"/>
      <c r="AB468" s="1"/>
      <c r="AC468" s="1" t="s">
        <v>8558</v>
      </c>
      <c r="AD468" s="1" t="s">
        <v>8559</v>
      </c>
      <c r="AE468" s="1" t="s">
        <v>8560</v>
      </c>
      <c r="AF468" s="1"/>
      <c r="AG468" s="1" t="n">
        <v>43</v>
      </c>
      <c r="AH468" s="1" t="n">
        <v>0</v>
      </c>
      <c r="AI468" s="1" t="n">
        <v>0</v>
      </c>
      <c r="AJ468" s="1" t="n">
        <v>2</v>
      </c>
      <c r="AK468" s="1" t="n">
        <v>2</v>
      </c>
      <c r="AL468" s="1" t="s">
        <v>3425</v>
      </c>
      <c r="AM468" s="1" t="s">
        <v>3426</v>
      </c>
      <c r="AN468" s="1" t="s">
        <v>3427</v>
      </c>
      <c r="AO468" s="1" t="s">
        <v>8561</v>
      </c>
      <c r="AP468" s="1" t="s">
        <v>8562</v>
      </c>
      <c r="AQ468" s="1"/>
      <c r="AR468" s="1" t="s">
        <v>8563</v>
      </c>
      <c r="AS468" s="1" t="s">
        <v>8564</v>
      </c>
      <c r="AT468" s="1" t="s">
        <v>1453</v>
      </c>
      <c r="AU468" s="1" t="n">
        <v>2025</v>
      </c>
      <c r="AV468" s="1" t="n">
        <v>156</v>
      </c>
      <c r="AW468" s="1"/>
      <c r="AX468" s="1" t="s">
        <v>899</v>
      </c>
      <c r="AY468" s="1"/>
      <c r="AZ468" s="1"/>
      <c r="BA468" s="1"/>
      <c r="BB468" s="1"/>
      <c r="BC468" s="1"/>
      <c r="BD468" s="1" t="n">
        <v>104868</v>
      </c>
      <c r="BE468" s="1" t="s">
        <v>8565</v>
      </c>
      <c r="BF468" s="1" t="str">
        <f aca="false">HYPERLINK("http://dx.doi.org/10.1016/j.dsp.2024.104868","http://dx.doi.org/10.1016/j.dsp.2024.104868")</f>
        <v>http://dx.doi.org/10.1016/j.dsp.2024.104868</v>
      </c>
      <c r="BG468" s="1"/>
      <c r="BH468" s="1" t="s">
        <v>4047</v>
      </c>
      <c r="BI468" s="1" t="n">
        <v>10</v>
      </c>
      <c r="BJ468" s="1" t="s">
        <v>4421</v>
      </c>
      <c r="BK468" s="1" t="s">
        <v>204</v>
      </c>
      <c r="BL468" s="1" t="s">
        <v>640</v>
      </c>
      <c r="BM468" s="1" t="s">
        <v>8566</v>
      </c>
      <c r="BN468" s="1"/>
      <c r="BO468" s="1"/>
      <c r="BP468" s="1"/>
      <c r="BQ468" s="1"/>
      <c r="BR468" s="1" t="s">
        <v>103</v>
      </c>
      <c r="BS468" s="1" t="s">
        <v>8567</v>
      </c>
      <c r="BT468" s="1" t="str">
        <f aca="false">HYPERLINK("https%3A%2F%2Fwww.webofscience.com%2Fwos%2Fwoscc%2Ffull-record%2FWOS:001360503500001","View Full Record in Web of Science")</f>
        <v>View Full Record in Web of Science</v>
      </c>
    </row>
    <row r="469" customFormat="false" ht="12.75" hidden="false" customHeight="false" outlineLevel="0" collapsed="false">
      <c r="A469" s="1" t="s">
        <v>72</v>
      </c>
      <c r="B469" s="1" t="s">
        <v>8568</v>
      </c>
      <c r="C469" s="1"/>
      <c r="D469" s="1" t="s">
        <v>5149</v>
      </c>
      <c r="E469" s="1"/>
      <c r="F469" s="1" t="s">
        <v>8569</v>
      </c>
      <c r="G469" s="1"/>
      <c r="H469" s="1"/>
      <c r="I469" s="1" t="s">
        <v>8570</v>
      </c>
      <c r="J469" s="1" t="s">
        <v>5152</v>
      </c>
      <c r="K469" s="1" t="s">
        <v>5153</v>
      </c>
      <c r="L469" s="1"/>
      <c r="M469" s="1" t="s">
        <v>78</v>
      </c>
      <c r="N469" s="1" t="s">
        <v>79</v>
      </c>
      <c r="O469" s="1" t="s">
        <v>5154</v>
      </c>
      <c r="P469" s="1" t="s">
        <v>5155</v>
      </c>
      <c r="Q469" s="1" t="s">
        <v>5156</v>
      </c>
      <c r="R469" s="1" t="s">
        <v>5157</v>
      </c>
      <c r="S469" s="1"/>
      <c r="T469" s="1"/>
      <c r="U469" s="1"/>
      <c r="V469" s="1" t="s">
        <v>8571</v>
      </c>
      <c r="W469" s="1" t="s">
        <v>8572</v>
      </c>
      <c r="X469" s="1" t="s">
        <v>8367</v>
      </c>
      <c r="Y469" s="1" t="s">
        <v>8573</v>
      </c>
      <c r="Z469" s="1" t="s">
        <v>8574</v>
      </c>
      <c r="AA469" s="1" t="s">
        <v>5254</v>
      </c>
      <c r="AB469" s="1"/>
      <c r="AC469" s="1"/>
      <c r="AD469" s="1"/>
      <c r="AE469" s="1"/>
      <c r="AF469" s="1"/>
      <c r="AG469" s="1" t="n">
        <v>5</v>
      </c>
      <c r="AH469" s="1" t="n">
        <v>2</v>
      </c>
      <c r="AI469" s="1" t="n">
        <v>2</v>
      </c>
      <c r="AJ469" s="1" t="n">
        <v>0</v>
      </c>
      <c r="AK469" s="1" t="n">
        <v>2</v>
      </c>
      <c r="AL469" s="1" t="s">
        <v>5169</v>
      </c>
      <c r="AM469" s="1" t="s">
        <v>5170</v>
      </c>
      <c r="AN469" s="1" t="s">
        <v>5171</v>
      </c>
      <c r="AO469" s="1" t="s">
        <v>5172</v>
      </c>
      <c r="AP469" s="1"/>
      <c r="AQ469" s="1"/>
      <c r="AR469" s="1" t="s">
        <v>5173</v>
      </c>
      <c r="AS469" s="1"/>
      <c r="AT469" s="1"/>
      <c r="AU469" s="1" t="n">
        <v>2023</v>
      </c>
      <c r="AV469" s="1" t="n">
        <v>1284</v>
      </c>
      <c r="AW469" s="1"/>
      <c r="AX469" s="1"/>
      <c r="AY469" s="1"/>
      <c r="AZ469" s="1"/>
      <c r="BA469" s="1"/>
      <c r="BB469" s="1"/>
      <c r="BC469" s="1"/>
      <c r="BD469" s="1" t="n">
        <v>12087</v>
      </c>
      <c r="BE469" s="1" t="s">
        <v>8575</v>
      </c>
      <c r="BF469" s="1" t="str">
        <f aca="false">HYPERLINK("http://dx.doi.org/10.1088/1757-899X/1284/1/012087","http://dx.doi.org/10.1088/1757-899X/1284/1/012087")</f>
        <v>http://dx.doi.org/10.1088/1757-899X/1284/1/012087</v>
      </c>
      <c r="BG469" s="1"/>
      <c r="BH469" s="1"/>
      <c r="BI469" s="1" t="n">
        <v>9</v>
      </c>
      <c r="BJ469" s="1" t="s">
        <v>5175</v>
      </c>
      <c r="BK469" s="1" t="s">
        <v>100</v>
      </c>
      <c r="BL469" s="1" t="s">
        <v>5176</v>
      </c>
      <c r="BM469" s="1" t="s">
        <v>5177</v>
      </c>
      <c r="BN469" s="1"/>
      <c r="BO469" s="1" t="s">
        <v>376</v>
      </c>
      <c r="BP469" s="1"/>
      <c r="BQ469" s="1"/>
      <c r="BR469" s="1" t="s">
        <v>103</v>
      </c>
      <c r="BS469" s="1" t="s">
        <v>8576</v>
      </c>
      <c r="BT469" s="1" t="str">
        <f aca="false">HYPERLINK("https%3A%2F%2Fwww.webofscience.com%2Fwos%2Fwoscc%2Ffull-record%2FWOS:001017824300087","View Full Record in Web of Science")</f>
        <v>View Full Record in Web of Science</v>
      </c>
    </row>
    <row r="470" customFormat="false" ht="12.75" hidden="false" customHeight="false" outlineLevel="0" collapsed="false">
      <c r="A470" s="1" t="s">
        <v>181</v>
      </c>
      <c r="B470" s="1" t="s">
        <v>8577</v>
      </c>
      <c r="C470" s="1"/>
      <c r="D470" s="1"/>
      <c r="E470" s="1"/>
      <c r="F470" s="1" t="s">
        <v>8578</v>
      </c>
      <c r="G470" s="1"/>
      <c r="H470" s="1"/>
      <c r="I470" s="1" t="s">
        <v>8579</v>
      </c>
      <c r="J470" s="1" t="s">
        <v>1378</v>
      </c>
      <c r="K470" s="1"/>
      <c r="L470" s="1"/>
      <c r="M470" s="1" t="s">
        <v>78</v>
      </c>
      <c r="N470" s="1" t="s">
        <v>186</v>
      </c>
      <c r="O470" s="1"/>
      <c r="P470" s="1"/>
      <c r="Q470" s="1"/>
      <c r="R470" s="1"/>
      <c r="S470" s="1"/>
      <c r="T470" s="1" t="s">
        <v>8580</v>
      </c>
      <c r="U470" s="1" t="s">
        <v>8581</v>
      </c>
      <c r="V470" s="1" t="s">
        <v>8582</v>
      </c>
      <c r="W470" s="1" t="s">
        <v>8583</v>
      </c>
      <c r="X470" s="1" t="s">
        <v>6459</v>
      </c>
      <c r="Y470" s="1" t="s">
        <v>8584</v>
      </c>
      <c r="Z470" s="1" t="s">
        <v>8585</v>
      </c>
      <c r="AA470" s="1" t="s">
        <v>8586</v>
      </c>
      <c r="AB470" s="1" t="s">
        <v>8587</v>
      </c>
      <c r="AC470" s="1" t="s">
        <v>8588</v>
      </c>
      <c r="AD470" s="1" t="s">
        <v>8589</v>
      </c>
      <c r="AE470" s="1" t="s">
        <v>8590</v>
      </c>
      <c r="AF470" s="1"/>
      <c r="AG470" s="1" t="n">
        <v>72</v>
      </c>
      <c r="AH470" s="1" t="n">
        <v>4</v>
      </c>
      <c r="AI470" s="1" t="n">
        <v>4</v>
      </c>
      <c r="AJ470" s="1" t="n">
        <v>2</v>
      </c>
      <c r="AK470" s="1" t="n">
        <v>14</v>
      </c>
      <c r="AL470" s="1" t="s">
        <v>893</v>
      </c>
      <c r="AM470" s="1" t="s">
        <v>894</v>
      </c>
      <c r="AN470" s="1" t="s">
        <v>895</v>
      </c>
      <c r="AO470" s="1" t="s">
        <v>1387</v>
      </c>
      <c r="AP470" s="1" t="s">
        <v>1388</v>
      </c>
      <c r="AQ470" s="1"/>
      <c r="AR470" s="1" t="s">
        <v>1389</v>
      </c>
      <c r="AS470" s="1" t="s">
        <v>1390</v>
      </c>
      <c r="AT470" s="1" t="s">
        <v>1453</v>
      </c>
      <c r="AU470" s="1" t="n">
        <v>2021</v>
      </c>
      <c r="AV470" s="1" t="n">
        <v>129</v>
      </c>
      <c r="AW470" s="1"/>
      <c r="AX470" s="1"/>
      <c r="AY470" s="1"/>
      <c r="AZ470" s="1"/>
      <c r="BA470" s="1"/>
      <c r="BB470" s="1"/>
      <c r="BC470" s="1"/>
      <c r="BD470" s="1" t="n">
        <v>106433</v>
      </c>
      <c r="BE470" s="1" t="s">
        <v>8591</v>
      </c>
      <c r="BF470" s="1" t="str">
        <f aca="false">HYPERLINK("http://dx.doi.org/10.1016/j.infsof.2020.106433","http://dx.doi.org/10.1016/j.infsof.2020.106433")</f>
        <v>http://dx.doi.org/10.1016/j.infsof.2020.106433</v>
      </c>
      <c r="BG470" s="1"/>
      <c r="BH470" s="1"/>
      <c r="BI470" s="1" t="n">
        <v>18</v>
      </c>
      <c r="BJ470" s="1" t="s">
        <v>1394</v>
      </c>
      <c r="BK470" s="1" t="s">
        <v>204</v>
      </c>
      <c r="BL470" s="1" t="s">
        <v>101</v>
      </c>
      <c r="BM470" s="1" t="s">
        <v>8592</v>
      </c>
      <c r="BN470" s="1"/>
      <c r="BO470" s="1" t="s">
        <v>179</v>
      </c>
      <c r="BP470" s="1"/>
      <c r="BQ470" s="1"/>
      <c r="BR470" s="1" t="s">
        <v>103</v>
      </c>
      <c r="BS470" s="1" t="s">
        <v>8593</v>
      </c>
      <c r="BT470" s="1" t="str">
        <f aca="false">HYPERLINK("https%3A%2F%2Fwww.webofscience.com%2Fwos%2Fwoscc%2Ffull-record%2FWOS:000583428200011","View Full Record in Web of Science")</f>
        <v>View Full Record in Web of Science</v>
      </c>
    </row>
    <row r="471" customFormat="false" ht="12.75" hidden="false" customHeight="false" outlineLevel="0" collapsed="false">
      <c r="A471" s="1" t="s">
        <v>181</v>
      </c>
      <c r="B471" s="1" t="s">
        <v>8594</v>
      </c>
      <c r="C471" s="1"/>
      <c r="D471" s="1"/>
      <c r="E471" s="1"/>
      <c r="F471" s="1" t="s">
        <v>8595</v>
      </c>
      <c r="G471" s="1"/>
      <c r="H471" s="1"/>
      <c r="I471" s="1" t="s">
        <v>8596</v>
      </c>
      <c r="J471" s="1" t="s">
        <v>671</v>
      </c>
      <c r="K471" s="1"/>
      <c r="L471" s="1"/>
      <c r="M471" s="1" t="s">
        <v>78</v>
      </c>
      <c r="N471" s="1" t="s">
        <v>186</v>
      </c>
      <c r="O471" s="1"/>
      <c r="P471" s="1"/>
      <c r="Q471" s="1"/>
      <c r="R471" s="1"/>
      <c r="S471" s="1"/>
      <c r="T471" s="1" t="s">
        <v>8597</v>
      </c>
      <c r="U471" s="1" t="s">
        <v>8598</v>
      </c>
      <c r="V471" s="1" t="s">
        <v>8599</v>
      </c>
      <c r="W471" s="1" t="s">
        <v>8600</v>
      </c>
      <c r="X471" s="1" t="s">
        <v>5274</v>
      </c>
      <c r="Y471" s="1" t="s">
        <v>8601</v>
      </c>
      <c r="Z471" s="1" t="s">
        <v>8602</v>
      </c>
      <c r="AA471" s="1" t="s">
        <v>5020</v>
      </c>
      <c r="AB471" s="1"/>
      <c r="AC471" s="1" t="s">
        <v>2493</v>
      </c>
      <c r="AD471" s="1" t="s">
        <v>2493</v>
      </c>
      <c r="AE471" s="1" t="s">
        <v>8603</v>
      </c>
      <c r="AF471" s="1"/>
      <c r="AG471" s="1" t="n">
        <v>114</v>
      </c>
      <c r="AH471" s="1" t="n">
        <v>9</v>
      </c>
      <c r="AI471" s="1" t="n">
        <v>9</v>
      </c>
      <c r="AJ471" s="1" t="n">
        <v>2</v>
      </c>
      <c r="AK471" s="1" t="n">
        <v>19</v>
      </c>
      <c r="AL471" s="1" t="s">
        <v>679</v>
      </c>
      <c r="AM471" s="1" t="s">
        <v>680</v>
      </c>
      <c r="AN471" s="1" t="s">
        <v>681</v>
      </c>
      <c r="AO471" s="1" t="s">
        <v>682</v>
      </c>
      <c r="AP471" s="1" t="s">
        <v>683</v>
      </c>
      <c r="AQ471" s="1"/>
      <c r="AR471" s="1" t="s">
        <v>684</v>
      </c>
      <c r="AS471" s="1" t="s">
        <v>685</v>
      </c>
      <c r="AT471" s="1" t="s">
        <v>1391</v>
      </c>
      <c r="AU471" s="1" t="n">
        <v>2022</v>
      </c>
      <c r="AV471" s="1" t="n">
        <v>27</v>
      </c>
      <c r="AW471" s="1" t="n">
        <v>6</v>
      </c>
      <c r="AX471" s="1"/>
      <c r="AY471" s="1"/>
      <c r="AZ471" s="1"/>
      <c r="BA471" s="1"/>
      <c r="BB471" s="1"/>
      <c r="BC471" s="1"/>
      <c r="BD471" s="1" t="n">
        <v>157</v>
      </c>
      <c r="BE471" s="1" t="s">
        <v>8604</v>
      </c>
      <c r="BF471" s="1" t="str">
        <f aca="false">HYPERLINK("http://dx.doi.org/10.1007/s10664-022-10191-w","http://dx.doi.org/10.1007/s10664-022-10191-w")</f>
        <v>http://dx.doi.org/10.1007/s10664-022-10191-w</v>
      </c>
      <c r="BG471" s="1"/>
      <c r="BH471" s="1"/>
      <c r="BI471" s="1" t="n">
        <v>40</v>
      </c>
      <c r="BJ471" s="1" t="s">
        <v>252</v>
      </c>
      <c r="BK471" s="1" t="s">
        <v>204</v>
      </c>
      <c r="BL471" s="1" t="s">
        <v>101</v>
      </c>
      <c r="BM471" s="1" t="s">
        <v>8605</v>
      </c>
      <c r="BN471" s="1"/>
      <c r="BO471" s="1" t="s">
        <v>282</v>
      </c>
      <c r="BP471" s="1"/>
      <c r="BQ471" s="1"/>
      <c r="BR471" s="1" t="s">
        <v>103</v>
      </c>
      <c r="BS471" s="1" t="s">
        <v>8606</v>
      </c>
      <c r="BT471" s="1" t="str">
        <f aca="false">HYPERLINK("https%3A%2F%2Fwww.webofscience.com%2Fwos%2Fwoscc%2Ffull-record%2FWOS:000841240000001","View Full Record in Web of Science")</f>
        <v>View Full Record in Web of Science</v>
      </c>
    </row>
    <row r="472" customFormat="false" ht="12.75" hidden="false" customHeight="false" outlineLevel="0" collapsed="false">
      <c r="A472" s="1" t="s">
        <v>181</v>
      </c>
      <c r="B472" s="1" t="s">
        <v>8607</v>
      </c>
      <c r="C472" s="1"/>
      <c r="D472" s="1"/>
      <c r="E472" s="1"/>
      <c r="F472" s="1" t="s">
        <v>8608</v>
      </c>
      <c r="G472" s="1"/>
      <c r="H472" s="1"/>
      <c r="I472" s="1" t="s">
        <v>8609</v>
      </c>
      <c r="J472" s="1" t="s">
        <v>406</v>
      </c>
      <c r="K472" s="1"/>
      <c r="L472" s="1"/>
      <c r="M472" s="1" t="s">
        <v>78</v>
      </c>
      <c r="N472" s="1" t="s">
        <v>186</v>
      </c>
      <c r="O472" s="1"/>
      <c r="P472" s="1"/>
      <c r="Q472" s="1"/>
      <c r="R472" s="1"/>
      <c r="S472" s="1"/>
      <c r="T472" s="1" t="s">
        <v>8610</v>
      </c>
      <c r="U472" s="1" t="s">
        <v>8611</v>
      </c>
      <c r="V472" s="1" t="s">
        <v>8612</v>
      </c>
      <c r="W472" s="1" t="s">
        <v>8613</v>
      </c>
      <c r="X472" s="1" t="s">
        <v>6264</v>
      </c>
      <c r="Y472" s="1" t="s">
        <v>8614</v>
      </c>
      <c r="Z472" s="1" t="s">
        <v>8615</v>
      </c>
      <c r="AA472" s="1" t="s">
        <v>595</v>
      </c>
      <c r="AB472" s="1" t="s">
        <v>8616</v>
      </c>
      <c r="AC472" s="1" t="s">
        <v>3226</v>
      </c>
      <c r="AD472" s="1" t="s">
        <v>3226</v>
      </c>
      <c r="AE472" s="1" t="s">
        <v>8617</v>
      </c>
      <c r="AF472" s="1"/>
      <c r="AG472" s="1" t="n">
        <v>44</v>
      </c>
      <c r="AH472" s="1" t="n">
        <v>7</v>
      </c>
      <c r="AI472" s="1" t="n">
        <v>7</v>
      </c>
      <c r="AJ472" s="1" t="n">
        <v>7</v>
      </c>
      <c r="AK472" s="1" t="n">
        <v>41</v>
      </c>
      <c r="AL472" s="1" t="s">
        <v>367</v>
      </c>
      <c r="AM472" s="1" t="s">
        <v>368</v>
      </c>
      <c r="AN472" s="1" t="s">
        <v>369</v>
      </c>
      <c r="AO472" s="1"/>
      <c r="AP472" s="1" t="s">
        <v>418</v>
      </c>
      <c r="AQ472" s="1"/>
      <c r="AR472" s="1" t="s">
        <v>419</v>
      </c>
      <c r="AS472" s="1" t="s">
        <v>420</v>
      </c>
      <c r="AT472" s="1" t="s">
        <v>277</v>
      </c>
      <c r="AU472" s="1" t="n">
        <v>2022</v>
      </c>
      <c r="AV472" s="1" t="n">
        <v>19</v>
      </c>
      <c r="AW472" s="1" t="n">
        <v>6</v>
      </c>
      <c r="AX472" s="1"/>
      <c r="AY472" s="1"/>
      <c r="AZ472" s="1"/>
      <c r="BA472" s="1"/>
      <c r="BB472" s="1"/>
      <c r="BC472" s="1"/>
      <c r="BD472" s="1" t="n">
        <v>3711</v>
      </c>
      <c r="BE472" s="1" t="s">
        <v>8618</v>
      </c>
      <c r="BF472" s="1" t="str">
        <f aca="false">HYPERLINK("http://dx.doi.org/10.3390/ijerph19063711","http://dx.doi.org/10.3390/ijerph19063711")</f>
        <v>http://dx.doi.org/10.3390/ijerph19063711</v>
      </c>
      <c r="BG472" s="1"/>
      <c r="BH472" s="1"/>
      <c r="BI472" s="1" t="n">
        <v>11</v>
      </c>
      <c r="BJ472" s="1" t="s">
        <v>423</v>
      </c>
      <c r="BK472" s="1" t="s">
        <v>398</v>
      </c>
      <c r="BL472" s="1" t="s">
        <v>424</v>
      </c>
      <c r="BM472" s="1" t="s">
        <v>8619</v>
      </c>
      <c r="BN472" s="1" t="n">
        <v>35329398</v>
      </c>
      <c r="BO472" s="1" t="s">
        <v>401</v>
      </c>
      <c r="BP472" s="1"/>
      <c r="BQ472" s="1"/>
      <c r="BR472" s="1" t="s">
        <v>103</v>
      </c>
      <c r="BS472" s="1" t="s">
        <v>8620</v>
      </c>
      <c r="BT472" s="1" t="str">
        <f aca="false">HYPERLINK("https%3A%2F%2Fwww.webofscience.com%2Fwos%2Fwoscc%2Ffull-record%2FWOS:000775318900001","View Full Record in Web of Science")</f>
        <v>View Full Record in Web of Science</v>
      </c>
    </row>
    <row r="473" customFormat="false" ht="12.75" hidden="false" customHeight="false" outlineLevel="0" collapsed="false">
      <c r="A473" s="1" t="s">
        <v>181</v>
      </c>
      <c r="B473" s="1" t="s">
        <v>8621</v>
      </c>
      <c r="C473" s="1"/>
      <c r="D473" s="1"/>
      <c r="E473" s="1"/>
      <c r="F473" s="1" t="s">
        <v>8622</v>
      </c>
      <c r="G473" s="1"/>
      <c r="H473" s="1"/>
      <c r="I473" s="1" t="s">
        <v>8623</v>
      </c>
      <c r="J473" s="1" t="s">
        <v>8624</v>
      </c>
      <c r="K473" s="1"/>
      <c r="L473" s="1"/>
      <c r="M473" s="1" t="s">
        <v>78</v>
      </c>
      <c r="N473" s="1" t="s">
        <v>186</v>
      </c>
      <c r="O473" s="1"/>
      <c r="P473" s="1"/>
      <c r="Q473" s="1"/>
      <c r="R473" s="1"/>
      <c r="S473" s="1"/>
      <c r="T473" s="1" t="s">
        <v>8625</v>
      </c>
      <c r="U473" s="1" t="s">
        <v>8626</v>
      </c>
      <c r="V473" s="1" t="s">
        <v>8627</v>
      </c>
      <c r="W473" s="1" t="s">
        <v>8628</v>
      </c>
      <c r="X473" s="1" t="s">
        <v>6794</v>
      </c>
      <c r="Y473" s="1" t="s">
        <v>8629</v>
      </c>
      <c r="Z473" s="1" t="s">
        <v>8630</v>
      </c>
      <c r="AA473" s="1" t="s">
        <v>8631</v>
      </c>
      <c r="AB473" s="1"/>
      <c r="AC473" s="1" t="s">
        <v>8632</v>
      </c>
      <c r="AD473" s="1" t="s">
        <v>8633</v>
      </c>
      <c r="AE473" s="1" t="s">
        <v>8634</v>
      </c>
      <c r="AF473" s="1"/>
      <c r="AG473" s="1" t="n">
        <v>87</v>
      </c>
      <c r="AH473" s="1" t="n">
        <v>16</v>
      </c>
      <c r="AI473" s="1" t="n">
        <v>17</v>
      </c>
      <c r="AJ473" s="1" t="n">
        <v>0</v>
      </c>
      <c r="AK473" s="1" t="n">
        <v>11</v>
      </c>
      <c r="AL473" s="1" t="s">
        <v>893</v>
      </c>
      <c r="AM473" s="1" t="s">
        <v>894</v>
      </c>
      <c r="AN473" s="1" t="s">
        <v>895</v>
      </c>
      <c r="AO473" s="1" t="s">
        <v>8635</v>
      </c>
      <c r="AP473" s="1" t="s">
        <v>8636</v>
      </c>
      <c r="AQ473" s="1"/>
      <c r="AR473" s="1" t="s">
        <v>8637</v>
      </c>
      <c r="AS473" s="1" t="s">
        <v>8638</v>
      </c>
      <c r="AT473" s="1" t="s">
        <v>1362</v>
      </c>
      <c r="AU473" s="1" t="n">
        <v>2021</v>
      </c>
      <c r="AV473" s="1" t="n">
        <v>78</v>
      </c>
      <c r="AW473" s="1"/>
      <c r="AX473" s="1"/>
      <c r="AY473" s="1"/>
      <c r="AZ473" s="1"/>
      <c r="BA473" s="1"/>
      <c r="BB473" s="1"/>
      <c r="BC473" s="1"/>
      <c r="BD473" s="1" t="n">
        <v>103539</v>
      </c>
      <c r="BE473" s="1" t="s">
        <v>8639</v>
      </c>
      <c r="BF473" s="1" t="str">
        <f aca="false">HYPERLINK("http://dx.doi.org/10.1016/j.csi.2021.103539","http://dx.doi.org/10.1016/j.csi.2021.103539")</f>
        <v>http://dx.doi.org/10.1016/j.csi.2021.103539</v>
      </c>
      <c r="BG473" s="1"/>
      <c r="BH473" s="1" t="s">
        <v>8640</v>
      </c>
      <c r="BI473" s="1" t="n">
        <v>15</v>
      </c>
      <c r="BJ473" s="1" t="s">
        <v>1098</v>
      </c>
      <c r="BK473" s="1" t="s">
        <v>204</v>
      </c>
      <c r="BL473" s="1" t="s">
        <v>101</v>
      </c>
      <c r="BM473" s="1" t="s">
        <v>8641</v>
      </c>
      <c r="BN473" s="1"/>
      <c r="BO473" s="1" t="s">
        <v>612</v>
      </c>
      <c r="BP473" s="1"/>
      <c r="BQ473" s="1"/>
      <c r="BR473" s="1" t="s">
        <v>103</v>
      </c>
      <c r="BS473" s="1" t="s">
        <v>8642</v>
      </c>
      <c r="BT473" s="1" t="str">
        <f aca="false">HYPERLINK("https%3A%2F%2Fwww.webofscience.com%2Fwos%2Fwoscc%2Ffull-record%2FWOS:000670669600002","View Full Record in Web of Science")</f>
        <v>View Full Record in Web of Science</v>
      </c>
    </row>
    <row r="474" customFormat="false" ht="12.75" hidden="false" customHeight="false" outlineLevel="0" collapsed="false">
      <c r="A474" s="1" t="s">
        <v>181</v>
      </c>
      <c r="B474" s="1" t="s">
        <v>8643</v>
      </c>
      <c r="C474" s="1"/>
      <c r="D474" s="1"/>
      <c r="E474" s="1"/>
      <c r="F474" s="1" t="s">
        <v>8644</v>
      </c>
      <c r="G474" s="1"/>
      <c r="H474" s="1"/>
      <c r="I474" s="1" t="s">
        <v>8645</v>
      </c>
      <c r="J474" s="1" t="s">
        <v>8646</v>
      </c>
      <c r="K474" s="1"/>
      <c r="L474" s="1"/>
      <c r="M474" s="1" t="s">
        <v>78</v>
      </c>
      <c r="N474" s="1" t="s">
        <v>186</v>
      </c>
      <c r="O474" s="1"/>
      <c r="P474" s="1"/>
      <c r="Q474" s="1"/>
      <c r="R474" s="1"/>
      <c r="S474" s="1"/>
      <c r="T474" s="1" t="s">
        <v>8647</v>
      </c>
      <c r="U474" s="1" t="s">
        <v>8648</v>
      </c>
      <c r="V474" s="1" t="s">
        <v>8649</v>
      </c>
      <c r="W474" s="1" t="s">
        <v>8650</v>
      </c>
      <c r="X474" s="1" t="s">
        <v>86</v>
      </c>
      <c r="Y474" s="1" t="s">
        <v>8651</v>
      </c>
      <c r="Z474" s="1"/>
      <c r="AA474" s="1"/>
      <c r="AB474" s="1"/>
      <c r="AC474" s="1" t="s">
        <v>268</v>
      </c>
      <c r="AD474" s="1" t="s">
        <v>268</v>
      </c>
      <c r="AE474" s="1" t="s">
        <v>916</v>
      </c>
      <c r="AF474" s="1"/>
      <c r="AG474" s="1" t="n">
        <v>31</v>
      </c>
      <c r="AH474" s="1" t="n">
        <v>0</v>
      </c>
      <c r="AI474" s="1" t="n">
        <v>0</v>
      </c>
      <c r="AJ474" s="1" t="n">
        <v>0</v>
      </c>
      <c r="AK474" s="1" t="n">
        <v>0</v>
      </c>
      <c r="AL474" s="1" t="s">
        <v>8218</v>
      </c>
      <c r="AM474" s="1" t="s">
        <v>1908</v>
      </c>
      <c r="AN474" s="1" t="s">
        <v>8219</v>
      </c>
      <c r="AO474" s="1"/>
      <c r="AP474" s="1" t="s">
        <v>8652</v>
      </c>
      <c r="AQ474" s="1"/>
      <c r="AR474" s="1" t="s">
        <v>8653</v>
      </c>
      <c r="AS474" s="1" t="s">
        <v>8654</v>
      </c>
      <c r="AT474" s="1" t="s">
        <v>8655</v>
      </c>
      <c r="AU474" s="1" t="n">
        <v>2024</v>
      </c>
      <c r="AV474" s="1" t="n">
        <v>21</v>
      </c>
      <c r="AW474" s="1" t="n">
        <v>1</v>
      </c>
      <c r="AX474" s="1"/>
      <c r="AY474" s="1"/>
      <c r="AZ474" s="1"/>
      <c r="BA474" s="1"/>
      <c r="BB474" s="1"/>
      <c r="BC474" s="1"/>
      <c r="BD474" s="1" t="n">
        <v>82</v>
      </c>
      <c r="BE474" s="1" t="s">
        <v>8656</v>
      </c>
      <c r="BF474" s="1" t="str">
        <f aca="false">HYPERLINK("http://dx.doi.org/10.1186/s12978-024-01812-2","http://dx.doi.org/10.1186/s12978-024-01812-2")</f>
        <v>http://dx.doi.org/10.1186/s12978-024-01812-2</v>
      </c>
      <c r="BG474" s="1"/>
      <c r="BH474" s="1"/>
      <c r="BI474" s="1" t="n">
        <v>12</v>
      </c>
      <c r="BJ474" s="1" t="s">
        <v>1971</v>
      </c>
      <c r="BK474" s="1" t="s">
        <v>398</v>
      </c>
      <c r="BL474" s="1" t="s">
        <v>1971</v>
      </c>
      <c r="BM474" s="1" t="s">
        <v>8657</v>
      </c>
      <c r="BN474" s="1" t="n">
        <v>38849864</v>
      </c>
      <c r="BO474" s="1" t="s">
        <v>401</v>
      </c>
      <c r="BP474" s="1"/>
      <c r="BQ474" s="1"/>
      <c r="BR474" s="1" t="s">
        <v>103</v>
      </c>
      <c r="BS474" s="1" t="s">
        <v>8658</v>
      </c>
      <c r="BT474" s="1" t="str">
        <f aca="false">HYPERLINK("https%3A%2F%2Fwww.webofscience.com%2Fwos%2Fwoscc%2Ffull-record%2FWOS:001243072100001","View Full Record in Web of Science")</f>
        <v>View Full Record in Web of Science</v>
      </c>
    </row>
    <row r="475" customFormat="false" ht="12.75" hidden="false" customHeight="false" outlineLevel="0" collapsed="false">
      <c r="A475" s="1" t="s">
        <v>72</v>
      </c>
      <c r="B475" s="1" t="s">
        <v>8659</v>
      </c>
      <c r="C475" s="1"/>
      <c r="D475" s="1" t="s">
        <v>5149</v>
      </c>
      <c r="E475" s="1"/>
      <c r="F475" s="1" t="s">
        <v>8660</v>
      </c>
      <c r="G475" s="1"/>
      <c r="H475" s="1"/>
      <c r="I475" s="1" t="s">
        <v>8661</v>
      </c>
      <c r="J475" s="1" t="s">
        <v>5152</v>
      </c>
      <c r="K475" s="1" t="s">
        <v>5153</v>
      </c>
      <c r="L475" s="1"/>
      <c r="M475" s="1" t="s">
        <v>78</v>
      </c>
      <c r="N475" s="1" t="s">
        <v>79</v>
      </c>
      <c r="O475" s="1" t="s">
        <v>5154</v>
      </c>
      <c r="P475" s="1" t="s">
        <v>5155</v>
      </c>
      <c r="Q475" s="1" t="s">
        <v>5156</v>
      </c>
      <c r="R475" s="1" t="s">
        <v>5157</v>
      </c>
      <c r="S475" s="1"/>
      <c r="T475" s="1"/>
      <c r="U475" s="1"/>
      <c r="V475" s="1" t="s">
        <v>8662</v>
      </c>
      <c r="W475" s="1" t="s">
        <v>8663</v>
      </c>
      <c r="X475" s="1" t="s">
        <v>8367</v>
      </c>
      <c r="Y475" s="1" t="s">
        <v>8664</v>
      </c>
      <c r="Z475" s="1" t="s">
        <v>8665</v>
      </c>
      <c r="AA475" s="1" t="s">
        <v>5254</v>
      </c>
      <c r="AB475" s="1"/>
      <c r="AC475" s="1" t="s">
        <v>8666</v>
      </c>
      <c r="AD475" s="1" t="s">
        <v>8666</v>
      </c>
      <c r="AE475" s="1" t="s">
        <v>8667</v>
      </c>
      <c r="AF475" s="1"/>
      <c r="AG475" s="1" t="n">
        <v>8</v>
      </c>
      <c r="AH475" s="1" t="n">
        <v>2</v>
      </c>
      <c r="AI475" s="1" t="n">
        <v>2</v>
      </c>
      <c r="AJ475" s="1" t="n">
        <v>0</v>
      </c>
      <c r="AK475" s="1" t="n">
        <v>1</v>
      </c>
      <c r="AL475" s="1" t="s">
        <v>5169</v>
      </c>
      <c r="AM475" s="1" t="s">
        <v>5170</v>
      </c>
      <c r="AN475" s="1" t="s">
        <v>5171</v>
      </c>
      <c r="AO475" s="1" t="s">
        <v>5172</v>
      </c>
      <c r="AP475" s="1"/>
      <c r="AQ475" s="1"/>
      <c r="AR475" s="1" t="s">
        <v>5173</v>
      </c>
      <c r="AS475" s="1"/>
      <c r="AT475" s="1"/>
      <c r="AU475" s="1" t="n">
        <v>2023</v>
      </c>
      <c r="AV475" s="1" t="n">
        <v>1284</v>
      </c>
      <c r="AW475" s="1"/>
      <c r="AX475" s="1"/>
      <c r="AY475" s="1"/>
      <c r="AZ475" s="1"/>
      <c r="BA475" s="1"/>
      <c r="BB475" s="1"/>
      <c r="BC475" s="1"/>
      <c r="BD475" s="1" t="n">
        <v>12060</v>
      </c>
      <c r="BE475" s="1" t="s">
        <v>8668</v>
      </c>
      <c r="BF475" s="1" t="str">
        <f aca="false">HYPERLINK("http://dx.doi.org/10.1088/1757-899X/1284/1/012060","http://dx.doi.org/10.1088/1757-899X/1284/1/012060")</f>
        <v>http://dx.doi.org/10.1088/1757-899X/1284/1/012060</v>
      </c>
      <c r="BG475" s="1"/>
      <c r="BH475" s="1"/>
      <c r="BI475" s="1" t="n">
        <v>9</v>
      </c>
      <c r="BJ475" s="1" t="s">
        <v>5175</v>
      </c>
      <c r="BK475" s="1" t="s">
        <v>100</v>
      </c>
      <c r="BL475" s="1" t="s">
        <v>5176</v>
      </c>
      <c r="BM475" s="1" t="s">
        <v>5177</v>
      </c>
      <c r="BN475" s="1"/>
      <c r="BO475" s="1" t="s">
        <v>1209</v>
      </c>
      <c r="BP475" s="1"/>
      <c r="BQ475" s="1"/>
      <c r="BR475" s="1" t="s">
        <v>103</v>
      </c>
      <c r="BS475" s="1" t="s">
        <v>8669</v>
      </c>
      <c r="BT475" s="1" t="str">
        <f aca="false">HYPERLINK("https%3A%2F%2Fwww.webofscience.com%2Fwos%2Fwoscc%2Ffull-record%2FWOS:001017824300060","View Full Record in Web of Science")</f>
        <v>View Full Record in Web of Science</v>
      </c>
    </row>
    <row r="476" customFormat="false" ht="12.75" hidden="false" customHeight="false" outlineLevel="0" collapsed="false">
      <c r="A476" s="1" t="s">
        <v>72</v>
      </c>
      <c r="B476" s="1" t="s">
        <v>8670</v>
      </c>
      <c r="C476" s="1"/>
      <c r="D476" s="1" t="s">
        <v>8671</v>
      </c>
      <c r="E476" s="1"/>
      <c r="F476" s="1" t="s">
        <v>8672</v>
      </c>
      <c r="G476" s="1"/>
      <c r="H476" s="1"/>
      <c r="I476" s="1" t="s">
        <v>8673</v>
      </c>
      <c r="J476" s="1" t="s">
        <v>8674</v>
      </c>
      <c r="K476" s="1"/>
      <c r="L476" s="1"/>
      <c r="M476" s="1" t="s">
        <v>78</v>
      </c>
      <c r="N476" s="1" t="s">
        <v>79</v>
      </c>
      <c r="O476" s="1" t="s">
        <v>8675</v>
      </c>
      <c r="P476" s="1" t="s">
        <v>8676</v>
      </c>
      <c r="Q476" s="1" t="s">
        <v>320</v>
      </c>
      <c r="R476" s="1" t="s">
        <v>4165</v>
      </c>
      <c r="S476" s="1"/>
      <c r="T476" s="1" t="s">
        <v>8677</v>
      </c>
      <c r="U476" s="1" t="s">
        <v>8678</v>
      </c>
      <c r="V476" s="1" t="s">
        <v>8679</v>
      </c>
      <c r="W476" s="1" t="s">
        <v>8680</v>
      </c>
      <c r="X476" s="1" t="s">
        <v>7678</v>
      </c>
      <c r="Y476" s="1" t="s">
        <v>6291</v>
      </c>
      <c r="Z476" s="1"/>
      <c r="AA476" s="1" t="s">
        <v>8681</v>
      </c>
      <c r="AB476" s="1"/>
      <c r="AC476" s="1"/>
      <c r="AD476" s="1"/>
      <c r="AE476" s="1"/>
      <c r="AF476" s="1"/>
      <c r="AG476" s="1" t="n">
        <v>38</v>
      </c>
      <c r="AH476" s="1" t="n">
        <v>4</v>
      </c>
      <c r="AI476" s="1" t="n">
        <v>4</v>
      </c>
      <c r="AJ476" s="1" t="n">
        <v>2</v>
      </c>
      <c r="AK476" s="1" t="n">
        <v>12</v>
      </c>
      <c r="AL476" s="1" t="s">
        <v>1721</v>
      </c>
      <c r="AM476" s="1" t="s">
        <v>1722</v>
      </c>
      <c r="AN476" s="1" t="s">
        <v>1723</v>
      </c>
      <c r="AO476" s="1"/>
      <c r="AP476" s="1"/>
      <c r="AQ476" s="1" t="s">
        <v>8682</v>
      </c>
      <c r="AR476" s="1"/>
      <c r="AS476" s="1"/>
      <c r="AT476" s="1"/>
      <c r="AU476" s="1" t="n">
        <v>2021</v>
      </c>
      <c r="AV476" s="1"/>
      <c r="AW476" s="1"/>
      <c r="AX476" s="1"/>
      <c r="AY476" s="1"/>
      <c r="AZ476" s="1"/>
      <c r="BA476" s="1"/>
      <c r="BB476" s="1" t="n">
        <v>201</v>
      </c>
      <c r="BC476" s="1" t="n">
        <v>210</v>
      </c>
      <c r="BD476" s="1"/>
      <c r="BE476" s="1" t="s">
        <v>8683</v>
      </c>
      <c r="BF476" s="1" t="str">
        <f aca="false">HYPERLINK("http://dx.doi.org/10.5220/0010907800003123","http://dx.doi.org/10.5220/0010907800003123")</f>
        <v>http://dx.doi.org/10.5220/0010907800003123</v>
      </c>
      <c r="BG476" s="1"/>
      <c r="BH476" s="1"/>
      <c r="BI476" s="1" t="n">
        <v>10</v>
      </c>
      <c r="BJ476" s="1" t="s">
        <v>8684</v>
      </c>
      <c r="BK476" s="1" t="s">
        <v>100</v>
      </c>
      <c r="BL476" s="1" t="s">
        <v>1484</v>
      </c>
      <c r="BM476" s="1" t="s">
        <v>8685</v>
      </c>
      <c r="BN476" s="1"/>
      <c r="BO476" s="1" t="s">
        <v>282</v>
      </c>
      <c r="BP476" s="1"/>
      <c r="BQ476" s="1"/>
      <c r="BR476" s="1" t="s">
        <v>103</v>
      </c>
      <c r="BS476" s="1" t="s">
        <v>8686</v>
      </c>
      <c r="BT476" s="1" t="str">
        <f aca="false">HYPERLINK("https%3A%2F%2Fwww.webofscience.com%2Fwos%2Fwoscc%2Ffull-record%2FWOS:000778794900018","View Full Record in Web of Science")</f>
        <v>View Full Record in Web of Science</v>
      </c>
    </row>
    <row r="477" customFormat="false" ht="12.75" hidden="false" customHeight="false" outlineLevel="0" collapsed="false">
      <c r="A477" s="1" t="s">
        <v>181</v>
      </c>
      <c r="B477" s="1" t="s">
        <v>8687</v>
      </c>
      <c r="C477" s="1"/>
      <c r="D477" s="1"/>
      <c r="E477" s="1"/>
      <c r="F477" s="1" t="s">
        <v>8688</v>
      </c>
      <c r="G477" s="1"/>
      <c r="H477" s="1"/>
      <c r="I477" s="1" t="s">
        <v>8689</v>
      </c>
      <c r="J477" s="1" t="s">
        <v>1629</v>
      </c>
      <c r="K477" s="1"/>
      <c r="L477" s="1"/>
      <c r="M477" s="1" t="s">
        <v>78</v>
      </c>
      <c r="N477" s="1" t="s">
        <v>186</v>
      </c>
      <c r="O477" s="1"/>
      <c r="P477" s="1"/>
      <c r="Q477" s="1"/>
      <c r="R477" s="1"/>
      <c r="S477" s="1"/>
      <c r="T477" s="1" t="s">
        <v>8690</v>
      </c>
      <c r="U477" s="1"/>
      <c r="V477" s="1" t="s">
        <v>8691</v>
      </c>
      <c r="W477" s="1" t="s">
        <v>8692</v>
      </c>
      <c r="X477" s="1" t="s">
        <v>8525</v>
      </c>
      <c r="Y477" s="1" t="s">
        <v>8693</v>
      </c>
      <c r="Z477" s="1" t="s">
        <v>8694</v>
      </c>
      <c r="AA477" s="1"/>
      <c r="AB477" s="1"/>
      <c r="AC477" s="1"/>
      <c r="AD477" s="1"/>
      <c r="AE477" s="1"/>
      <c r="AF477" s="1"/>
      <c r="AG477" s="1" t="n">
        <v>15</v>
      </c>
      <c r="AH477" s="1" t="n">
        <v>2</v>
      </c>
      <c r="AI477" s="1" t="n">
        <v>2</v>
      </c>
      <c r="AJ477" s="1" t="n">
        <v>0</v>
      </c>
      <c r="AK477" s="1" t="n">
        <v>1</v>
      </c>
      <c r="AL477" s="1" t="s">
        <v>704</v>
      </c>
      <c r="AM477" s="1" t="s">
        <v>705</v>
      </c>
      <c r="AN477" s="1" t="s">
        <v>706</v>
      </c>
      <c r="AO477" s="1" t="s">
        <v>1634</v>
      </c>
      <c r="AP477" s="1" t="s">
        <v>1635</v>
      </c>
      <c r="AQ477" s="1"/>
      <c r="AR477" s="1" t="s">
        <v>1636</v>
      </c>
      <c r="AS477" s="1" t="s">
        <v>1637</v>
      </c>
      <c r="AT477" s="1" t="s">
        <v>372</v>
      </c>
      <c r="AU477" s="1" t="n">
        <v>2020</v>
      </c>
      <c r="AV477" s="1" t="n">
        <v>19</v>
      </c>
      <c r="AW477" s="1" t="n">
        <v>12</v>
      </c>
      <c r="AX477" s="1"/>
      <c r="AY477" s="1"/>
      <c r="AZ477" s="1"/>
      <c r="BA477" s="1"/>
      <c r="BB477" s="1"/>
      <c r="BC477" s="1"/>
      <c r="BD477" s="1" t="n">
        <v>2050231</v>
      </c>
      <c r="BE477" s="1" t="s">
        <v>8695</v>
      </c>
      <c r="BF477" s="1" t="str">
        <f aca="false">HYPERLINK("http://dx.doi.org/10.1142/S021949882050231X","http://dx.doi.org/10.1142/S021949882050231X")</f>
        <v>http://dx.doi.org/10.1142/S021949882050231X</v>
      </c>
      <c r="BG477" s="1"/>
      <c r="BH477" s="1"/>
      <c r="BI477" s="1" t="n">
        <v>22</v>
      </c>
      <c r="BJ477" s="1" t="s">
        <v>1007</v>
      </c>
      <c r="BK477" s="1" t="s">
        <v>204</v>
      </c>
      <c r="BL477" s="1" t="s">
        <v>280</v>
      </c>
      <c r="BM477" s="1" t="s">
        <v>8696</v>
      </c>
      <c r="BN477" s="1"/>
      <c r="BO477" s="1" t="s">
        <v>227</v>
      </c>
      <c r="BP477" s="1"/>
      <c r="BQ477" s="1"/>
      <c r="BR477" s="1" t="s">
        <v>103</v>
      </c>
      <c r="BS477" s="1" t="s">
        <v>8697</v>
      </c>
      <c r="BT477" s="1" t="str">
        <f aca="false">HYPERLINK("https%3A%2F%2Fwww.webofscience.com%2Fwos%2Fwoscc%2Ffull-record%2FWOS:000580549500008","View Full Record in Web of Science")</f>
        <v>View Full Record in Web of Science</v>
      </c>
    </row>
    <row r="478" customFormat="false" ht="12.75" hidden="false" customHeight="false" outlineLevel="0" collapsed="false">
      <c r="A478" s="1" t="s">
        <v>72</v>
      </c>
      <c r="B478" s="1" t="s">
        <v>8698</v>
      </c>
      <c r="C478" s="1"/>
      <c r="D478" s="1"/>
      <c r="E478" s="1" t="s">
        <v>106</v>
      </c>
      <c r="F478" s="1" t="s">
        <v>8699</v>
      </c>
      <c r="G478" s="1"/>
      <c r="H478" s="1"/>
      <c r="I478" s="1" t="s">
        <v>8700</v>
      </c>
      <c r="J478" s="1" t="s">
        <v>8701</v>
      </c>
      <c r="K478" s="1" t="s">
        <v>8702</v>
      </c>
      <c r="L478" s="1"/>
      <c r="M478" s="1" t="s">
        <v>78</v>
      </c>
      <c r="N478" s="1" t="s">
        <v>79</v>
      </c>
      <c r="O478" s="1" t="s">
        <v>8703</v>
      </c>
      <c r="P478" s="1" t="s">
        <v>8704</v>
      </c>
      <c r="Q478" s="1" t="s">
        <v>4330</v>
      </c>
      <c r="R478" s="1" t="s">
        <v>106</v>
      </c>
      <c r="S478" s="1"/>
      <c r="T478" s="1" t="s">
        <v>8705</v>
      </c>
      <c r="U478" s="1"/>
      <c r="V478" s="1" t="s">
        <v>8706</v>
      </c>
      <c r="W478" s="1" t="s">
        <v>8707</v>
      </c>
      <c r="X478" s="1" t="s">
        <v>8325</v>
      </c>
      <c r="Y478" s="1" t="s">
        <v>8708</v>
      </c>
      <c r="Z478" s="1" t="s">
        <v>8709</v>
      </c>
      <c r="AA478" s="1" t="s">
        <v>936</v>
      </c>
      <c r="AB478" s="1" t="s">
        <v>937</v>
      </c>
      <c r="AC478" s="1" t="s">
        <v>8710</v>
      </c>
      <c r="AD478" s="1" t="s">
        <v>8711</v>
      </c>
      <c r="AE478" s="1" t="s">
        <v>8712</v>
      </c>
      <c r="AF478" s="1"/>
      <c r="AG478" s="1" t="n">
        <v>23</v>
      </c>
      <c r="AH478" s="1" t="n">
        <v>3</v>
      </c>
      <c r="AI478" s="1" t="n">
        <v>3</v>
      </c>
      <c r="AJ478" s="1" t="n">
        <v>4</v>
      </c>
      <c r="AK478" s="1" t="n">
        <v>15</v>
      </c>
      <c r="AL478" s="1" t="s">
        <v>106</v>
      </c>
      <c r="AM478" s="1" t="s">
        <v>95</v>
      </c>
      <c r="AN478" s="1" t="s">
        <v>122</v>
      </c>
      <c r="AO478" s="1" t="s">
        <v>8713</v>
      </c>
      <c r="AP478" s="1" t="s">
        <v>8714</v>
      </c>
      <c r="AQ478" s="1" t="s">
        <v>8715</v>
      </c>
      <c r="AR478" s="1" t="s">
        <v>8716</v>
      </c>
      <c r="AS478" s="1"/>
      <c r="AT478" s="1"/>
      <c r="AU478" s="1" t="n">
        <v>2020</v>
      </c>
      <c r="AV478" s="1"/>
      <c r="AW478" s="1"/>
      <c r="AX478" s="1"/>
      <c r="AY478" s="1"/>
      <c r="AZ478" s="1"/>
      <c r="BA478" s="1"/>
      <c r="BB478" s="1" t="n">
        <v>249</v>
      </c>
      <c r="BC478" s="1" t="n">
        <v>254</v>
      </c>
      <c r="BD478" s="1"/>
      <c r="BE478" s="1" t="s">
        <v>8717</v>
      </c>
      <c r="BF478" s="1" t="str">
        <f aca="false">HYPERLINK("http://dx.doi.org/10.1109/iscmi51676.2020.9311555","http://dx.doi.org/10.1109/iscmi51676.2020.9311555")</f>
        <v>http://dx.doi.org/10.1109/iscmi51676.2020.9311555</v>
      </c>
      <c r="BG478" s="1"/>
      <c r="BH478" s="1"/>
      <c r="BI478" s="1" t="n">
        <v>6</v>
      </c>
      <c r="BJ478" s="1" t="s">
        <v>374</v>
      </c>
      <c r="BK478" s="1" t="s">
        <v>100</v>
      </c>
      <c r="BL478" s="1" t="s">
        <v>101</v>
      </c>
      <c r="BM478" s="1" t="s">
        <v>8718</v>
      </c>
      <c r="BN478" s="1"/>
      <c r="BO478" s="1" t="s">
        <v>179</v>
      </c>
      <c r="BP478" s="1"/>
      <c r="BQ478" s="1"/>
      <c r="BR478" s="1" t="s">
        <v>103</v>
      </c>
      <c r="BS478" s="1" t="s">
        <v>8719</v>
      </c>
      <c r="BT478" s="1" t="str">
        <f aca="false">HYPERLINK("https%3A%2F%2Fwww.webofscience.com%2Fwos%2Fwoscc%2Ffull-record%2FWOS:000750622300047","View Full Record in Web of Science")</f>
        <v>View Full Record in Web of Science</v>
      </c>
    </row>
    <row r="479" customFormat="false" ht="12.75" hidden="false" customHeight="false" outlineLevel="0" collapsed="false">
      <c r="A479" s="1" t="s">
        <v>181</v>
      </c>
      <c r="B479" s="1" t="s">
        <v>8720</v>
      </c>
      <c r="C479" s="1"/>
      <c r="D479" s="1"/>
      <c r="E479" s="1"/>
      <c r="F479" s="1" t="s">
        <v>8721</v>
      </c>
      <c r="G479" s="1"/>
      <c r="H479" s="1"/>
      <c r="I479" s="1" t="s">
        <v>8722</v>
      </c>
      <c r="J479" s="1" t="s">
        <v>8723</v>
      </c>
      <c r="K479" s="1"/>
      <c r="L479" s="1"/>
      <c r="M479" s="1" t="s">
        <v>78</v>
      </c>
      <c r="N479" s="1" t="s">
        <v>186</v>
      </c>
      <c r="O479" s="1"/>
      <c r="P479" s="1"/>
      <c r="Q479" s="1"/>
      <c r="R479" s="1"/>
      <c r="S479" s="1"/>
      <c r="T479" s="1" t="s">
        <v>8724</v>
      </c>
      <c r="U479" s="1" t="s">
        <v>8725</v>
      </c>
      <c r="V479" s="1" t="s">
        <v>8726</v>
      </c>
      <c r="W479" s="1" t="s">
        <v>8727</v>
      </c>
      <c r="X479" s="1" t="s">
        <v>8728</v>
      </c>
      <c r="Y479" s="1" t="s">
        <v>8729</v>
      </c>
      <c r="Z479" s="1" t="s">
        <v>8730</v>
      </c>
      <c r="AA479" s="1" t="s">
        <v>8731</v>
      </c>
      <c r="AB479" s="1" t="s">
        <v>8732</v>
      </c>
      <c r="AC479" s="1" t="s">
        <v>8733</v>
      </c>
      <c r="AD479" s="1" t="s">
        <v>8734</v>
      </c>
      <c r="AE479" s="1" t="s">
        <v>8735</v>
      </c>
      <c r="AF479" s="1"/>
      <c r="AG479" s="1" t="n">
        <v>75</v>
      </c>
      <c r="AH479" s="1" t="n">
        <v>1</v>
      </c>
      <c r="AI479" s="1" t="n">
        <v>1</v>
      </c>
      <c r="AJ479" s="1" t="n">
        <v>2</v>
      </c>
      <c r="AK479" s="1" t="n">
        <v>3</v>
      </c>
      <c r="AL479" s="1" t="s">
        <v>195</v>
      </c>
      <c r="AM479" s="1" t="s">
        <v>196</v>
      </c>
      <c r="AN479" s="1" t="s">
        <v>197</v>
      </c>
      <c r="AO479" s="1" t="s">
        <v>8736</v>
      </c>
      <c r="AP479" s="1" t="s">
        <v>8737</v>
      </c>
      <c r="AQ479" s="1"/>
      <c r="AR479" s="1" t="s">
        <v>8738</v>
      </c>
      <c r="AS479" s="1" t="s">
        <v>8739</v>
      </c>
      <c r="AT479" s="1"/>
      <c r="AU479" s="1" t="n">
        <v>2023</v>
      </c>
      <c r="AV479" s="1" t="n">
        <v>16</v>
      </c>
      <c r="AW479" s="1"/>
      <c r="AX479" s="1"/>
      <c r="AY479" s="1"/>
      <c r="AZ479" s="1"/>
      <c r="BA479" s="1"/>
      <c r="BB479" s="1" t="n">
        <v>10124</v>
      </c>
      <c r="BC479" s="1" t="n">
        <v>10137</v>
      </c>
      <c r="BD479" s="1"/>
      <c r="BE479" s="1" t="s">
        <v>8740</v>
      </c>
      <c r="BF479" s="1" t="str">
        <f aca="false">HYPERLINK("http://dx.doi.org/10.1109/JSTARS.2023.3324732","http://dx.doi.org/10.1109/JSTARS.2023.3324732")</f>
        <v>http://dx.doi.org/10.1109/JSTARS.2023.3324732</v>
      </c>
      <c r="BG479" s="1"/>
      <c r="BH479" s="1"/>
      <c r="BI479" s="1" t="n">
        <v>14</v>
      </c>
      <c r="BJ479" s="1" t="s">
        <v>8741</v>
      </c>
      <c r="BK479" s="1" t="s">
        <v>204</v>
      </c>
      <c r="BL479" s="1" t="s">
        <v>8742</v>
      </c>
      <c r="BM479" s="1" t="s">
        <v>8743</v>
      </c>
      <c r="BN479" s="1"/>
      <c r="BO479" s="1" t="s">
        <v>376</v>
      </c>
      <c r="BP479" s="1"/>
      <c r="BQ479" s="1"/>
      <c r="BR479" s="1" t="s">
        <v>103</v>
      </c>
      <c r="BS479" s="1" t="s">
        <v>8744</v>
      </c>
      <c r="BT479" s="1" t="str">
        <f aca="false">HYPERLINK("https%3A%2F%2Fwww.webofscience.com%2Fwos%2Fwoscc%2Ffull-record%2FWOS:001093375500005","View Full Record in Web of Science")</f>
        <v>View Full Record in Web of Science</v>
      </c>
    </row>
    <row r="480" customFormat="false" ht="12.75" hidden="false" customHeight="false" outlineLevel="0" collapsed="false">
      <c r="A480" s="1" t="s">
        <v>181</v>
      </c>
      <c r="B480" s="1" t="s">
        <v>8745</v>
      </c>
      <c r="C480" s="1"/>
      <c r="D480" s="1"/>
      <c r="E480" s="1"/>
      <c r="F480" s="1" t="s">
        <v>8746</v>
      </c>
      <c r="G480" s="1"/>
      <c r="H480" s="1"/>
      <c r="I480" s="1" t="s">
        <v>8747</v>
      </c>
      <c r="J480" s="1" t="s">
        <v>8748</v>
      </c>
      <c r="K480" s="1"/>
      <c r="L480" s="1"/>
      <c r="M480" s="1" t="s">
        <v>78</v>
      </c>
      <c r="N480" s="1" t="s">
        <v>186</v>
      </c>
      <c r="O480" s="1"/>
      <c r="P480" s="1"/>
      <c r="Q480" s="1"/>
      <c r="R480" s="1"/>
      <c r="S480" s="1"/>
      <c r="T480" s="1"/>
      <c r="U480" s="1"/>
      <c r="V480" s="1"/>
      <c r="W480" s="1" t="s">
        <v>8749</v>
      </c>
      <c r="X480" s="1" t="s">
        <v>6382</v>
      </c>
      <c r="Y480" s="1" t="s">
        <v>8750</v>
      </c>
      <c r="Z480" s="1" t="s">
        <v>8751</v>
      </c>
      <c r="AA480" s="1" t="s">
        <v>8752</v>
      </c>
      <c r="AB480" s="1"/>
      <c r="AC480" s="1"/>
      <c r="AD480" s="1"/>
      <c r="AE480" s="1"/>
      <c r="AF480" s="1"/>
      <c r="AG480" s="1" t="n">
        <v>0</v>
      </c>
      <c r="AH480" s="1" t="n">
        <v>0</v>
      </c>
      <c r="AI480" s="1" t="n">
        <v>0</v>
      </c>
      <c r="AJ480" s="1" t="n">
        <v>2</v>
      </c>
      <c r="AK480" s="1" t="n">
        <v>6</v>
      </c>
      <c r="AL480" s="1" t="s">
        <v>8753</v>
      </c>
      <c r="AM480" s="1" t="s">
        <v>8754</v>
      </c>
      <c r="AN480" s="1" t="s">
        <v>8755</v>
      </c>
      <c r="AO480" s="1" t="s">
        <v>8756</v>
      </c>
      <c r="AP480" s="1" t="s">
        <v>8757</v>
      </c>
      <c r="AQ480" s="1"/>
      <c r="AR480" s="1" t="s">
        <v>8758</v>
      </c>
      <c r="AS480" s="1" t="s">
        <v>8759</v>
      </c>
      <c r="AT480" s="1"/>
      <c r="AU480" s="1" t="n">
        <v>2022</v>
      </c>
      <c r="AV480" s="1" t="n">
        <v>18</v>
      </c>
      <c r="AW480" s="1" t="n">
        <v>2</v>
      </c>
      <c r="AX480" s="1"/>
      <c r="AY480" s="1"/>
      <c r="AZ480" s="1"/>
      <c r="BA480" s="1"/>
      <c r="BB480" s="1" t="n">
        <v>104</v>
      </c>
      <c r="BC480" s="1" t="n">
        <v>133</v>
      </c>
      <c r="BD480" s="1"/>
      <c r="BE480" s="1"/>
      <c r="BF480" s="1"/>
      <c r="BG480" s="1"/>
      <c r="BH480" s="1"/>
      <c r="BI480" s="1" t="n">
        <v>30</v>
      </c>
      <c r="BJ480" s="1" t="s">
        <v>2298</v>
      </c>
      <c r="BK480" s="1" t="s">
        <v>253</v>
      </c>
      <c r="BL480" s="1" t="s">
        <v>715</v>
      </c>
      <c r="BM480" s="1" t="s">
        <v>8760</v>
      </c>
      <c r="BN480" s="1"/>
      <c r="BO480" s="1"/>
      <c r="BP480" s="1"/>
      <c r="BQ480" s="1"/>
      <c r="BR480" s="1" t="s">
        <v>103</v>
      </c>
      <c r="BS480" s="1" t="s">
        <v>8761</v>
      </c>
      <c r="BT480" s="1" t="str">
        <f aca="false">HYPERLINK("https%3A%2F%2Fwww.webofscience.com%2Fwos%2Fwoscc%2Ffull-record%2FWOS:000764055500004","View Full Record in Web of Science")</f>
        <v>View Full Record in Web of Science</v>
      </c>
    </row>
    <row r="481" customFormat="false" ht="12.75" hidden="false" customHeight="false" outlineLevel="0" collapsed="false">
      <c r="A481" s="1" t="s">
        <v>181</v>
      </c>
      <c r="B481" s="1" t="s">
        <v>8670</v>
      </c>
      <c r="C481" s="1"/>
      <c r="D481" s="1"/>
      <c r="E481" s="1"/>
      <c r="F481" s="1" t="s">
        <v>8672</v>
      </c>
      <c r="G481" s="1"/>
      <c r="H481" s="1"/>
      <c r="I481" s="1" t="s">
        <v>8762</v>
      </c>
      <c r="J481" s="1" t="s">
        <v>523</v>
      </c>
      <c r="K481" s="1"/>
      <c r="L481" s="1"/>
      <c r="M481" s="1" t="s">
        <v>78</v>
      </c>
      <c r="N481" s="1" t="s">
        <v>186</v>
      </c>
      <c r="O481" s="1"/>
      <c r="P481" s="1"/>
      <c r="Q481" s="1"/>
      <c r="R481" s="1"/>
      <c r="S481" s="1"/>
      <c r="T481" s="1" t="s">
        <v>8763</v>
      </c>
      <c r="U481" s="1" t="s">
        <v>8764</v>
      </c>
      <c r="V481" s="1" t="s">
        <v>8765</v>
      </c>
      <c r="W481" s="1" t="s">
        <v>8766</v>
      </c>
      <c r="X481" s="1" t="s">
        <v>7678</v>
      </c>
      <c r="Y481" s="1" t="s">
        <v>8767</v>
      </c>
      <c r="Z481" s="1" t="s">
        <v>8768</v>
      </c>
      <c r="AA481" s="1" t="s">
        <v>8769</v>
      </c>
      <c r="AB481" s="1" t="s">
        <v>8770</v>
      </c>
      <c r="AC481" s="1"/>
      <c r="AD481" s="1"/>
      <c r="AE481" s="1"/>
      <c r="AF481" s="1"/>
      <c r="AG481" s="1" t="n">
        <v>0</v>
      </c>
      <c r="AH481" s="1" t="n">
        <v>6</v>
      </c>
      <c r="AI481" s="1" t="n">
        <v>6</v>
      </c>
      <c r="AJ481" s="1" t="n">
        <v>14</v>
      </c>
      <c r="AK481" s="1" t="n">
        <v>62</v>
      </c>
      <c r="AL481" s="1" t="s">
        <v>367</v>
      </c>
      <c r="AM481" s="1" t="s">
        <v>368</v>
      </c>
      <c r="AN481" s="1" t="s">
        <v>8771</v>
      </c>
      <c r="AO481" s="1"/>
      <c r="AP481" s="1" t="s">
        <v>534</v>
      </c>
      <c r="AQ481" s="1"/>
      <c r="AR481" s="1" t="s">
        <v>535</v>
      </c>
      <c r="AS481" s="1" t="s">
        <v>536</v>
      </c>
      <c r="AT481" s="1" t="s">
        <v>808</v>
      </c>
      <c r="AU481" s="1" t="n">
        <v>2022</v>
      </c>
      <c r="AV481" s="1" t="n">
        <v>12</v>
      </c>
      <c r="AW481" s="1" t="n">
        <v>13</v>
      </c>
      <c r="AX481" s="1"/>
      <c r="AY481" s="1"/>
      <c r="AZ481" s="1"/>
      <c r="BA481" s="1"/>
      <c r="BB481" s="1"/>
      <c r="BC481" s="1"/>
      <c r="BD481" s="1" t="n">
        <v>6436</v>
      </c>
      <c r="BE481" s="1" t="s">
        <v>8772</v>
      </c>
      <c r="BF481" s="1" t="str">
        <f aca="false">HYPERLINK("http://dx.doi.org/10.3390/app12136436","http://dx.doi.org/10.3390/app12136436")</f>
        <v>http://dx.doi.org/10.3390/app12136436</v>
      </c>
      <c r="BG481" s="1"/>
      <c r="BH481" s="1"/>
      <c r="BI481" s="1" t="n">
        <v>17</v>
      </c>
      <c r="BJ481" s="1" t="s">
        <v>539</v>
      </c>
      <c r="BK481" s="1" t="s">
        <v>204</v>
      </c>
      <c r="BL481" s="1" t="s">
        <v>540</v>
      </c>
      <c r="BM481" s="1" t="s">
        <v>8773</v>
      </c>
      <c r="BN481" s="1"/>
      <c r="BO481" s="1" t="s">
        <v>542</v>
      </c>
      <c r="BP481" s="1"/>
      <c r="BQ481" s="1"/>
      <c r="BR481" s="1" t="s">
        <v>103</v>
      </c>
      <c r="BS481" s="1" t="s">
        <v>8774</v>
      </c>
      <c r="BT481" s="1" t="str">
        <f aca="false">HYPERLINK("https%3A%2F%2Fwww.webofscience.com%2Fwos%2Fwoscc%2Ffull-record%2FWOS:000824081500001","View Full Record in Web of Science")</f>
        <v>View Full Record in Web of Science</v>
      </c>
    </row>
    <row r="482" customFormat="false" ht="12.75" hidden="false" customHeight="false" outlineLevel="0" collapsed="false">
      <c r="A482" s="1" t="s">
        <v>181</v>
      </c>
      <c r="B482" s="1" t="s">
        <v>8775</v>
      </c>
      <c r="C482" s="1"/>
      <c r="D482" s="1"/>
      <c r="E482" s="1"/>
      <c r="F482" s="1" t="s">
        <v>8776</v>
      </c>
      <c r="G482" s="1"/>
      <c r="H482" s="1"/>
      <c r="I482" s="1" t="s">
        <v>8777</v>
      </c>
      <c r="J482" s="1" t="s">
        <v>4022</v>
      </c>
      <c r="K482" s="1"/>
      <c r="L482" s="1"/>
      <c r="M482" s="1" t="s">
        <v>78</v>
      </c>
      <c r="N482" s="1" t="s">
        <v>186</v>
      </c>
      <c r="O482" s="1"/>
      <c r="P482" s="1"/>
      <c r="Q482" s="1"/>
      <c r="R482" s="1"/>
      <c r="S482" s="1"/>
      <c r="T482" s="1" t="s">
        <v>8778</v>
      </c>
      <c r="U482" s="1" t="s">
        <v>8779</v>
      </c>
      <c r="V482" s="1" t="s">
        <v>8780</v>
      </c>
      <c r="W482" s="1" t="s">
        <v>8781</v>
      </c>
      <c r="X482" s="1" t="s">
        <v>5847</v>
      </c>
      <c r="Y482" s="1" t="s">
        <v>8782</v>
      </c>
      <c r="Z482" s="1" t="s">
        <v>8783</v>
      </c>
      <c r="AA482" s="1" t="s">
        <v>388</v>
      </c>
      <c r="AB482" s="1" t="s">
        <v>8784</v>
      </c>
      <c r="AC482" s="1"/>
      <c r="AD482" s="1"/>
      <c r="AE482" s="1"/>
      <c r="AF482" s="1"/>
      <c r="AG482" s="1" t="n">
        <v>53</v>
      </c>
      <c r="AH482" s="1" t="n">
        <v>4</v>
      </c>
      <c r="AI482" s="1" t="n">
        <v>4</v>
      </c>
      <c r="AJ482" s="1" t="n">
        <v>2</v>
      </c>
      <c r="AK482" s="1" t="n">
        <v>8</v>
      </c>
      <c r="AL482" s="1" t="s">
        <v>367</v>
      </c>
      <c r="AM482" s="1" t="s">
        <v>368</v>
      </c>
      <c r="AN482" s="1" t="s">
        <v>369</v>
      </c>
      <c r="AO482" s="1"/>
      <c r="AP482" s="1" t="s">
        <v>4032</v>
      </c>
      <c r="AQ482" s="1"/>
      <c r="AR482" s="1" t="s">
        <v>4022</v>
      </c>
      <c r="AS482" s="1" t="s">
        <v>4033</v>
      </c>
      <c r="AT482" s="1" t="s">
        <v>2698</v>
      </c>
      <c r="AU482" s="1" t="n">
        <v>2021</v>
      </c>
      <c r="AV482" s="1" t="n">
        <v>14</v>
      </c>
      <c r="AW482" s="1" t="n">
        <v>12</v>
      </c>
      <c r="AX482" s="1"/>
      <c r="AY482" s="1"/>
      <c r="AZ482" s="1"/>
      <c r="BA482" s="1"/>
      <c r="BB482" s="1"/>
      <c r="BC482" s="1"/>
      <c r="BD482" s="1" t="n">
        <v>3670</v>
      </c>
      <c r="BE482" s="1" t="s">
        <v>8785</v>
      </c>
      <c r="BF482" s="1" t="str">
        <f aca="false">HYPERLINK("http://dx.doi.org/10.3390/en14123670","http://dx.doi.org/10.3390/en14123670")</f>
        <v>http://dx.doi.org/10.3390/en14123670</v>
      </c>
      <c r="BG482" s="1"/>
      <c r="BH482" s="1"/>
      <c r="BI482" s="1" t="n">
        <v>17</v>
      </c>
      <c r="BJ482" s="1" t="s">
        <v>4035</v>
      </c>
      <c r="BK482" s="1" t="s">
        <v>204</v>
      </c>
      <c r="BL482" s="1" t="s">
        <v>4035</v>
      </c>
      <c r="BM482" s="1" t="s">
        <v>8786</v>
      </c>
      <c r="BN482" s="1"/>
      <c r="BO482" s="1" t="s">
        <v>542</v>
      </c>
      <c r="BP482" s="1"/>
      <c r="BQ482" s="1"/>
      <c r="BR482" s="1" t="s">
        <v>103</v>
      </c>
      <c r="BS482" s="1" t="s">
        <v>8787</v>
      </c>
      <c r="BT482" s="1" t="str">
        <f aca="false">HYPERLINK("https%3A%2F%2Fwww.webofscience.com%2Fwos%2Fwoscc%2Ffull-record%2FWOS:000667873900001","View Full Record in Web of Science")</f>
        <v>View Full Record in Web of Science</v>
      </c>
    </row>
    <row r="483" customFormat="false" ht="12.75" hidden="false" customHeight="false" outlineLevel="0" collapsed="false">
      <c r="A483" s="1" t="s">
        <v>181</v>
      </c>
      <c r="B483" s="1" t="s">
        <v>8788</v>
      </c>
      <c r="C483" s="1"/>
      <c r="D483" s="1"/>
      <c r="E483" s="1"/>
      <c r="F483" s="1" t="s">
        <v>8789</v>
      </c>
      <c r="G483" s="1"/>
      <c r="H483" s="1"/>
      <c r="I483" s="1" t="s">
        <v>8790</v>
      </c>
      <c r="J483" s="1" t="s">
        <v>8791</v>
      </c>
      <c r="K483" s="1"/>
      <c r="L483" s="1"/>
      <c r="M483" s="1" t="s">
        <v>78</v>
      </c>
      <c r="N483" s="1" t="s">
        <v>186</v>
      </c>
      <c r="O483" s="1"/>
      <c r="P483" s="1"/>
      <c r="Q483" s="1"/>
      <c r="R483" s="1"/>
      <c r="S483" s="1"/>
      <c r="T483" s="1" t="s">
        <v>8792</v>
      </c>
      <c r="U483" s="1" t="s">
        <v>8793</v>
      </c>
      <c r="V483" s="1" t="s">
        <v>8794</v>
      </c>
      <c r="W483" s="1" t="s">
        <v>8795</v>
      </c>
      <c r="X483" s="1" t="s">
        <v>6426</v>
      </c>
      <c r="Y483" s="1" t="s">
        <v>8796</v>
      </c>
      <c r="Z483" s="1" t="s">
        <v>8797</v>
      </c>
      <c r="AA483" s="1" t="s">
        <v>8798</v>
      </c>
      <c r="AB483" s="1" t="s">
        <v>8799</v>
      </c>
      <c r="AC483" s="1" t="s">
        <v>8800</v>
      </c>
      <c r="AD483" s="1" t="s">
        <v>8800</v>
      </c>
      <c r="AE483" s="1" t="s">
        <v>8801</v>
      </c>
      <c r="AF483" s="1"/>
      <c r="AG483" s="1" t="n">
        <v>22</v>
      </c>
      <c r="AH483" s="1" t="n">
        <v>1</v>
      </c>
      <c r="AI483" s="1" t="n">
        <v>1</v>
      </c>
      <c r="AJ483" s="1" t="n">
        <v>0</v>
      </c>
      <c r="AK483" s="1" t="n">
        <v>6</v>
      </c>
      <c r="AL483" s="1" t="s">
        <v>8802</v>
      </c>
      <c r="AM483" s="1" t="s">
        <v>8803</v>
      </c>
      <c r="AN483" s="1" t="s">
        <v>8804</v>
      </c>
      <c r="AO483" s="1" t="s">
        <v>8805</v>
      </c>
      <c r="AP483" s="1" t="s">
        <v>8806</v>
      </c>
      <c r="AQ483" s="1"/>
      <c r="AR483" s="1" t="s">
        <v>8807</v>
      </c>
      <c r="AS483" s="1" t="s">
        <v>8808</v>
      </c>
      <c r="AT483" s="1" t="s">
        <v>8809</v>
      </c>
      <c r="AU483" s="1" t="n">
        <v>2020</v>
      </c>
      <c r="AV483" s="1" t="n">
        <v>18</v>
      </c>
      <c r="AW483" s="1" t="n">
        <v>3</v>
      </c>
      <c r="AX483" s="1"/>
      <c r="AY483" s="1"/>
      <c r="AZ483" s="1"/>
      <c r="BA483" s="1"/>
      <c r="BB483" s="1" t="n">
        <v>441</v>
      </c>
      <c r="BC483" s="1" t="n">
        <v>446</v>
      </c>
      <c r="BD483" s="1"/>
      <c r="BE483" s="1" t="s">
        <v>8810</v>
      </c>
      <c r="BF483" s="1" t="str">
        <f aca="false">HYPERLINK("http://dx.doi.org/10.3290/j.ohpd.a44681","http://dx.doi.org/10.3290/j.ohpd.a44681")</f>
        <v>http://dx.doi.org/10.3290/j.ohpd.a44681</v>
      </c>
      <c r="BG483" s="1"/>
      <c r="BH483" s="1"/>
      <c r="BI483" s="1" t="n">
        <v>6</v>
      </c>
      <c r="BJ483" s="1" t="s">
        <v>4910</v>
      </c>
      <c r="BK483" s="1" t="s">
        <v>204</v>
      </c>
      <c r="BL483" s="1" t="s">
        <v>4910</v>
      </c>
      <c r="BM483" s="1" t="s">
        <v>8811</v>
      </c>
      <c r="BN483" s="1" t="n">
        <v>32515414</v>
      </c>
      <c r="BO483" s="1"/>
      <c r="BP483" s="1"/>
      <c r="BQ483" s="1"/>
      <c r="BR483" s="1" t="s">
        <v>103</v>
      </c>
      <c r="BS483" s="1" t="s">
        <v>8812</v>
      </c>
      <c r="BT483" s="1" t="str">
        <f aca="false">HYPERLINK("https%3A%2F%2Fwww.webofscience.com%2Fwos%2Fwoscc%2Ffull-record%2FWOS:000546070900007","View Full Record in Web of Science")</f>
        <v>View Full Record in Web of Science</v>
      </c>
    </row>
    <row r="484" customFormat="false" ht="12.75" hidden="false" customHeight="false" outlineLevel="0" collapsed="false">
      <c r="A484" s="1" t="s">
        <v>181</v>
      </c>
      <c r="B484" s="1" t="s">
        <v>8813</v>
      </c>
      <c r="C484" s="1"/>
      <c r="D484" s="1"/>
      <c r="E484" s="1"/>
      <c r="F484" s="1" t="s">
        <v>8814</v>
      </c>
      <c r="G484" s="1"/>
      <c r="H484" s="1"/>
      <c r="I484" s="1" t="s">
        <v>8815</v>
      </c>
      <c r="J484" s="1" t="s">
        <v>8816</v>
      </c>
      <c r="K484" s="1"/>
      <c r="L484" s="1"/>
      <c r="M484" s="1" t="s">
        <v>78</v>
      </c>
      <c r="N484" s="1" t="s">
        <v>186</v>
      </c>
      <c r="O484" s="1"/>
      <c r="P484" s="1"/>
      <c r="Q484" s="1"/>
      <c r="R484" s="1"/>
      <c r="S484" s="1"/>
      <c r="T484" s="1" t="s">
        <v>8817</v>
      </c>
      <c r="U484" s="1" t="s">
        <v>8818</v>
      </c>
      <c r="V484" s="1" t="s">
        <v>8819</v>
      </c>
      <c r="W484" s="1" t="s">
        <v>8820</v>
      </c>
      <c r="X484" s="1" t="s">
        <v>8821</v>
      </c>
      <c r="Y484" s="1" t="s">
        <v>3205</v>
      </c>
      <c r="Z484" s="1" t="s">
        <v>1202</v>
      </c>
      <c r="AA484" s="1" t="s">
        <v>8822</v>
      </c>
      <c r="AB484" s="1"/>
      <c r="AC484" s="1" t="s">
        <v>1205</v>
      </c>
      <c r="AD484" s="1" t="s">
        <v>1205</v>
      </c>
      <c r="AE484" s="1" t="s">
        <v>8823</v>
      </c>
      <c r="AF484" s="1"/>
      <c r="AG484" s="1" t="n">
        <v>57</v>
      </c>
      <c r="AH484" s="1" t="n">
        <v>0</v>
      </c>
      <c r="AI484" s="1" t="n">
        <v>0</v>
      </c>
      <c r="AJ484" s="1" t="n">
        <v>2</v>
      </c>
      <c r="AK484" s="1" t="n">
        <v>2</v>
      </c>
      <c r="AL484" s="1" t="s">
        <v>600</v>
      </c>
      <c r="AM484" s="1" t="s">
        <v>601</v>
      </c>
      <c r="AN484" s="1" t="s">
        <v>602</v>
      </c>
      <c r="AO484" s="1" t="s">
        <v>8824</v>
      </c>
      <c r="AP484" s="1"/>
      <c r="AQ484" s="1"/>
      <c r="AR484" s="1" t="s">
        <v>8825</v>
      </c>
      <c r="AS484" s="1" t="s">
        <v>8826</v>
      </c>
      <c r="AT484" s="1" t="s">
        <v>1453</v>
      </c>
      <c r="AU484" s="1" t="n">
        <v>2025</v>
      </c>
      <c r="AV484" s="1" t="n">
        <v>8</v>
      </c>
      <c r="AW484" s="1" t="n">
        <v>1</v>
      </c>
      <c r="AX484" s="1"/>
      <c r="AY484" s="1"/>
      <c r="AZ484" s="1"/>
      <c r="BA484" s="1"/>
      <c r="BB484" s="1"/>
      <c r="BC484" s="1"/>
      <c r="BD484" s="1" t="s">
        <v>8827</v>
      </c>
      <c r="BE484" s="1" t="s">
        <v>8828</v>
      </c>
      <c r="BF484" s="1" t="str">
        <f aca="false">HYPERLINK("http://dx.doi.org/10.1002/spy2.485","http://dx.doi.org/10.1002/spy2.485")</f>
        <v>http://dx.doi.org/10.1002/spy2.485</v>
      </c>
      <c r="BG484" s="1"/>
      <c r="BH484" s="1"/>
      <c r="BI484" s="1" t="n">
        <v>17</v>
      </c>
      <c r="BJ484" s="1" t="s">
        <v>2210</v>
      </c>
      <c r="BK484" s="1" t="s">
        <v>253</v>
      </c>
      <c r="BL484" s="1" t="s">
        <v>311</v>
      </c>
      <c r="BM484" s="1" t="s">
        <v>8829</v>
      </c>
      <c r="BN484" s="1"/>
      <c r="BO484" s="1"/>
      <c r="BP484" s="1"/>
      <c r="BQ484" s="1"/>
      <c r="BR484" s="1" t="s">
        <v>103</v>
      </c>
      <c r="BS484" s="1" t="s">
        <v>8830</v>
      </c>
      <c r="BT484" s="1" t="str">
        <f aca="false">HYPERLINK("https%3A%2F%2Fwww.webofscience.com%2Fwos%2Fwoscc%2Ffull-record%2FWOS:001373379400001","View Full Record in Web of Science")</f>
        <v>View Full Record in Web of Science</v>
      </c>
    </row>
    <row r="485" customFormat="false" ht="12.75" hidden="false" customHeight="false" outlineLevel="0" collapsed="false">
      <c r="A485" s="1" t="s">
        <v>181</v>
      </c>
      <c r="B485" s="1" t="s">
        <v>8831</v>
      </c>
      <c r="C485" s="1"/>
      <c r="D485" s="1"/>
      <c r="E485" s="1"/>
      <c r="F485" s="1" t="s">
        <v>8832</v>
      </c>
      <c r="G485" s="1"/>
      <c r="H485" s="1"/>
      <c r="I485" s="1" t="s">
        <v>8833</v>
      </c>
      <c r="J485" s="1" t="s">
        <v>5701</v>
      </c>
      <c r="K485" s="1"/>
      <c r="L485" s="1"/>
      <c r="M485" s="1" t="s">
        <v>78</v>
      </c>
      <c r="N485" s="1" t="s">
        <v>186</v>
      </c>
      <c r="O485" s="1"/>
      <c r="P485" s="1"/>
      <c r="Q485" s="1"/>
      <c r="R485" s="1"/>
      <c r="S485" s="1"/>
      <c r="T485" s="1" t="s">
        <v>8834</v>
      </c>
      <c r="U485" s="1" t="s">
        <v>8835</v>
      </c>
      <c r="V485" s="1" t="s">
        <v>8836</v>
      </c>
      <c r="W485" s="1" t="s">
        <v>8837</v>
      </c>
      <c r="X485" s="1" t="s">
        <v>8838</v>
      </c>
      <c r="Y485" s="1" t="s">
        <v>8839</v>
      </c>
      <c r="Z485" s="1" t="s">
        <v>8840</v>
      </c>
      <c r="AA485" s="1" t="s">
        <v>8841</v>
      </c>
      <c r="AB485" s="1" t="s">
        <v>8842</v>
      </c>
      <c r="AC485" s="1"/>
      <c r="AD485" s="1"/>
      <c r="AE485" s="1"/>
      <c r="AF485" s="1"/>
      <c r="AG485" s="1" t="n">
        <v>26</v>
      </c>
      <c r="AH485" s="1" t="n">
        <v>4</v>
      </c>
      <c r="AI485" s="1" t="n">
        <v>4</v>
      </c>
      <c r="AJ485" s="1" t="n">
        <v>10</v>
      </c>
      <c r="AK485" s="1" t="n">
        <v>42</v>
      </c>
      <c r="AL485" s="1" t="s">
        <v>5713</v>
      </c>
      <c r="AM485" s="1" t="s">
        <v>1908</v>
      </c>
      <c r="AN485" s="1" t="s">
        <v>5714</v>
      </c>
      <c r="AO485" s="1" t="s">
        <v>5715</v>
      </c>
      <c r="AP485" s="1"/>
      <c r="AQ485" s="1"/>
      <c r="AR485" s="1" t="s">
        <v>5716</v>
      </c>
      <c r="AS485" s="1" t="s">
        <v>5717</v>
      </c>
      <c r="AT485" s="1"/>
      <c r="AU485" s="1" t="n">
        <v>2023</v>
      </c>
      <c r="AV485" s="1" t="n">
        <v>9</v>
      </c>
      <c r="AW485" s="1"/>
      <c r="AX485" s="1"/>
      <c r="AY485" s="1"/>
      <c r="AZ485" s="1"/>
      <c r="BA485" s="1"/>
      <c r="BB485" s="1"/>
      <c r="BC485" s="1"/>
      <c r="BD485" s="1" t="n">
        <v>20552076231203600</v>
      </c>
      <c r="BE485" s="1" t="s">
        <v>8843</v>
      </c>
      <c r="BF485" s="1" t="str">
        <f aca="false">HYPERLINK("http://dx.doi.org/10.1177/20552076231203602","http://dx.doi.org/10.1177/20552076231203602")</f>
        <v>http://dx.doi.org/10.1177/20552076231203602</v>
      </c>
      <c r="BG485" s="1"/>
      <c r="BH485" s="1"/>
      <c r="BI485" s="1" t="n">
        <v>7</v>
      </c>
      <c r="BJ485" s="1" t="s">
        <v>5719</v>
      </c>
      <c r="BK485" s="1" t="s">
        <v>398</v>
      </c>
      <c r="BL485" s="1" t="s">
        <v>5720</v>
      </c>
      <c r="BM485" s="1" t="s">
        <v>8844</v>
      </c>
      <c r="BN485" s="1" t="n">
        <v>37744749</v>
      </c>
      <c r="BO485" s="1" t="s">
        <v>542</v>
      </c>
      <c r="BP485" s="1"/>
      <c r="BQ485" s="1"/>
      <c r="BR485" s="1" t="s">
        <v>103</v>
      </c>
      <c r="BS485" s="1" t="s">
        <v>8845</v>
      </c>
      <c r="BT485" s="1" t="str">
        <f aca="false">HYPERLINK("https%3A%2F%2Fwww.webofscience.com%2Fwos%2Fwoscc%2Ffull-record%2FWOS:001069602300001","View Full Record in Web of Science")</f>
        <v>View Full Record in Web of Science</v>
      </c>
    </row>
    <row r="486" customFormat="false" ht="12.75" hidden="false" customHeight="false" outlineLevel="0" collapsed="false">
      <c r="A486" s="1" t="s">
        <v>181</v>
      </c>
      <c r="B486" s="1" t="s">
        <v>8745</v>
      </c>
      <c r="C486" s="1"/>
      <c r="D486" s="1"/>
      <c r="E486" s="1"/>
      <c r="F486" s="1" t="s">
        <v>8746</v>
      </c>
      <c r="G486" s="1"/>
      <c r="H486" s="1"/>
      <c r="I486" s="1" t="s">
        <v>8846</v>
      </c>
      <c r="J486" s="1" t="s">
        <v>8748</v>
      </c>
      <c r="K486" s="1"/>
      <c r="L486" s="1"/>
      <c r="M486" s="1" t="s">
        <v>78</v>
      </c>
      <c r="N486" s="1" t="s">
        <v>186</v>
      </c>
      <c r="O486" s="1"/>
      <c r="P486" s="1"/>
      <c r="Q486" s="1"/>
      <c r="R486" s="1"/>
      <c r="S486" s="1"/>
      <c r="T486" s="1"/>
      <c r="U486" s="1"/>
      <c r="V486" s="1"/>
      <c r="W486" s="1" t="s">
        <v>8749</v>
      </c>
      <c r="X486" s="1" t="s">
        <v>6382</v>
      </c>
      <c r="Y486" s="1" t="s">
        <v>8750</v>
      </c>
      <c r="Z486" s="1" t="s">
        <v>8751</v>
      </c>
      <c r="AA486" s="1" t="s">
        <v>8847</v>
      </c>
      <c r="AB486" s="1"/>
      <c r="AC486" s="1"/>
      <c r="AD486" s="1"/>
      <c r="AE486" s="1"/>
      <c r="AF486" s="1"/>
      <c r="AG486" s="1" t="n">
        <v>0</v>
      </c>
      <c r="AH486" s="1" t="n">
        <v>0</v>
      </c>
      <c r="AI486" s="1" t="n">
        <v>0</v>
      </c>
      <c r="AJ486" s="1" t="n">
        <v>2</v>
      </c>
      <c r="AK486" s="1" t="n">
        <v>3</v>
      </c>
      <c r="AL486" s="1" t="s">
        <v>8753</v>
      </c>
      <c r="AM486" s="1" t="s">
        <v>8754</v>
      </c>
      <c r="AN486" s="1" t="s">
        <v>8755</v>
      </c>
      <c r="AO486" s="1" t="s">
        <v>8756</v>
      </c>
      <c r="AP486" s="1" t="s">
        <v>8757</v>
      </c>
      <c r="AQ486" s="1"/>
      <c r="AR486" s="1" t="s">
        <v>8758</v>
      </c>
      <c r="AS486" s="1" t="s">
        <v>8759</v>
      </c>
      <c r="AT486" s="1"/>
      <c r="AU486" s="1" t="n">
        <v>2022</v>
      </c>
      <c r="AV486" s="1" t="n">
        <v>18</v>
      </c>
      <c r="AW486" s="1" t="n">
        <v>2</v>
      </c>
      <c r="AX486" s="1"/>
      <c r="AY486" s="1"/>
      <c r="AZ486" s="1"/>
      <c r="BA486" s="1"/>
      <c r="BB486" s="1" t="n">
        <v>94</v>
      </c>
      <c r="BC486" s="1" t="n">
        <v>103</v>
      </c>
      <c r="BD486" s="1"/>
      <c r="BE486" s="1"/>
      <c r="BF486" s="1"/>
      <c r="BG486" s="1"/>
      <c r="BH486" s="1"/>
      <c r="BI486" s="1" t="n">
        <v>10</v>
      </c>
      <c r="BJ486" s="1" t="s">
        <v>2298</v>
      </c>
      <c r="BK486" s="1" t="s">
        <v>253</v>
      </c>
      <c r="BL486" s="1" t="s">
        <v>715</v>
      </c>
      <c r="BM486" s="1" t="s">
        <v>8760</v>
      </c>
      <c r="BN486" s="1"/>
      <c r="BO486" s="1"/>
      <c r="BP486" s="1"/>
      <c r="BQ486" s="1"/>
      <c r="BR486" s="1" t="s">
        <v>103</v>
      </c>
      <c r="BS486" s="1" t="s">
        <v>8848</v>
      </c>
      <c r="BT486" s="1" t="str">
        <f aca="false">HYPERLINK("https%3A%2F%2Fwww.webofscience.com%2Fwos%2Fwoscc%2Ffull-record%2FWOS:000764055500003","View Full Record in Web of Science")</f>
        <v>View Full Record in Web of Science</v>
      </c>
    </row>
    <row r="487" customFormat="false" ht="12.75" hidden="false" customHeight="false" outlineLevel="0" collapsed="false">
      <c r="A487" s="1" t="s">
        <v>181</v>
      </c>
      <c r="B487" s="1" t="s">
        <v>8849</v>
      </c>
      <c r="C487" s="1"/>
      <c r="D487" s="1"/>
      <c r="E487" s="1"/>
      <c r="F487" s="1" t="s">
        <v>8850</v>
      </c>
      <c r="G487" s="1"/>
      <c r="H487" s="1"/>
      <c r="I487" s="1" t="s">
        <v>8851</v>
      </c>
      <c r="J487" s="1" t="s">
        <v>617</v>
      </c>
      <c r="K487" s="1"/>
      <c r="L487" s="1"/>
      <c r="M487" s="1" t="s">
        <v>78</v>
      </c>
      <c r="N487" s="1" t="s">
        <v>186</v>
      </c>
      <c r="O487" s="1"/>
      <c r="P487" s="1"/>
      <c r="Q487" s="1"/>
      <c r="R487" s="1"/>
      <c r="S487" s="1"/>
      <c r="T487" s="1" t="s">
        <v>8852</v>
      </c>
      <c r="U487" s="1" t="s">
        <v>8853</v>
      </c>
      <c r="V487" s="1" t="s">
        <v>8854</v>
      </c>
      <c r="W487" s="1" t="s">
        <v>8855</v>
      </c>
      <c r="X487" s="1" t="s">
        <v>8856</v>
      </c>
      <c r="Y487" s="1" t="s">
        <v>731</v>
      </c>
      <c r="Z487" s="1" t="s">
        <v>732</v>
      </c>
      <c r="AA487" s="1" t="s">
        <v>455</v>
      </c>
      <c r="AB487" s="1" t="s">
        <v>8857</v>
      </c>
      <c r="AC487" s="1" t="s">
        <v>8858</v>
      </c>
      <c r="AD487" s="1" t="s">
        <v>8858</v>
      </c>
      <c r="AE487" s="1" t="s">
        <v>8859</v>
      </c>
      <c r="AF487" s="1"/>
      <c r="AG487" s="1" t="n">
        <v>76</v>
      </c>
      <c r="AH487" s="1" t="n">
        <v>16</v>
      </c>
      <c r="AI487" s="1" t="n">
        <v>16</v>
      </c>
      <c r="AJ487" s="1" t="n">
        <v>2</v>
      </c>
      <c r="AK487" s="1" t="n">
        <v>13</v>
      </c>
      <c r="AL487" s="1" t="s">
        <v>630</v>
      </c>
      <c r="AM487" s="1" t="s">
        <v>95</v>
      </c>
      <c r="AN487" s="1" t="s">
        <v>8860</v>
      </c>
      <c r="AO487" s="1" t="s">
        <v>633</v>
      </c>
      <c r="AP487" s="1"/>
      <c r="AQ487" s="1"/>
      <c r="AR487" s="1" t="s">
        <v>634</v>
      </c>
      <c r="AS487" s="1" t="s">
        <v>635</v>
      </c>
      <c r="AT487" s="1"/>
      <c r="AU487" s="1" t="n">
        <v>2020</v>
      </c>
      <c r="AV487" s="1" t="n">
        <v>6</v>
      </c>
      <c r="AW487" s="1"/>
      <c r="AX487" s="1"/>
      <c r="AY487" s="1"/>
      <c r="AZ487" s="1"/>
      <c r="BA487" s="1"/>
      <c r="BB487" s="1"/>
      <c r="BC487" s="1"/>
      <c r="BD487" s="1" t="s">
        <v>8861</v>
      </c>
      <c r="BE487" s="1" t="s">
        <v>8862</v>
      </c>
      <c r="BF487" s="1" t="str">
        <f aca="false">HYPERLINK("http://dx.doi.org/10.1017/dsj.2019.29","http://dx.doi.org/10.1017/dsj.2019.29")</f>
        <v>http://dx.doi.org/10.1017/dsj.2019.29</v>
      </c>
      <c r="BG487" s="1"/>
      <c r="BH487" s="1"/>
      <c r="BI487" s="1" t="n">
        <v>32</v>
      </c>
      <c r="BJ487" s="1" t="s">
        <v>639</v>
      </c>
      <c r="BK487" s="1" t="s">
        <v>253</v>
      </c>
      <c r="BL487" s="1" t="s">
        <v>640</v>
      </c>
      <c r="BM487" s="1" t="s">
        <v>8863</v>
      </c>
      <c r="BN487" s="1"/>
      <c r="BO487" s="1" t="s">
        <v>401</v>
      </c>
      <c r="BP487" s="1"/>
      <c r="BQ487" s="1"/>
      <c r="BR487" s="1" t="s">
        <v>103</v>
      </c>
      <c r="BS487" s="1" t="s">
        <v>8864</v>
      </c>
      <c r="BT487" s="1" t="str">
        <f aca="false">HYPERLINK("https%3A%2F%2Fwww.webofscience.com%2Fwos%2Fwoscc%2Ffull-record%2FWOS:000506688600001","View Full Record in Web of Science")</f>
        <v>View Full Record in Web of Science</v>
      </c>
    </row>
    <row r="488" customFormat="false" ht="12.75" hidden="false" customHeight="false" outlineLevel="0" collapsed="false">
      <c r="A488" s="1" t="s">
        <v>181</v>
      </c>
      <c r="B488" s="1" t="s">
        <v>8865</v>
      </c>
      <c r="C488" s="1"/>
      <c r="D488" s="1"/>
      <c r="E488" s="1"/>
      <c r="F488" s="1" t="s">
        <v>8866</v>
      </c>
      <c r="G488" s="1"/>
      <c r="H488" s="1"/>
      <c r="I488" s="1" t="s">
        <v>8867</v>
      </c>
      <c r="J488" s="1" t="s">
        <v>743</v>
      </c>
      <c r="K488" s="1"/>
      <c r="L488" s="1"/>
      <c r="M488" s="1" t="s">
        <v>78</v>
      </c>
      <c r="N488" s="1" t="s">
        <v>186</v>
      </c>
      <c r="O488" s="1"/>
      <c r="P488" s="1"/>
      <c r="Q488" s="1"/>
      <c r="R488" s="1"/>
      <c r="S488" s="1"/>
      <c r="T488" s="1" t="s">
        <v>8868</v>
      </c>
      <c r="U488" s="1"/>
      <c r="V488" s="1" t="s">
        <v>8869</v>
      </c>
      <c r="W488" s="1" t="s">
        <v>8870</v>
      </c>
      <c r="X488" s="1" t="s">
        <v>8871</v>
      </c>
      <c r="Y488" s="1" t="s">
        <v>8872</v>
      </c>
      <c r="Z488" s="1" t="s">
        <v>8873</v>
      </c>
      <c r="AA488" s="1" t="s">
        <v>8874</v>
      </c>
      <c r="AB488" s="1" t="s">
        <v>8875</v>
      </c>
      <c r="AC488" s="1" t="s">
        <v>8876</v>
      </c>
      <c r="AD488" s="1" t="s">
        <v>8876</v>
      </c>
      <c r="AE488" s="1" t="s">
        <v>8877</v>
      </c>
      <c r="AF488" s="1"/>
      <c r="AG488" s="1" t="n">
        <v>55</v>
      </c>
      <c r="AH488" s="1" t="n">
        <v>2</v>
      </c>
      <c r="AI488" s="1" t="n">
        <v>2</v>
      </c>
      <c r="AJ488" s="1" t="n">
        <v>2</v>
      </c>
      <c r="AK488" s="1" t="n">
        <v>17</v>
      </c>
      <c r="AL488" s="1" t="s">
        <v>367</v>
      </c>
      <c r="AM488" s="1" t="s">
        <v>368</v>
      </c>
      <c r="AN488" s="1" t="s">
        <v>369</v>
      </c>
      <c r="AO488" s="1"/>
      <c r="AP488" s="1" t="s">
        <v>751</v>
      </c>
      <c r="AQ488" s="1"/>
      <c r="AR488" s="1" t="s">
        <v>752</v>
      </c>
      <c r="AS488" s="1" t="s">
        <v>753</v>
      </c>
      <c r="AT488" s="1" t="s">
        <v>537</v>
      </c>
      <c r="AU488" s="1" t="n">
        <v>2023</v>
      </c>
      <c r="AV488" s="1" t="n">
        <v>12</v>
      </c>
      <c r="AW488" s="1" t="n">
        <v>3</v>
      </c>
      <c r="AX488" s="1"/>
      <c r="AY488" s="1"/>
      <c r="AZ488" s="1"/>
      <c r="BA488" s="1"/>
      <c r="BB488" s="1"/>
      <c r="BC488" s="1"/>
      <c r="BD488" s="1" t="n">
        <v>721</v>
      </c>
      <c r="BE488" s="1" t="s">
        <v>8878</v>
      </c>
      <c r="BF488" s="1" t="str">
        <f aca="false">HYPERLINK("http://dx.doi.org/10.3390/electronics12030721","http://dx.doi.org/10.3390/electronics12030721")</f>
        <v>http://dx.doi.org/10.3390/electronics12030721</v>
      </c>
      <c r="BG488" s="1"/>
      <c r="BH488" s="1"/>
      <c r="BI488" s="1" t="n">
        <v>25</v>
      </c>
      <c r="BJ488" s="1" t="s">
        <v>756</v>
      </c>
      <c r="BK488" s="1" t="s">
        <v>204</v>
      </c>
      <c r="BL488" s="1" t="s">
        <v>757</v>
      </c>
      <c r="BM488" s="1" t="s">
        <v>8879</v>
      </c>
      <c r="BN488" s="1"/>
      <c r="BO488" s="1" t="s">
        <v>542</v>
      </c>
      <c r="BP488" s="1"/>
      <c r="BQ488" s="1"/>
      <c r="BR488" s="1" t="s">
        <v>103</v>
      </c>
      <c r="BS488" s="1" t="s">
        <v>8880</v>
      </c>
      <c r="BT488" s="1" t="str">
        <f aca="false">HYPERLINK("https%3A%2F%2Fwww.webofscience.com%2Fwos%2Fwoscc%2Ffull-record%2FWOS:000933802800001","View Full Record in Web of Science")</f>
        <v>View Full Record in Web of Science</v>
      </c>
    </row>
    <row r="489" customFormat="false" ht="12.75" hidden="false" customHeight="false" outlineLevel="0" collapsed="false">
      <c r="A489" s="1" t="s">
        <v>181</v>
      </c>
      <c r="B489" s="1" t="s">
        <v>8881</v>
      </c>
      <c r="C489" s="1"/>
      <c r="D489" s="1"/>
      <c r="E489" s="1"/>
      <c r="F489" s="1" t="s">
        <v>8882</v>
      </c>
      <c r="G489" s="1"/>
      <c r="H489" s="1"/>
      <c r="I489" s="1" t="s">
        <v>8883</v>
      </c>
      <c r="J489" s="1" t="s">
        <v>8884</v>
      </c>
      <c r="K489" s="1"/>
      <c r="L489" s="1"/>
      <c r="M489" s="1" t="s">
        <v>78</v>
      </c>
      <c r="N489" s="1" t="s">
        <v>186</v>
      </c>
      <c r="O489" s="1"/>
      <c r="P489" s="1"/>
      <c r="Q489" s="1"/>
      <c r="R489" s="1"/>
      <c r="S489" s="1"/>
      <c r="T489" s="1" t="s">
        <v>8885</v>
      </c>
      <c r="U489" s="1" t="s">
        <v>8886</v>
      </c>
      <c r="V489" s="1" t="s">
        <v>8887</v>
      </c>
      <c r="W489" s="1" t="s">
        <v>8888</v>
      </c>
      <c r="X489" s="1" t="s">
        <v>6794</v>
      </c>
      <c r="Y489" s="1" t="s">
        <v>8889</v>
      </c>
      <c r="Z489" s="1" t="s">
        <v>8890</v>
      </c>
      <c r="AA489" s="1" t="s">
        <v>8891</v>
      </c>
      <c r="AB489" s="1" t="s">
        <v>8892</v>
      </c>
      <c r="AC489" s="1"/>
      <c r="AD489" s="1"/>
      <c r="AE489" s="1"/>
      <c r="AF489" s="1"/>
      <c r="AG489" s="1" t="n">
        <v>65</v>
      </c>
      <c r="AH489" s="1" t="n">
        <v>5</v>
      </c>
      <c r="AI489" s="1" t="n">
        <v>5</v>
      </c>
      <c r="AJ489" s="1" t="n">
        <v>1</v>
      </c>
      <c r="AK489" s="1" t="n">
        <v>4</v>
      </c>
      <c r="AL489" s="1" t="s">
        <v>1651</v>
      </c>
      <c r="AM489" s="1" t="s">
        <v>1026</v>
      </c>
      <c r="AN489" s="1" t="s">
        <v>1652</v>
      </c>
      <c r="AO489" s="1" t="s">
        <v>8893</v>
      </c>
      <c r="AP489" s="1" t="s">
        <v>8894</v>
      </c>
      <c r="AQ489" s="1"/>
      <c r="AR489" s="1" t="s">
        <v>8895</v>
      </c>
      <c r="AS489" s="1" t="s">
        <v>8896</v>
      </c>
      <c r="AT489" s="1" t="s">
        <v>474</v>
      </c>
      <c r="AU489" s="1" t="n">
        <v>2022</v>
      </c>
      <c r="AV489" s="1" t="n">
        <v>108</v>
      </c>
      <c r="AW489" s="1"/>
      <c r="AX489" s="1"/>
      <c r="AY489" s="1"/>
      <c r="AZ489" s="1"/>
      <c r="BA489" s="1"/>
      <c r="BB489" s="1"/>
      <c r="BC489" s="1"/>
      <c r="BD489" s="1" t="n">
        <v>102017</v>
      </c>
      <c r="BE489" s="1" t="s">
        <v>8897</v>
      </c>
      <c r="BF489" s="1" t="str">
        <f aca="false">HYPERLINK("http://dx.doi.org/10.1016/j.is.2022.102017","http://dx.doi.org/10.1016/j.is.2022.102017")</f>
        <v>http://dx.doi.org/10.1016/j.is.2022.102017</v>
      </c>
      <c r="BG489" s="1"/>
      <c r="BH489" s="1"/>
      <c r="BI489" s="1" t="n">
        <v>13</v>
      </c>
      <c r="BJ489" s="1" t="s">
        <v>4212</v>
      </c>
      <c r="BK489" s="1" t="s">
        <v>204</v>
      </c>
      <c r="BL489" s="1" t="s">
        <v>101</v>
      </c>
      <c r="BM489" s="1" t="s">
        <v>8898</v>
      </c>
      <c r="BN489" s="1"/>
      <c r="BO489" s="1"/>
      <c r="BP489" s="1"/>
      <c r="BQ489" s="1"/>
      <c r="BR489" s="1" t="s">
        <v>103</v>
      </c>
      <c r="BS489" s="1" t="s">
        <v>8899</v>
      </c>
      <c r="BT489" s="1" t="str">
        <f aca="false">HYPERLINK("https%3A%2F%2Fwww.webofscience.com%2Fwos%2Fwoscc%2Ffull-record%2FWOS:001133975200018","View Full Record in Web of Science")</f>
        <v>View Full Record in Web of Science</v>
      </c>
    </row>
    <row r="490" customFormat="false" ht="12.75" hidden="false" customHeight="false" outlineLevel="0" collapsed="false">
      <c r="A490" s="1" t="s">
        <v>72</v>
      </c>
      <c r="B490" s="1" t="s">
        <v>4050</v>
      </c>
      <c r="C490" s="1"/>
      <c r="D490" s="1" t="s">
        <v>8900</v>
      </c>
      <c r="E490" s="1"/>
      <c r="F490" s="1" t="s">
        <v>4051</v>
      </c>
      <c r="G490" s="1"/>
      <c r="H490" s="1"/>
      <c r="I490" s="1" t="s">
        <v>8901</v>
      </c>
      <c r="J490" s="1" t="s">
        <v>8902</v>
      </c>
      <c r="K490" s="1" t="s">
        <v>4236</v>
      </c>
      <c r="L490" s="1"/>
      <c r="M490" s="1" t="s">
        <v>78</v>
      </c>
      <c r="N490" s="1" t="s">
        <v>79</v>
      </c>
      <c r="O490" s="1" t="s">
        <v>8903</v>
      </c>
      <c r="P490" s="1" t="s">
        <v>8904</v>
      </c>
      <c r="Q490" s="1" t="s">
        <v>3030</v>
      </c>
      <c r="R490" s="1" t="s">
        <v>4239</v>
      </c>
      <c r="S490" s="1"/>
      <c r="T490" s="1" t="s">
        <v>8905</v>
      </c>
      <c r="U490" s="1"/>
      <c r="V490" s="1" t="s">
        <v>8906</v>
      </c>
      <c r="W490" s="1" t="s">
        <v>8907</v>
      </c>
      <c r="X490" s="1" t="s">
        <v>8450</v>
      </c>
      <c r="Y490" s="1" t="s">
        <v>8908</v>
      </c>
      <c r="Z490" s="1" t="s">
        <v>8452</v>
      </c>
      <c r="AA490" s="1" t="s">
        <v>8909</v>
      </c>
      <c r="AB490" s="1" t="s">
        <v>4059</v>
      </c>
      <c r="AC490" s="1" t="s">
        <v>8910</v>
      </c>
      <c r="AD490" s="1" t="s">
        <v>8911</v>
      </c>
      <c r="AE490" s="1" t="s">
        <v>8912</v>
      </c>
      <c r="AF490" s="1"/>
      <c r="AG490" s="1" t="n">
        <v>17</v>
      </c>
      <c r="AH490" s="1" t="n">
        <v>0</v>
      </c>
      <c r="AI490" s="1" t="n">
        <v>0</v>
      </c>
      <c r="AJ490" s="1" t="n">
        <v>0</v>
      </c>
      <c r="AK490" s="1" t="n">
        <v>2</v>
      </c>
      <c r="AL490" s="1" t="s">
        <v>4250</v>
      </c>
      <c r="AM490" s="1" t="s">
        <v>4251</v>
      </c>
      <c r="AN490" s="1" t="s">
        <v>4252</v>
      </c>
      <c r="AO490" s="1" t="s">
        <v>4253</v>
      </c>
      <c r="AP490" s="1" t="s">
        <v>4254</v>
      </c>
      <c r="AQ490" s="1" t="s">
        <v>8913</v>
      </c>
      <c r="AR490" s="1" t="s">
        <v>4256</v>
      </c>
      <c r="AS490" s="1"/>
      <c r="AT490" s="1"/>
      <c r="AU490" s="1" t="n">
        <v>2022</v>
      </c>
      <c r="AV490" s="1" t="n">
        <v>12267</v>
      </c>
      <c r="AW490" s="1"/>
      <c r="AX490" s="1"/>
      <c r="AY490" s="1"/>
      <c r="AZ490" s="1"/>
      <c r="BA490" s="1"/>
      <c r="BB490" s="1"/>
      <c r="BC490" s="1"/>
      <c r="BD490" s="1" t="n">
        <v>1226705</v>
      </c>
      <c r="BE490" s="1" t="s">
        <v>8914</v>
      </c>
      <c r="BF490" s="1" t="str">
        <f aca="false">HYPERLINK("http://dx.doi.org/10.1117/12.2636233","http://dx.doi.org/10.1117/12.2636233")</f>
        <v>http://dx.doi.org/10.1117/12.2636233</v>
      </c>
      <c r="BG490" s="1"/>
      <c r="BH490" s="1"/>
      <c r="BI490" s="1" t="n">
        <v>12</v>
      </c>
      <c r="BJ490" s="1" t="s">
        <v>8915</v>
      </c>
      <c r="BK490" s="1" t="s">
        <v>100</v>
      </c>
      <c r="BL490" s="1" t="s">
        <v>8916</v>
      </c>
      <c r="BM490" s="1" t="s">
        <v>8917</v>
      </c>
      <c r="BN490" s="1"/>
      <c r="BO490" s="1"/>
      <c r="BP490" s="1"/>
      <c r="BQ490" s="1"/>
      <c r="BR490" s="1" t="s">
        <v>103</v>
      </c>
      <c r="BS490" s="1" t="s">
        <v>8918</v>
      </c>
      <c r="BT490" s="1" t="str">
        <f aca="false">HYPERLINK("https%3A%2F%2Fwww.webofscience.com%2Fwos%2Fwoscc%2Ffull-record%2FWOS:000890057500004","View Full Record in Web of Science")</f>
        <v>View Full Record in Web of Science</v>
      </c>
    </row>
    <row r="491" customFormat="false" ht="12.75" hidden="false" customHeight="false" outlineLevel="0" collapsed="false">
      <c r="A491" s="1" t="s">
        <v>181</v>
      </c>
      <c r="B491" s="1" t="s">
        <v>8919</v>
      </c>
      <c r="C491" s="1"/>
      <c r="D491" s="1"/>
      <c r="E491" s="1"/>
      <c r="F491" s="1" t="s">
        <v>8920</v>
      </c>
      <c r="G491" s="1"/>
      <c r="H491" s="1"/>
      <c r="I491" s="1" t="s">
        <v>8921</v>
      </c>
      <c r="J491" s="1" t="s">
        <v>4407</v>
      </c>
      <c r="K491" s="1"/>
      <c r="L491" s="1"/>
      <c r="M491" s="1" t="s">
        <v>78</v>
      </c>
      <c r="N491" s="1" t="s">
        <v>186</v>
      </c>
      <c r="O491" s="1"/>
      <c r="P491" s="1"/>
      <c r="Q491" s="1"/>
      <c r="R491" s="1"/>
      <c r="S491" s="1"/>
      <c r="T491" s="1" t="s">
        <v>8922</v>
      </c>
      <c r="U491" s="1" t="s">
        <v>8923</v>
      </c>
      <c r="V491" s="1" t="s">
        <v>8924</v>
      </c>
      <c r="W491" s="1" t="s">
        <v>8925</v>
      </c>
      <c r="X491" s="1" t="s">
        <v>8926</v>
      </c>
      <c r="Y491" s="1" t="s">
        <v>8927</v>
      </c>
      <c r="Z491" s="1" t="s">
        <v>8928</v>
      </c>
      <c r="AA491" s="1" t="s">
        <v>7092</v>
      </c>
      <c r="AB491" s="1" t="s">
        <v>7093</v>
      </c>
      <c r="AC491" s="1" t="s">
        <v>8929</v>
      </c>
      <c r="AD491" s="1" t="s">
        <v>7095</v>
      </c>
      <c r="AE491" s="1" t="s">
        <v>8930</v>
      </c>
      <c r="AF491" s="1"/>
      <c r="AG491" s="1" t="n">
        <v>46</v>
      </c>
      <c r="AH491" s="1" t="n">
        <v>11</v>
      </c>
      <c r="AI491" s="1" t="n">
        <v>12</v>
      </c>
      <c r="AJ491" s="1" t="n">
        <v>0</v>
      </c>
      <c r="AK491" s="1" t="n">
        <v>12</v>
      </c>
      <c r="AL491" s="1" t="s">
        <v>4414</v>
      </c>
      <c r="AM491" s="1" t="s">
        <v>4415</v>
      </c>
      <c r="AN491" s="1" t="s">
        <v>4416</v>
      </c>
      <c r="AO491" s="1" t="s">
        <v>4417</v>
      </c>
      <c r="AP491" s="1"/>
      <c r="AQ491" s="1"/>
      <c r="AR491" s="1" t="s">
        <v>4418</v>
      </c>
      <c r="AS491" s="1" t="s">
        <v>4419</v>
      </c>
      <c r="AT491" s="1"/>
      <c r="AU491" s="1" t="n">
        <v>2020</v>
      </c>
      <c r="AV491" s="1" t="n">
        <v>26</v>
      </c>
      <c r="AW491" s="1" t="n">
        <v>2</v>
      </c>
      <c r="AX491" s="1"/>
      <c r="AY491" s="1"/>
      <c r="AZ491" s="1"/>
      <c r="BA491" s="1"/>
      <c r="BB491" s="1" t="n">
        <v>4</v>
      </c>
      <c r="BC491" s="1" t="n">
        <v>14</v>
      </c>
      <c r="BD491" s="1"/>
      <c r="BE491" s="1" t="s">
        <v>8931</v>
      </c>
      <c r="BF491" s="1" t="str">
        <f aca="false">HYPERLINK("http://dx.doi.org/10.5755/j01.eie.26.2.25757","http://dx.doi.org/10.5755/j01.eie.26.2.25757")</f>
        <v>http://dx.doi.org/10.5755/j01.eie.26.2.25757</v>
      </c>
      <c r="BG491" s="1"/>
      <c r="BH491" s="1"/>
      <c r="BI491" s="1" t="n">
        <v>11</v>
      </c>
      <c r="BJ491" s="1" t="s">
        <v>4421</v>
      </c>
      <c r="BK491" s="1" t="s">
        <v>204</v>
      </c>
      <c r="BL491" s="1" t="s">
        <v>640</v>
      </c>
      <c r="BM491" s="1" t="s">
        <v>8932</v>
      </c>
      <c r="BN491" s="1"/>
      <c r="BO491" s="1" t="s">
        <v>1209</v>
      </c>
      <c r="BP491" s="1"/>
      <c r="BQ491" s="1"/>
      <c r="BR491" s="1" t="s">
        <v>103</v>
      </c>
      <c r="BS491" s="1" t="s">
        <v>8933</v>
      </c>
      <c r="BT491" s="1" t="str">
        <f aca="false">HYPERLINK("https%3A%2F%2Fwww.webofscience.com%2Fwos%2Fwoscc%2Ffull-record%2FWOS:000529319700001","View Full Record in Web of Science")</f>
        <v>View Full Record in Web of Science</v>
      </c>
    </row>
    <row r="492" customFormat="false" ht="12.75" hidden="false" customHeight="false" outlineLevel="0" collapsed="false">
      <c r="A492" s="1" t="s">
        <v>181</v>
      </c>
      <c r="B492" s="1" t="s">
        <v>8934</v>
      </c>
      <c r="C492" s="1"/>
      <c r="D492" s="1"/>
      <c r="E492" s="1"/>
      <c r="F492" s="1" t="s">
        <v>8935</v>
      </c>
      <c r="G492" s="1"/>
      <c r="H492" s="1"/>
      <c r="I492" s="1" t="s">
        <v>8936</v>
      </c>
      <c r="J492" s="1" t="s">
        <v>8937</v>
      </c>
      <c r="K492" s="1"/>
      <c r="L492" s="1"/>
      <c r="M492" s="1" t="s">
        <v>78</v>
      </c>
      <c r="N492" s="1" t="s">
        <v>618</v>
      </c>
      <c r="O492" s="1"/>
      <c r="P492" s="1"/>
      <c r="Q492" s="1"/>
      <c r="R492" s="1"/>
      <c r="S492" s="1"/>
      <c r="T492" s="1" t="s">
        <v>8938</v>
      </c>
      <c r="U492" s="1" t="s">
        <v>8939</v>
      </c>
      <c r="V492" s="1" t="s">
        <v>8940</v>
      </c>
      <c r="W492" s="1" t="s">
        <v>8941</v>
      </c>
      <c r="X492" s="1" t="s">
        <v>5274</v>
      </c>
      <c r="Y492" s="1" t="s">
        <v>8942</v>
      </c>
      <c r="Z492" s="1" t="s">
        <v>438</v>
      </c>
      <c r="AA492" s="1" t="s">
        <v>8943</v>
      </c>
      <c r="AB492" s="1" t="s">
        <v>8944</v>
      </c>
      <c r="AC492" s="1" t="s">
        <v>8945</v>
      </c>
      <c r="AD492" s="1" t="s">
        <v>8946</v>
      </c>
      <c r="AE492" s="1" t="s">
        <v>8947</v>
      </c>
      <c r="AF492" s="1"/>
      <c r="AG492" s="1" t="n">
        <v>118</v>
      </c>
      <c r="AH492" s="1" t="n">
        <v>2</v>
      </c>
      <c r="AI492" s="1" t="n">
        <v>2</v>
      </c>
      <c r="AJ492" s="1" t="n">
        <v>8</v>
      </c>
      <c r="AK492" s="1" t="n">
        <v>8</v>
      </c>
      <c r="AL492" s="1" t="s">
        <v>8948</v>
      </c>
      <c r="AM492" s="1" t="s">
        <v>1026</v>
      </c>
      <c r="AN492" s="1" t="s">
        <v>8949</v>
      </c>
      <c r="AO492" s="1" t="s">
        <v>8950</v>
      </c>
      <c r="AP492" s="1" t="s">
        <v>8951</v>
      </c>
      <c r="AQ492" s="1"/>
      <c r="AR492" s="1" t="s">
        <v>8952</v>
      </c>
      <c r="AS492" s="1" t="s">
        <v>8953</v>
      </c>
      <c r="AT492" s="1" t="s">
        <v>1362</v>
      </c>
      <c r="AU492" s="1" t="n">
        <v>2024</v>
      </c>
      <c r="AV492" s="1" t="n">
        <v>145</v>
      </c>
      <c r="AW492" s="1"/>
      <c r="AX492" s="1"/>
      <c r="AY492" s="1"/>
      <c r="AZ492" s="1"/>
      <c r="BA492" s="1"/>
      <c r="BB492" s="1"/>
      <c r="BC492" s="1"/>
      <c r="BD492" s="1" t="n">
        <v>103988</v>
      </c>
      <c r="BE492" s="1" t="s">
        <v>8954</v>
      </c>
      <c r="BF492" s="1" t="str">
        <f aca="false">HYPERLINK("http://dx.doi.org/10.1016/j.cose.2024.103988","http://dx.doi.org/10.1016/j.cose.2024.103988")</f>
        <v>http://dx.doi.org/10.1016/j.cose.2024.103988</v>
      </c>
      <c r="BG492" s="1"/>
      <c r="BH492" s="1" t="s">
        <v>6127</v>
      </c>
      <c r="BI492" s="1" t="n">
        <v>18</v>
      </c>
      <c r="BJ492" s="1" t="s">
        <v>4212</v>
      </c>
      <c r="BK492" s="1" t="s">
        <v>204</v>
      </c>
      <c r="BL492" s="1" t="s">
        <v>101</v>
      </c>
      <c r="BM492" s="1" t="s">
        <v>8955</v>
      </c>
      <c r="BN492" s="1"/>
      <c r="BO492" s="1" t="s">
        <v>282</v>
      </c>
      <c r="BP492" s="1"/>
      <c r="BQ492" s="1"/>
      <c r="BR492" s="1" t="s">
        <v>103</v>
      </c>
      <c r="BS492" s="1" t="s">
        <v>8956</v>
      </c>
      <c r="BT492" s="1" t="str">
        <f aca="false">HYPERLINK("https%3A%2F%2Fwww.webofscience.com%2Fwos%2Fwoscc%2Ffull-record%2FWOS:001290393300001","View Full Record in Web of Science")</f>
        <v>View Full Record in Web of Science</v>
      </c>
    </row>
    <row r="493" customFormat="false" ht="12.75" hidden="false" customHeight="false" outlineLevel="0" collapsed="false">
      <c r="A493" s="1" t="s">
        <v>181</v>
      </c>
      <c r="B493" s="1" t="s">
        <v>8957</v>
      </c>
      <c r="C493" s="1"/>
      <c r="D493" s="1"/>
      <c r="E493" s="1"/>
      <c r="F493" s="1" t="s">
        <v>8958</v>
      </c>
      <c r="G493" s="1"/>
      <c r="H493" s="1"/>
      <c r="I493" s="1" t="s">
        <v>8959</v>
      </c>
      <c r="J493" s="1" t="s">
        <v>743</v>
      </c>
      <c r="K493" s="1"/>
      <c r="L493" s="1"/>
      <c r="M493" s="1" t="s">
        <v>78</v>
      </c>
      <c r="N493" s="1" t="s">
        <v>186</v>
      </c>
      <c r="O493" s="1"/>
      <c r="P493" s="1"/>
      <c r="Q493" s="1"/>
      <c r="R493" s="1"/>
      <c r="S493" s="1"/>
      <c r="T493" s="1" t="s">
        <v>8960</v>
      </c>
      <c r="U493" s="1" t="s">
        <v>8961</v>
      </c>
      <c r="V493" s="1" t="s">
        <v>8962</v>
      </c>
      <c r="W493" s="1" t="s">
        <v>8963</v>
      </c>
      <c r="X493" s="1" t="s">
        <v>8466</v>
      </c>
      <c r="Y493" s="1" t="s">
        <v>8964</v>
      </c>
      <c r="Z493" s="1" t="s">
        <v>8468</v>
      </c>
      <c r="AA493" s="1" t="s">
        <v>8965</v>
      </c>
      <c r="AB493" s="1" t="s">
        <v>8966</v>
      </c>
      <c r="AC493" s="1" t="s">
        <v>8967</v>
      </c>
      <c r="AD493" s="1" t="s">
        <v>8968</v>
      </c>
      <c r="AE493" s="1" t="s">
        <v>8969</v>
      </c>
      <c r="AF493" s="1"/>
      <c r="AG493" s="1" t="n">
        <v>100</v>
      </c>
      <c r="AH493" s="1" t="n">
        <v>14</v>
      </c>
      <c r="AI493" s="1" t="n">
        <v>14</v>
      </c>
      <c r="AJ493" s="1" t="n">
        <v>14</v>
      </c>
      <c r="AK493" s="1" t="n">
        <v>29</v>
      </c>
      <c r="AL493" s="1" t="s">
        <v>367</v>
      </c>
      <c r="AM493" s="1" t="s">
        <v>368</v>
      </c>
      <c r="AN493" s="1" t="s">
        <v>369</v>
      </c>
      <c r="AO493" s="1"/>
      <c r="AP493" s="1" t="s">
        <v>751</v>
      </c>
      <c r="AQ493" s="1"/>
      <c r="AR493" s="1" t="s">
        <v>752</v>
      </c>
      <c r="AS493" s="1" t="s">
        <v>753</v>
      </c>
      <c r="AT493" s="1" t="s">
        <v>277</v>
      </c>
      <c r="AU493" s="1" t="n">
        <v>2023</v>
      </c>
      <c r="AV493" s="1" t="n">
        <v>12</v>
      </c>
      <c r="AW493" s="1" t="n">
        <v>6</v>
      </c>
      <c r="AX493" s="1"/>
      <c r="AY493" s="1"/>
      <c r="AZ493" s="1"/>
      <c r="BA493" s="1"/>
      <c r="BB493" s="1"/>
      <c r="BC493" s="1"/>
      <c r="BD493" s="1" t="n">
        <v>1448</v>
      </c>
      <c r="BE493" s="1" t="s">
        <v>8970</v>
      </c>
      <c r="BF493" s="1" t="str">
        <f aca="false">HYPERLINK("http://dx.doi.org/10.3390/electronics12061448","http://dx.doi.org/10.3390/electronics12061448")</f>
        <v>http://dx.doi.org/10.3390/electronics12061448</v>
      </c>
      <c r="BG493" s="1"/>
      <c r="BH493" s="1"/>
      <c r="BI493" s="1" t="n">
        <v>34</v>
      </c>
      <c r="BJ493" s="1" t="s">
        <v>756</v>
      </c>
      <c r="BK493" s="1" t="s">
        <v>204</v>
      </c>
      <c r="BL493" s="1" t="s">
        <v>757</v>
      </c>
      <c r="BM493" s="1" t="s">
        <v>8971</v>
      </c>
      <c r="BN493" s="1"/>
      <c r="BO493" s="1" t="s">
        <v>542</v>
      </c>
      <c r="BP493" s="1"/>
      <c r="BQ493" s="1"/>
      <c r="BR493" s="1" t="s">
        <v>103</v>
      </c>
      <c r="BS493" s="1" t="s">
        <v>8972</v>
      </c>
      <c r="BT493" s="1" t="str">
        <f aca="false">HYPERLINK("https%3A%2F%2Fwww.webofscience.com%2Fwos%2Fwoscc%2Ffull-record%2FWOS:000958374200001","View Full Record in Web of Science")</f>
        <v>View Full Record in Web of Science</v>
      </c>
    </row>
    <row r="494" customFormat="false" ht="12.75" hidden="false" customHeight="false" outlineLevel="0" collapsed="false">
      <c r="A494" s="1" t="s">
        <v>181</v>
      </c>
      <c r="B494" s="1" t="s">
        <v>8973</v>
      </c>
      <c r="C494" s="1"/>
      <c r="D494" s="1"/>
      <c r="E494" s="1"/>
      <c r="F494" s="1" t="s">
        <v>8974</v>
      </c>
      <c r="G494" s="1"/>
      <c r="H494" s="1"/>
      <c r="I494" s="1" t="s">
        <v>8975</v>
      </c>
      <c r="J494" s="1" t="s">
        <v>4916</v>
      </c>
      <c r="K494" s="1"/>
      <c r="L494" s="1"/>
      <c r="M494" s="1" t="s">
        <v>78</v>
      </c>
      <c r="N494" s="1" t="s">
        <v>186</v>
      </c>
      <c r="O494" s="1"/>
      <c r="P494" s="1"/>
      <c r="Q494" s="1"/>
      <c r="R494" s="1"/>
      <c r="S494" s="1"/>
      <c r="T494" s="1" t="s">
        <v>8976</v>
      </c>
      <c r="U494" s="1" t="s">
        <v>8977</v>
      </c>
      <c r="V494" s="1" t="s">
        <v>8978</v>
      </c>
      <c r="W494" s="1" t="s">
        <v>8979</v>
      </c>
      <c r="X494" s="1" t="s">
        <v>8980</v>
      </c>
      <c r="Y494" s="1" t="s">
        <v>8981</v>
      </c>
      <c r="Z494" s="1" t="s">
        <v>8982</v>
      </c>
      <c r="AA494" s="1" t="s">
        <v>8983</v>
      </c>
      <c r="AB494" s="1" t="s">
        <v>8984</v>
      </c>
      <c r="AC494" s="1" t="s">
        <v>1617</v>
      </c>
      <c r="AD494" s="1" t="s">
        <v>677</v>
      </c>
      <c r="AE494" s="1" t="s">
        <v>8985</v>
      </c>
      <c r="AF494" s="1"/>
      <c r="AG494" s="1" t="n">
        <v>43</v>
      </c>
      <c r="AH494" s="1" t="n">
        <v>1</v>
      </c>
      <c r="AI494" s="1" t="n">
        <v>1</v>
      </c>
      <c r="AJ494" s="1" t="n">
        <v>0</v>
      </c>
      <c r="AK494" s="1" t="n">
        <v>13</v>
      </c>
      <c r="AL494" s="1" t="s">
        <v>195</v>
      </c>
      <c r="AM494" s="1" t="s">
        <v>196</v>
      </c>
      <c r="AN494" s="1" t="s">
        <v>197</v>
      </c>
      <c r="AO494" s="1" t="s">
        <v>4925</v>
      </c>
      <c r="AP494" s="1"/>
      <c r="AQ494" s="1"/>
      <c r="AR494" s="1" t="s">
        <v>4926</v>
      </c>
      <c r="AS494" s="1" t="s">
        <v>4927</v>
      </c>
      <c r="AT494" s="1" t="s">
        <v>2208</v>
      </c>
      <c r="AU494" s="1" t="n">
        <v>2021</v>
      </c>
      <c r="AV494" s="1" t="n">
        <v>12</v>
      </c>
      <c r="AW494" s="1" t="n">
        <v>4</v>
      </c>
      <c r="AX494" s="1"/>
      <c r="AY494" s="1"/>
      <c r="AZ494" s="1"/>
      <c r="BA494" s="1"/>
      <c r="BB494" s="1" t="n">
        <v>962</v>
      </c>
      <c r="BC494" s="1" t="n">
        <v>973</v>
      </c>
      <c r="BD494" s="1"/>
      <c r="BE494" s="1" t="s">
        <v>8986</v>
      </c>
      <c r="BF494" s="1" t="str">
        <f aca="false">HYPERLINK("http://dx.doi.org/10.1109/TAFFC.2019.2908365","http://dx.doi.org/10.1109/TAFFC.2019.2908365")</f>
        <v>http://dx.doi.org/10.1109/TAFFC.2019.2908365</v>
      </c>
      <c r="BG494" s="1"/>
      <c r="BH494" s="1"/>
      <c r="BI494" s="1" t="n">
        <v>12</v>
      </c>
      <c r="BJ494" s="1" t="s">
        <v>4929</v>
      </c>
      <c r="BK494" s="1" t="s">
        <v>398</v>
      </c>
      <c r="BL494" s="1" t="s">
        <v>101</v>
      </c>
      <c r="BM494" s="1" t="s">
        <v>8987</v>
      </c>
      <c r="BN494" s="1"/>
      <c r="BO494" s="1" t="s">
        <v>179</v>
      </c>
      <c r="BP494" s="1"/>
      <c r="BQ494" s="1"/>
      <c r="BR494" s="1" t="s">
        <v>103</v>
      </c>
      <c r="BS494" s="1" t="s">
        <v>8988</v>
      </c>
      <c r="BT494" s="1" t="str">
        <f aca="false">HYPERLINK("https%3A%2F%2Fwww.webofscience.com%2Fwos%2Fwoscc%2Ffull-record%2FWOS:000722000100011","View Full Record in Web of Science")</f>
        <v>View Full Record in Web of Science</v>
      </c>
    </row>
    <row r="495" customFormat="false" ht="12.75" hidden="false" customHeight="false" outlineLevel="0" collapsed="false">
      <c r="A495" s="1" t="s">
        <v>72</v>
      </c>
      <c r="B495" s="1" t="s">
        <v>8989</v>
      </c>
      <c r="C495" s="1"/>
      <c r="D495" s="1" t="s">
        <v>8990</v>
      </c>
      <c r="E495" s="1"/>
      <c r="F495" s="1" t="s">
        <v>8991</v>
      </c>
      <c r="G495" s="1"/>
      <c r="H495" s="1"/>
      <c r="I495" s="1" t="s">
        <v>8992</v>
      </c>
      <c r="J495" s="1" t="s">
        <v>8993</v>
      </c>
      <c r="K495" s="1"/>
      <c r="L495" s="1"/>
      <c r="M495" s="1" t="s">
        <v>78</v>
      </c>
      <c r="N495" s="1" t="s">
        <v>79</v>
      </c>
      <c r="O495" s="1" t="s">
        <v>8994</v>
      </c>
      <c r="P495" s="1" t="s">
        <v>8995</v>
      </c>
      <c r="Q495" s="1" t="s">
        <v>320</v>
      </c>
      <c r="R495" s="1" t="s">
        <v>1086</v>
      </c>
      <c r="S495" s="1"/>
      <c r="T495" s="1" t="s">
        <v>8996</v>
      </c>
      <c r="U495" s="1"/>
      <c r="V495" s="1" t="s">
        <v>8997</v>
      </c>
      <c r="W495" s="1" t="s">
        <v>8998</v>
      </c>
      <c r="X495" s="1" t="s">
        <v>8999</v>
      </c>
      <c r="Y495" s="1" t="s">
        <v>9000</v>
      </c>
      <c r="Z495" s="1" t="s">
        <v>9001</v>
      </c>
      <c r="AA495" s="1" t="s">
        <v>9002</v>
      </c>
      <c r="AB495" s="1" t="s">
        <v>6308</v>
      </c>
      <c r="AC495" s="1" t="s">
        <v>9003</v>
      </c>
      <c r="AD495" s="1"/>
      <c r="AE495" s="1" t="s">
        <v>9004</v>
      </c>
      <c r="AF495" s="1"/>
      <c r="AG495" s="1" t="n">
        <v>20</v>
      </c>
      <c r="AH495" s="1" t="n">
        <v>4</v>
      </c>
      <c r="AI495" s="1" t="n">
        <v>4</v>
      </c>
      <c r="AJ495" s="1" t="n">
        <v>1</v>
      </c>
      <c r="AK495" s="1" t="n">
        <v>3</v>
      </c>
      <c r="AL495" s="1" t="s">
        <v>172</v>
      </c>
      <c r="AM495" s="1" t="s">
        <v>173</v>
      </c>
      <c r="AN495" s="1" t="s">
        <v>174</v>
      </c>
      <c r="AO495" s="1"/>
      <c r="AP495" s="1"/>
      <c r="AQ495" s="1" t="s">
        <v>9005</v>
      </c>
      <c r="AR495" s="1"/>
      <c r="AS495" s="1"/>
      <c r="AT495" s="1"/>
      <c r="AU495" s="1" t="n">
        <v>2020</v>
      </c>
      <c r="AV495" s="1"/>
      <c r="AW495" s="1"/>
      <c r="AX495" s="1"/>
      <c r="AY495" s="1"/>
      <c r="AZ495" s="1"/>
      <c r="BA495" s="1"/>
      <c r="BB495" s="1" t="n">
        <v>200</v>
      </c>
      <c r="BC495" s="1" t="n">
        <v>205</v>
      </c>
      <c r="BD495" s="1"/>
      <c r="BE495" s="1" t="s">
        <v>9006</v>
      </c>
      <c r="BF495" s="1" t="str">
        <f aca="false">HYPERLINK("http://dx.doi.org/10.1109/ACSOS-C51401.2020.00056","http://dx.doi.org/10.1109/ACSOS-C51401.2020.00056")</f>
        <v>http://dx.doi.org/10.1109/ACSOS-C51401.2020.00056</v>
      </c>
      <c r="BG495" s="1"/>
      <c r="BH495" s="1"/>
      <c r="BI495" s="1" t="n">
        <v>6</v>
      </c>
      <c r="BJ495" s="1" t="s">
        <v>9007</v>
      </c>
      <c r="BK495" s="1" t="s">
        <v>100</v>
      </c>
      <c r="BL495" s="1" t="s">
        <v>1255</v>
      </c>
      <c r="BM495" s="1" t="s">
        <v>9008</v>
      </c>
      <c r="BN495" s="1"/>
      <c r="BO495" s="1" t="s">
        <v>227</v>
      </c>
      <c r="BP495" s="1"/>
      <c r="BQ495" s="1"/>
      <c r="BR495" s="1" t="s">
        <v>103</v>
      </c>
      <c r="BS495" s="1" t="s">
        <v>9009</v>
      </c>
      <c r="BT495" s="1" t="str">
        <f aca="false">HYPERLINK("https%3A%2F%2Fwww.webofscience.com%2Fwos%2Fwoscc%2Ffull-record%2FWOS:000719366200037","View Full Record in Web of Science")</f>
        <v>View Full Record in Web of Science</v>
      </c>
    </row>
    <row r="496" customFormat="false" ht="12.75" hidden="false" customHeight="false" outlineLevel="0" collapsed="false">
      <c r="A496" s="1" t="s">
        <v>181</v>
      </c>
      <c r="B496" s="1" t="s">
        <v>8745</v>
      </c>
      <c r="C496" s="1"/>
      <c r="D496" s="1"/>
      <c r="E496" s="1"/>
      <c r="F496" s="1" t="s">
        <v>8746</v>
      </c>
      <c r="G496" s="1"/>
      <c r="H496" s="1"/>
      <c r="I496" s="1" t="s">
        <v>9010</v>
      </c>
      <c r="J496" s="1" t="s">
        <v>8748</v>
      </c>
      <c r="K496" s="1"/>
      <c r="L496" s="1"/>
      <c r="M496" s="1" t="s">
        <v>78</v>
      </c>
      <c r="N496" s="1" t="s">
        <v>186</v>
      </c>
      <c r="O496" s="1"/>
      <c r="P496" s="1"/>
      <c r="Q496" s="1"/>
      <c r="R496" s="1"/>
      <c r="S496" s="1"/>
      <c r="T496" s="1"/>
      <c r="U496" s="1"/>
      <c r="V496" s="1"/>
      <c r="W496" s="1" t="s">
        <v>8749</v>
      </c>
      <c r="X496" s="1" t="s">
        <v>6382</v>
      </c>
      <c r="Y496" s="1" t="s">
        <v>8750</v>
      </c>
      <c r="Z496" s="1" t="s">
        <v>8751</v>
      </c>
      <c r="AA496" s="1" t="s">
        <v>8847</v>
      </c>
      <c r="AB496" s="1"/>
      <c r="AC496" s="1"/>
      <c r="AD496" s="1"/>
      <c r="AE496" s="1"/>
      <c r="AF496" s="1"/>
      <c r="AG496" s="1" t="n">
        <v>0</v>
      </c>
      <c r="AH496" s="1" t="n">
        <v>0</v>
      </c>
      <c r="AI496" s="1" t="n">
        <v>0</v>
      </c>
      <c r="AJ496" s="1" t="n">
        <v>2</v>
      </c>
      <c r="AK496" s="1" t="n">
        <v>2</v>
      </c>
      <c r="AL496" s="1" t="s">
        <v>8753</v>
      </c>
      <c r="AM496" s="1" t="s">
        <v>8754</v>
      </c>
      <c r="AN496" s="1" t="s">
        <v>8755</v>
      </c>
      <c r="AO496" s="1" t="s">
        <v>8756</v>
      </c>
      <c r="AP496" s="1" t="s">
        <v>8757</v>
      </c>
      <c r="AQ496" s="1"/>
      <c r="AR496" s="1" t="s">
        <v>8758</v>
      </c>
      <c r="AS496" s="1" t="s">
        <v>8759</v>
      </c>
      <c r="AT496" s="1"/>
      <c r="AU496" s="1" t="n">
        <v>2022</v>
      </c>
      <c r="AV496" s="1" t="n">
        <v>18</v>
      </c>
      <c r="AW496" s="1" t="n">
        <v>2</v>
      </c>
      <c r="AX496" s="1"/>
      <c r="AY496" s="1"/>
      <c r="AZ496" s="1"/>
      <c r="BA496" s="1"/>
      <c r="BB496" s="1" t="n">
        <v>141</v>
      </c>
      <c r="BC496" s="1" t="n">
        <v>142</v>
      </c>
      <c r="BD496" s="1"/>
      <c r="BE496" s="1"/>
      <c r="BF496" s="1"/>
      <c r="BG496" s="1"/>
      <c r="BH496" s="1"/>
      <c r="BI496" s="1" t="n">
        <v>2</v>
      </c>
      <c r="BJ496" s="1" t="s">
        <v>2298</v>
      </c>
      <c r="BK496" s="1" t="s">
        <v>253</v>
      </c>
      <c r="BL496" s="1" t="s">
        <v>715</v>
      </c>
      <c r="BM496" s="1" t="s">
        <v>8760</v>
      </c>
      <c r="BN496" s="1"/>
      <c r="BO496" s="1"/>
      <c r="BP496" s="1"/>
      <c r="BQ496" s="1"/>
      <c r="BR496" s="1" t="s">
        <v>103</v>
      </c>
      <c r="BS496" s="1" t="s">
        <v>9011</v>
      </c>
      <c r="BT496" s="1" t="str">
        <f aca="false">HYPERLINK("https%3A%2F%2Fwww.webofscience.com%2Fwos%2Fwoscc%2Ffull-record%2FWOS:000764055500006","View Full Record in Web of Science")</f>
        <v>View Full Record in Web of Science</v>
      </c>
    </row>
    <row r="497" customFormat="false" ht="12.75" hidden="false" customHeight="false" outlineLevel="0" collapsed="false">
      <c r="A497" s="1" t="s">
        <v>181</v>
      </c>
      <c r="B497" s="1" t="s">
        <v>9012</v>
      </c>
      <c r="C497" s="1"/>
      <c r="D497" s="1"/>
      <c r="E497" s="1"/>
      <c r="F497" s="1" t="s">
        <v>9013</v>
      </c>
      <c r="G497" s="1"/>
      <c r="H497" s="1"/>
      <c r="I497" s="1" t="s">
        <v>9014</v>
      </c>
      <c r="J497" s="1" t="s">
        <v>9015</v>
      </c>
      <c r="K497" s="1"/>
      <c r="L497" s="1"/>
      <c r="M497" s="1" t="s">
        <v>78</v>
      </c>
      <c r="N497" s="1" t="s">
        <v>186</v>
      </c>
      <c r="O497" s="1"/>
      <c r="P497" s="1"/>
      <c r="Q497" s="1"/>
      <c r="R497" s="1"/>
      <c r="S497" s="1"/>
      <c r="T497" s="1" t="s">
        <v>9016</v>
      </c>
      <c r="U497" s="1" t="s">
        <v>9017</v>
      </c>
      <c r="V497" s="1" t="s">
        <v>9018</v>
      </c>
      <c r="W497" s="1" t="s">
        <v>9019</v>
      </c>
      <c r="X497" s="1" t="s">
        <v>9020</v>
      </c>
      <c r="Y497" s="1" t="s">
        <v>9021</v>
      </c>
      <c r="Z497" s="1" t="s">
        <v>9022</v>
      </c>
      <c r="AA497" s="1"/>
      <c r="AB497" s="1" t="s">
        <v>9023</v>
      </c>
      <c r="AC497" s="1"/>
      <c r="AD497" s="1"/>
      <c r="AE497" s="1"/>
      <c r="AF497" s="1"/>
      <c r="AG497" s="1" t="n">
        <v>81</v>
      </c>
      <c r="AH497" s="1" t="n">
        <v>2</v>
      </c>
      <c r="AI497" s="1" t="n">
        <v>2</v>
      </c>
      <c r="AJ497" s="1" t="n">
        <v>0</v>
      </c>
      <c r="AK497" s="1" t="n">
        <v>10</v>
      </c>
      <c r="AL497" s="1" t="s">
        <v>893</v>
      </c>
      <c r="AM497" s="1" t="s">
        <v>894</v>
      </c>
      <c r="AN497" s="1" t="s">
        <v>895</v>
      </c>
      <c r="AO497" s="1" t="s">
        <v>9024</v>
      </c>
      <c r="AP497" s="1" t="s">
        <v>9025</v>
      </c>
      <c r="AQ497" s="1"/>
      <c r="AR497" s="1" t="s">
        <v>9026</v>
      </c>
      <c r="AS497" s="1" t="s">
        <v>9027</v>
      </c>
      <c r="AT497" s="1" t="s">
        <v>9028</v>
      </c>
      <c r="AU497" s="1" t="n">
        <v>2021</v>
      </c>
      <c r="AV497" s="1" t="n">
        <v>7</v>
      </c>
      <c r="AW497" s="1" t="n">
        <v>4</v>
      </c>
      <c r="AX497" s="1"/>
      <c r="AY497" s="1"/>
      <c r="AZ497" s="1"/>
      <c r="BA497" s="1"/>
      <c r="BB497" s="1" t="n">
        <v>589</v>
      </c>
      <c r="BC497" s="1" t="n">
        <v>610</v>
      </c>
      <c r="BD497" s="1"/>
      <c r="BE497" s="1" t="s">
        <v>9029</v>
      </c>
      <c r="BF497" s="1" t="str">
        <f aca="false">HYPERLINK("http://dx.doi.org/10.1016/j.sheji.2021.09.001","http://dx.doi.org/10.1016/j.sheji.2021.09.001")</f>
        <v>http://dx.doi.org/10.1016/j.sheji.2021.09.001</v>
      </c>
      <c r="BG497" s="1"/>
      <c r="BH497" s="1" t="s">
        <v>7116</v>
      </c>
      <c r="BI497" s="1" t="n">
        <v>22</v>
      </c>
      <c r="BJ497" s="1" t="s">
        <v>9030</v>
      </c>
      <c r="BK497" s="1" t="s">
        <v>253</v>
      </c>
      <c r="BL497" s="1" t="s">
        <v>9031</v>
      </c>
      <c r="BM497" s="1" t="s">
        <v>9032</v>
      </c>
      <c r="BN497" s="1"/>
      <c r="BO497" s="1" t="s">
        <v>401</v>
      </c>
      <c r="BP497" s="1"/>
      <c r="BQ497" s="1"/>
      <c r="BR497" s="1" t="s">
        <v>103</v>
      </c>
      <c r="BS497" s="1" t="s">
        <v>9033</v>
      </c>
      <c r="BT497" s="1" t="str">
        <f aca="false">HYPERLINK("https%3A%2F%2Fwww.webofscience.com%2Fwos%2Fwoscc%2Ffull-record%2FWOS:000728589200007","View Full Record in Web of Science")</f>
        <v>View Full Record in Web of Science</v>
      </c>
    </row>
    <row r="498" customFormat="false" ht="12.75" hidden="false" customHeight="false" outlineLevel="0" collapsed="false">
      <c r="A498" s="1" t="s">
        <v>181</v>
      </c>
      <c r="B498" s="1" t="s">
        <v>9034</v>
      </c>
      <c r="C498" s="1"/>
      <c r="D498" s="1"/>
      <c r="E498" s="1"/>
      <c r="F498" s="1" t="s">
        <v>9035</v>
      </c>
      <c r="G498" s="1"/>
      <c r="H498" s="1"/>
      <c r="I498" s="1" t="s">
        <v>9036</v>
      </c>
      <c r="J498" s="1" t="s">
        <v>5910</v>
      </c>
      <c r="K498" s="1"/>
      <c r="L498" s="1"/>
      <c r="M498" s="1" t="s">
        <v>78</v>
      </c>
      <c r="N498" s="1" t="s">
        <v>186</v>
      </c>
      <c r="O498" s="1"/>
      <c r="P498" s="1"/>
      <c r="Q498" s="1"/>
      <c r="R498" s="1"/>
      <c r="S498" s="1"/>
      <c r="T498" s="1" t="s">
        <v>9037</v>
      </c>
      <c r="U498" s="1"/>
      <c r="V498" s="1" t="s">
        <v>9038</v>
      </c>
      <c r="W498" s="1" t="s">
        <v>9039</v>
      </c>
      <c r="X498" s="1" t="s">
        <v>7263</v>
      </c>
      <c r="Y498" s="1" t="s">
        <v>9040</v>
      </c>
      <c r="Z498" s="1" t="s">
        <v>9041</v>
      </c>
      <c r="AA498" s="1" t="s">
        <v>7789</v>
      </c>
      <c r="AB498" s="1" t="s">
        <v>9042</v>
      </c>
      <c r="AC498" s="1" t="s">
        <v>9043</v>
      </c>
      <c r="AD498" s="1" t="s">
        <v>9043</v>
      </c>
      <c r="AE498" s="1" t="s">
        <v>916</v>
      </c>
      <c r="AF498" s="1"/>
      <c r="AG498" s="1" t="n">
        <v>48</v>
      </c>
      <c r="AH498" s="1" t="n">
        <v>5</v>
      </c>
      <c r="AI498" s="1" t="n">
        <v>5</v>
      </c>
      <c r="AJ498" s="1" t="n">
        <v>3</v>
      </c>
      <c r="AK498" s="1" t="n">
        <v>5</v>
      </c>
      <c r="AL498" s="1" t="s">
        <v>172</v>
      </c>
      <c r="AM498" s="1" t="s">
        <v>173</v>
      </c>
      <c r="AN498" s="1" t="s">
        <v>4882</v>
      </c>
      <c r="AO498" s="1" t="s">
        <v>5922</v>
      </c>
      <c r="AP498" s="1" t="s">
        <v>5923</v>
      </c>
      <c r="AQ498" s="1"/>
      <c r="AR498" s="1" t="s">
        <v>5924</v>
      </c>
      <c r="AS498" s="1" t="s">
        <v>5925</v>
      </c>
      <c r="AT498" s="1" t="s">
        <v>537</v>
      </c>
      <c r="AU498" s="1" t="n">
        <v>2024</v>
      </c>
      <c r="AV498" s="1" t="n">
        <v>50</v>
      </c>
      <c r="AW498" s="1" t="n">
        <v>2</v>
      </c>
      <c r="AX498" s="1"/>
      <c r="AY498" s="1"/>
      <c r="AZ498" s="1"/>
      <c r="BA498" s="1"/>
      <c r="BB498" s="1" t="n">
        <v>322</v>
      </c>
      <c r="BC498" s="1" t="n">
        <v>337</v>
      </c>
      <c r="BD498" s="1"/>
      <c r="BE498" s="1" t="s">
        <v>9044</v>
      </c>
      <c r="BF498" s="1" t="str">
        <f aca="false">HYPERLINK("http://dx.doi.org/10.1109/TSE.2023.3348036","http://dx.doi.org/10.1109/TSE.2023.3348036")</f>
        <v>http://dx.doi.org/10.1109/TSE.2023.3348036</v>
      </c>
      <c r="BG498" s="1"/>
      <c r="BH498" s="1"/>
      <c r="BI498" s="1" t="n">
        <v>16</v>
      </c>
      <c r="BJ498" s="1" t="s">
        <v>5928</v>
      </c>
      <c r="BK498" s="1" t="s">
        <v>204</v>
      </c>
      <c r="BL498" s="1" t="s">
        <v>1255</v>
      </c>
      <c r="BM498" s="1" t="s">
        <v>9045</v>
      </c>
      <c r="BN498" s="1"/>
      <c r="BO498" s="1"/>
      <c r="BP498" s="1"/>
      <c r="BQ498" s="1"/>
      <c r="BR498" s="1" t="s">
        <v>103</v>
      </c>
      <c r="BS498" s="1" t="s">
        <v>9046</v>
      </c>
      <c r="BT498" s="1" t="str">
        <f aca="false">HYPERLINK("https%3A%2F%2Fwww.webofscience.com%2Fwos%2Fwoscc%2Ffull-record%2FWOS:001167516600010","View Full Record in Web of Science")</f>
        <v>View Full Record in Web of Science</v>
      </c>
    </row>
    <row r="499" customFormat="false" ht="12.75" hidden="false" customHeight="false" outlineLevel="0" collapsed="false">
      <c r="A499" s="1" t="s">
        <v>181</v>
      </c>
      <c r="B499" s="1" t="s">
        <v>9047</v>
      </c>
      <c r="C499" s="1"/>
      <c r="D499" s="1"/>
      <c r="E499" s="1"/>
      <c r="F499" s="1" t="s">
        <v>9048</v>
      </c>
      <c r="G499" s="1"/>
      <c r="H499" s="1"/>
      <c r="I499" s="1" t="s">
        <v>9049</v>
      </c>
      <c r="J499" s="1" t="s">
        <v>3700</v>
      </c>
      <c r="K499" s="1"/>
      <c r="L499" s="1"/>
      <c r="M499" s="1" t="s">
        <v>78</v>
      </c>
      <c r="N499" s="1" t="s">
        <v>186</v>
      </c>
      <c r="O499" s="1"/>
      <c r="P499" s="1"/>
      <c r="Q499" s="1"/>
      <c r="R499" s="1"/>
      <c r="S499" s="1"/>
      <c r="T499" s="1" t="s">
        <v>9050</v>
      </c>
      <c r="U499" s="1"/>
      <c r="V499" s="1" t="s">
        <v>9051</v>
      </c>
      <c r="W499" s="1" t="s">
        <v>9052</v>
      </c>
      <c r="X499" s="1" t="s">
        <v>9053</v>
      </c>
      <c r="Y499" s="1" t="s">
        <v>6105</v>
      </c>
      <c r="Z499" s="1" t="s">
        <v>4278</v>
      </c>
      <c r="AA499" s="1" t="s">
        <v>9054</v>
      </c>
      <c r="AB499" s="1"/>
      <c r="AC499" s="1" t="s">
        <v>9055</v>
      </c>
      <c r="AD499" s="1" t="s">
        <v>9056</v>
      </c>
      <c r="AE499" s="1" t="s">
        <v>9057</v>
      </c>
      <c r="AF499" s="1"/>
      <c r="AG499" s="1" t="n">
        <v>25</v>
      </c>
      <c r="AH499" s="1" t="n">
        <v>91</v>
      </c>
      <c r="AI499" s="1" t="n">
        <v>99</v>
      </c>
      <c r="AJ499" s="1" t="n">
        <v>11</v>
      </c>
      <c r="AK499" s="1" t="n">
        <v>75</v>
      </c>
      <c r="AL499" s="1" t="s">
        <v>3711</v>
      </c>
      <c r="AM499" s="1" t="s">
        <v>95</v>
      </c>
      <c r="AN499" s="1" t="s">
        <v>3712</v>
      </c>
      <c r="AO499" s="1" t="s">
        <v>3713</v>
      </c>
      <c r="AP499" s="1" t="s">
        <v>3714</v>
      </c>
      <c r="AQ499" s="1"/>
      <c r="AR499" s="1" t="s">
        <v>3715</v>
      </c>
      <c r="AS499" s="1" t="s">
        <v>3716</v>
      </c>
      <c r="AT499" s="1" t="s">
        <v>1453</v>
      </c>
      <c r="AU499" s="1" t="n">
        <v>2023</v>
      </c>
      <c r="AV499" s="1" t="n">
        <v>195</v>
      </c>
      <c r="AW499" s="1"/>
      <c r="AX499" s="1"/>
      <c r="AY499" s="1"/>
      <c r="AZ499" s="1"/>
      <c r="BA499" s="1"/>
      <c r="BB499" s="1"/>
      <c r="BC499" s="1"/>
      <c r="BD499" s="1" t="n">
        <v>111552</v>
      </c>
      <c r="BE499" s="1" t="s">
        <v>9058</v>
      </c>
      <c r="BF499" s="1" t="str">
        <f aca="false">HYPERLINK("http://dx.doi.org/10.1016/j.jss.2022.111552","http://dx.doi.org/10.1016/j.jss.2022.111552")</f>
        <v>http://dx.doi.org/10.1016/j.jss.2022.111552</v>
      </c>
      <c r="BG499" s="1"/>
      <c r="BH499" s="1" t="s">
        <v>279</v>
      </c>
      <c r="BI499" s="1" t="n">
        <v>12</v>
      </c>
      <c r="BJ499" s="1" t="s">
        <v>994</v>
      </c>
      <c r="BK499" s="1" t="s">
        <v>204</v>
      </c>
      <c r="BL499" s="1" t="s">
        <v>101</v>
      </c>
      <c r="BM499" s="1" t="s">
        <v>9059</v>
      </c>
      <c r="BN499" s="1" t="n">
        <v>36320721</v>
      </c>
      <c r="BO499" s="1" t="s">
        <v>3326</v>
      </c>
      <c r="BP499" s="1"/>
      <c r="BQ499" s="1"/>
      <c r="BR499" s="1" t="s">
        <v>103</v>
      </c>
      <c r="BS499" s="1" t="s">
        <v>9060</v>
      </c>
      <c r="BT499" s="1" t="str">
        <f aca="false">HYPERLINK("https%3A%2F%2Fwww.webofscience.com%2Fwos%2Fwoscc%2Ffull-record%2FWOS:000906907300004","View Full Record in Web of Science")</f>
        <v>View Full Record in Web of Science</v>
      </c>
    </row>
    <row r="500" customFormat="false" ht="12.75" hidden="false" customHeight="false" outlineLevel="0" collapsed="false">
      <c r="A500" s="1" t="s">
        <v>181</v>
      </c>
      <c r="B500" s="1" t="s">
        <v>9061</v>
      </c>
      <c r="C500" s="1"/>
      <c r="D500" s="1"/>
      <c r="E500" s="1"/>
      <c r="F500" s="1" t="s">
        <v>9062</v>
      </c>
      <c r="G500" s="1"/>
      <c r="H500" s="1"/>
      <c r="I500" s="1" t="s">
        <v>9063</v>
      </c>
      <c r="J500" s="1" t="s">
        <v>952</v>
      </c>
      <c r="K500" s="1"/>
      <c r="L500" s="1"/>
      <c r="M500" s="1" t="s">
        <v>78</v>
      </c>
      <c r="N500" s="1" t="s">
        <v>186</v>
      </c>
      <c r="O500" s="1"/>
      <c r="P500" s="1"/>
      <c r="Q500" s="1"/>
      <c r="R500" s="1"/>
      <c r="S500" s="1"/>
      <c r="T500" s="1" t="s">
        <v>9064</v>
      </c>
      <c r="U500" s="1" t="s">
        <v>9065</v>
      </c>
      <c r="V500" s="1" t="s">
        <v>9066</v>
      </c>
      <c r="W500" s="1" t="s">
        <v>9067</v>
      </c>
      <c r="X500" s="1" t="s">
        <v>8325</v>
      </c>
      <c r="Y500" s="1" t="s">
        <v>9068</v>
      </c>
      <c r="Z500" s="1" t="s">
        <v>9069</v>
      </c>
      <c r="AA500" s="1" t="s">
        <v>9070</v>
      </c>
      <c r="AB500" s="1"/>
      <c r="AC500" s="1" t="s">
        <v>9071</v>
      </c>
      <c r="AD500" s="1" t="s">
        <v>9072</v>
      </c>
      <c r="AE500" s="1" t="s">
        <v>9073</v>
      </c>
      <c r="AF500" s="1"/>
      <c r="AG500" s="1" t="n">
        <v>65</v>
      </c>
      <c r="AH500" s="1" t="n">
        <v>29</v>
      </c>
      <c r="AI500" s="1" t="n">
        <v>29</v>
      </c>
      <c r="AJ500" s="1" t="n">
        <v>9</v>
      </c>
      <c r="AK500" s="1" t="n">
        <v>34</v>
      </c>
      <c r="AL500" s="1" t="s">
        <v>893</v>
      </c>
      <c r="AM500" s="1" t="s">
        <v>894</v>
      </c>
      <c r="AN500" s="1" t="s">
        <v>895</v>
      </c>
      <c r="AO500" s="1" t="s">
        <v>963</v>
      </c>
      <c r="AP500" s="1"/>
      <c r="AQ500" s="1"/>
      <c r="AR500" s="1" t="s">
        <v>964</v>
      </c>
      <c r="AS500" s="1" t="s">
        <v>965</v>
      </c>
      <c r="AT500" s="1" t="s">
        <v>277</v>
      </c>
      <c r="AU500" s="1" t="n">
        <v>2022</v>
      </c>
      <c r="AV500" s="1" t="n">
        <v>30</v>
      </c>
      <c r="AW500" s="1"/>
      <c r="AX500" s="1"/>
      <c r="AY500" s="1"/>
      <c r="AZ500" s="1"/>
      <c r="BA500" s="1"/>
      <c r="BB500" s="1" t="n">
        <v>737</v>
      </c>
      <c r="BC500" s="1" t="n">
        <v>751</v>
      </c>
      <c r="BD500" s="1"/>
      <c r="BE500" s="1" t="s">
        <v>9074</v>
      </c>
      <c r="BF500" s="1" t="str">
        <f aca="false">HYPERLINK("http://dx.doi.org/10.1016/j.spc.2022.01.004","http://dx.doi.org/10.1016/j.spc.2022.01.004")</f>
        <v>http://dx.doi.org/10.1016/j.spc.2022.01.004</v>
      </c>
      <c r="BG500" s="1"/>
      <c r="BH500" s="1" t="s">
        <v>2540</v>
      </c>
      <c r="BI500" s="1" t="n">
        <v>15</v>
      </c>
      <c r="BJ500" s="1" t="s">
        <v>968</v>
      </c>
      <c r="BK500" s="1" t="s">
        <v>398</v>
      </c>
      <c r="BL500" s="1" t="s">
        <v>399</v>
      </c>
      <c r="BM500" s="1" t="s">
        <v>9075</v>
      </c>
      <c r="BN500" s="1"/>
      <c r="BO500" s="1" t="s">
        <v>612</v>
      </c>
      <c r="BP500" s="1"/>
      <c r="BQ500" s="1"/>
      <c r="BR500" s="1" t="s">
        <v>103</v>
      </c>
      <c r="BS500" s="1" t="s">
        <v>9076</v>
      </c>
      <c r="BT500" s="1" t="str">
        <f aca="false">HYPERLINK("https%3A%2F%2Fwww.webofscience.com%2Fwos%2Fwoscc%2Ffull-record%2FWOS:000789137500005","View Full Record in Web of Science")</f>
        <v>View Full Record in Web of Science</v>
      </c>
    </row>
    <row r="501" customFormat="false" ht="12.75" hidden="false" customHeight="false" outlineLevel="0" collapsed="false">
      <c r="A501" s="1" t="s">
        <v>181</v>
      </c>
      <c r="B501" s="1" t="s">
        <v>9077</v>
      </c>
      <c r="C501" s="1"/>
      <c r="D501" s="1"/>
      <c r="E501" s="1"/>
      <c r="F501" s="1" t="s">
        <v>9078</v>
      </c>
      <c r="G501" s="1"/>
      <c r="H501" s="1"/>
      <c r="I501" s="1" t="s">
        <v>9079</v>
      </c>
      <c r="J501" s="1" t="s">
        <v>9080</v>
      </c>
      <c r="K501" s="1"/>
      <c r="L501" s="1"/>
      <c r="M501" s="1" t="s">
        <v>78</v>
      </c>
      <c r="N501" s="1" t="s">
        <v>186</v>
      </c>
      <c r="O501" s="1"/>
      <c r="P501" s="1"/>
      <c r="Q501" s="1"/>
      <c r="R501" s="1"/>
      <c r="S501" s="1"/>
      <c r="T501" s="1" t="s">
        <v>9081</v>
      </c>
      <c r="U501" s="1" t="s">
        <v>9082</v>
      </c>
      <c r="V501" s="1" t="s">
        <v>9083</v>
      </c>
      <c r="W501" s="1" t="s">
        <v>9084</v>
      </c>
      <c r="X501" s="1" t="s">
        <v>4920</v>
      </c>
      <c r="Y501" s="1" t="s">
        <v>9085</v>
      </c>
      <c r="Z501" s="1" t="s">
        <v>9086</v>
      </c>
      <c r="AA501" s="1" t="s">
        <v>5981</v>
      </c>
      <c r="AB501" s="1" t="s">
        <v>4924</v>
      </c>
      <c r="AC501" s="1"/>
      <c r="AD501" s="1"/>
      <c r="AE501" s="1"/>
      <c r="AF501" s="1"/>
      <c r="AG501" s="1" t="n">
        <v>139</v>
      </c>
      <c r="AH501" s="1" t="n">
        <v>23</v>
      </c>
      <c r="AI501" s="1" t="n">
        <v>24</v>
      </c>
      <c r="AJ501" s="1" t="n">
        <v>4</v>
      </c>
      <c r="AK501" s="1" t="n">
        <v>64</v>
      </c>
      <c r="AL501" s="1" t="s">
        <v>679</v>
      </c>
      <c r="AM501" s="1" t="s">
        <v>680</v>
      </c>
      <c r="AN501" s="1" t="s">
        <v>681</v>
      </c>
      <c r="AO501" s="1" t="s">
        <v>9087</v>
      </c>
      <c r="AP501" s="1" t="s">
        <v>9088</v>
      </c>
      <c r="AQ501" s="1"/>
      <c r="AR501" s="1" t="s">
        <v>9089</v>
      </c>
      <c r="AS501" s="1" t="s">
        <v>9090</v>
      </c>
      <c r="AT501" s="1" t="s">
        <v>2698</v>
      </c>
      <c r="AU501" s="1" t="n">
        <v>2022</v>
      </c>
      <c r="AV501" s="1" t="n">
        <v>55</v>
      </c>
      <c r="AW501" s="1" t="n">
        <v>5</v>
      </c>
      <c r="AX501" s="1"/>
      <c r="AY501" s="1"/>
      <c r="AZ501" s="1"/>
      <c r="BA501" s="1"/>
      <c r="BB501" s="1" t="n">
        <v>3569</v>
      </c>
      <c r="BC501" s="1" t="n">
        <v>3606</v>
      </c>
      <c r="BD501" s="1"/>
      <c r="BE501" s="1" t="s">
        <v>9091</v>
      </c>
      <c r="BF501" s="1" t="str">
        <f aca="false">HYPERLINK("http://dx.doi.org/10.1007/s10462-021-10098-w","http://dx.doi.org/10.1007/s10462-021-10098-w")</f>
        <v>http://dx.doi.org/10.1007/s10462-021-10098-w</v>
      </c>
      <c r="BG501" s="1"/>
      <c r="BH501" s="1" t="s">
        <v>1624</v>
      </c>
      <c r="BI501" s="1" t="n">
        <v>38</v>
      </c>
      <c r="BJ501" s="1" t="s">
        <v>1625</v>
      </c>
      <c r="BK501" s="1" t="s">
        <v>204</v>
      </c>
      <c r="BL501" s="1" t="s">
        <v>101</v>
      </c>
      <c r="BM501" s="1" t="s">
        <v>9092</v>
      </c>
      <c r="BN501" s="1"/>
      <c r="BO501" s="1"/>
      <c r="BP501" s="1"/>
      <c r="BQ501" s="1"/>
      <c r="BR501" s="1" t="s">
        <v>103</v>
      </c>
      <c r="BS501" s="1" t="s">
        <v>9093</v>
      </c>
      <c r="BT501" s="1" t="str">
        <f aca="false">HYPERLINK("https%3A%2F%2Fwww.webofscience.com%2Fwos%2Fwoscc%2Ffull-record%2FWOS:000718221200001","View Full Record in Web of Science")</f>
        <v>View Full Record in Web of Science</v>
      </c>
    </row>
    <row r="502" customFormat="false" ht="12.75" hidden="false" customHeight="false" outlineLevel="0" collapsed="false">
      <c r="A502" s="1" t="s">
        <v>181</v>
      </c>
      <c r="B502" s="1" t="s">
        <v>9094</v>
      </c>
      <c r="C502" s="1"/>
      <c r="D502" s="1"/>
      <c r="E502" s="1"/>
      <c r="F502" s="1" t="s">
        <v>9095</v>
      </c>
      <c r="G502" s="1"/>
      <c r="H502" s="1"/>
      <c r="I502" s="1" t="s">
        <v>9096</v>
      </c>
      <c r="J502" s="1" t="s">
        <v>4407</v>
      </c>
      <c r="K502" s="1"/>
      <c r="L502" s="1"/>
      <c r="M502" s="1" t="s">
        <v>78</v>
      </c>
      <c r="N502" s="1" t="s">
        <v>186</v>
      </c>
      <c r="O502" s="1"/>
      <c r="P502" s="1"/>
      <c r="Q502" s="1"/>
      <c r="R502" s="1"/>
      <c r="S502" s="1"/>
      <c r="T502" s="1" t="s">
        <v>9097</v>
      </c>
      <c r="U502" s="1" t="s">
        <v>9098</v>
      </c>
      <c r="V502" s="1" t="s">
        <v>9099</v>
      </c>
      <c r="W502" s="1" t="s">
        <v>9100</v>
      </c>
      <c r="X502" s="1" t="s">
        <v>9101</v>
      </c>
      <c r="Y502" s="1" t="s">
        <v>9102</v>
      </c>
      <c r="Z502" s="1" t="s">
        <v>9103</v>
      </c>
      <c r="AA502" s="1" t="s">
        <v>7092</v>
      </c>
      <c r="AB502" s="1" t="s">
        <v>7093</v>
      </c>
      <c r="AC502" s="1" t="s">
        <v>9104</v>
      </c>
      <c r="AD502" s="1" t="s">
        <v>9105</v>
      </c>
      <c r="AE502" s="1" t="s">
        <v>9106</v>
      </c>
      <c r="AF502" s="1"/>
      <c r="AG502" s="1" t="n">
        <v>59</v>
      </c>
      <c r="AH502" s="1" t="n">
        <v>16</v>
      </c>
      <c r="AI502" s="1" t="n">
        <v>16</v>
      </c>
      <c r="AJ502" s="1" t="n">
        <v>5</v>
      </c>
      <c r="AK502" s="1" t="n">
        <v>48</v>
      </c>
      <c r="AL502" s="1" t="s">
        <v>4414</v>
      </c>
      <c r="AM502" s="1" t="s">
        <v>4415</v>
      </c>
      <c r="AN502" s="1" t="s">
        <v>4416</v>
      </c>
      <c r="AO502" s="1" t="s">
        <v>4417</v>
      </c>
      <c r="AP502" s="1"/>
      <c r="AQ502" s="1"/>
      <c r="AR502" s="1" t="s">
        <v>4418</v>
      </c>
      <c r="AS502" s="1" t="s">
        <v>4419</v>
      </c>
      <c r="AT502" s="1"/>
      <c r="AU502" s="1" t="n">
        <v>2021</v>
      </c>
      <c r="AV502" s="1" t="n">
        <v>27</v>
      </c>
      <c r="AW502" s="1" t="n">
        <v>1</v>
      </c>
      <c r="AX502" s="1"/>
      <c r="AY502" s="1"/>
      <c r="AZ502" s="1"/>
      <c r="BA502" s="1"/>
      <c r="BB502" s="1" t="n">
        <v>71</v>
      </c>
      <c r="BC502" s="1" t="n">
        <v>83</v>
      </c>
      <c r="BD502" s="1"/>
      <c r="BE502" s="1" t="s">
        <v>9107</v>
      </c>
      <c r="BF502" s="1" t="str">
        <f aca="false">HYPERLINK("http://dx.doi.org/10.5755/j02.eie.27612","http://dx.doi.org/10.5755/j02.eie.27612")</f>
        <v>http://dx.doi.org/10.5755/j02.eie.27612</v>
      </c>
      <c r="BG502" s="1"/>
      <c r="BH502" s="1"/>
      <c r="BI502" s="1" t="n">
        <v>13</v>
      </c>
      <c r="BJ502" s="1" t="s">
        <v>4421</v>
      </c>
      <c r="BK502" s="1" t="s">
        <v>204</v>
      </c>
      <c r="BL502" s="1" t="s">
        <v>640</v>
      </c>
      <c r="BM502" s="1" t="s">
        <v>9108</v>
      </c>
      <c r="BN502" s="1"/>
      <c r="BO502" s="1" t="s">
        <v>376</v>
      </c>
      <c r="BP502" s="1"/>
      <c r="BQ502" s="1"/>
      <c r="BR502" s="1" t="s">
        <v>103</v>
      </c>
      <c r="BS502" s="1" t="s">
        <v>9109</v>
      </c>
      <c r="BT502" s="1" t="str">
        <f aca="false">HYPERLINK("https%3A%2F%2Fwww.webofscience.com%2Fwos%2Fwoscc%2Ffull-record%2FWOS:000621642600008","View Full Record in Web of Science")</f>
        <v>View Full Record in Web of Science</v>
      </c>
    </row>
    <row r="503" customFormat="false" ht="12.75" hidden="false" customHeight="false" outlineLevel="0" collapsed="false">
      <c r="A503" s="1" t="s">
        <v>181</v>
      </c>
      <c r="B503" s="1" t="s">
        <v>9110</v>
      </c>
      <c r="C503" s="1"/>
      <c r="D503" s="1"/>
      <c r="E503" s="1"/>
      <c r="F503" s="1" t="s">
        <v>9111</v>
      </c>
      <c r="G503" s="1"/>
      <c r="H503" s="1"/>
      <c r="I503" s="1" t="s">
        <v>9112</v>
      </c>
      <c r="J503" s="1" t="s">
        <v>588</v>
      </c>
      <c r="K503" s="1"/>
      <c r="L503" s="1"/>
      <c r="M503" s="1" t="s">
        <v>78</v>
      </c>
      <c r="N503" s="1" t="s">
        <v>186</v>
      </c>
      <c r="O503" s="1"/>
      <c r="P503" s="1"/>
      <c r="Q503" s="1"/>
      <c r="R503" s="1"/>
      <c r="S503" s="1"/>
      <c r="T503" s="1" t="s">
        <v>9113</v>
      </c>
      <c r="U503" s="1" t="s">
        <v>9114</v>
      </c>
      <c r="V503" s="1" t="s">
        <v>9115</v>
      </c>
      <c r="W503" s="1" t="s">
        <v>9116</v>
      </c>
      <c r="X503" s="1" t="s">
        <v>9117</v>
      </c>
      <c r="Y503" s="1" t="s">
        <v>9118</v>
      </c>
      <c r="Z503" s="1"/>
      <c r="AA503" s="1"/>
      <c r="AB503" s="1" t="s">
        <v>9119</v>
      </c>
      <c r="AC503" s="1"/>
      <c r="AD503" s="1"/>
      <c r="AE503" s="1"/>
      <c r="AF503" s="1"/>
      <c r="AG503" s="1" t="n">
        <v>32</v>
      </c>
      <c r="AH503" s="1" t="n">
        <v>1</v>
      </c>
      <c r="AI503" s="1" t="n">
        <v>1</v>
      </c>
      <c r="AJ503" s="1" t="n">
        <v>2</v>
      </c>
      <c r="AK503" s="1" t="n">
        <v>11</v>
      </c>
      <c r="AL503" s="1" t="s">
        <v>600</v>
      </c>
      <c r="AM503" s="1" t="s">
        <v>601</v>
      </c>
      <c r="AN503" s="1" t="s">
        <v>602</v>
      </c>
      <c r="AO503" s="1" t="s">
        <v>603</v>
      </c>
      <c r="AP503" s="1" t="s">
        <v>604</v>
      </c>
      <c r="AQ503" s="1"/>
      <c r="AR503" s="1" t="s">
        <v>605</v>
      </c>
      <c r="AS503" s="1" t="s">
        <v>606</v>
      </c>
      <c r="AT503" s="1" t="s">
        <v>277</v>
      </c>
      <c r="AU503" s="1" t="n">
        <v>2021</v>
      </c>
      <c r="AV503" s="1" t="n">
        <v>35</v>
      </c>
      <c r="AW503" s="1" t="n">
        <v>1</v>
      </c>
      <c r="AX503" s="1"/>
      <c r="AY503" s="1"/>
      <c r="AZ503" s="1"/>
      <c r="BA503" s="1"/>
      <c r="BB503" s="1" t="n">
        <v>252</v>
      </c>
      <c r="BC503" s="1" t="n">
        <v>259</v>
      </c>
      <c r="BD503" s="1"/>
      <c r="BE503" s="1" t="s">
        <v>9120</v>
      </c>
      <c r="BF503" s="1" t="str">
        <f aca="false">HYPERLINK("http://dx.doi.org/10.1111/scs.12841","http://dx.doi.org/10.1111/scs.12841")</f>
        <v>http://dx.doi.org/10.1111/scs.12841</v>
      </c>
      <c r="BG503" s="1"/>
      <c r="BH503" s="1" t="s">
        <v>9121</v>
      </c>
      <c r="BI503" s="1" t="n">
        <v>8</v>
      </c>
      <c r="BJ503" s="1" t="s">
        <v>609</v>
      </c>
      <c r="BK503" s="1" t="s">
        <v>610</v>
      </c>
      <c r="BL503" s="1" t="s">
        <v>609</v>
      </c>
      <c r="BM503" s="1" t="s">
        <v>9122</v>
      </c>
      <c r="BN503" s="1" t="n">
        <v>32168394</v>
      </c>
      <c r="BO503" s="1" t="s">
        <v>612</v>
      </c>
      <c r="BP503" s="1"/>
      <c r="BQ503" s="1"/>
      <c r="BR503" s="1" t="s">
        <v>103</v>
      </c>
      <c r="BS503" s="1" t="s">
        <v>9123</v>
      </c>
      <c r="BT503" s="1" t="str">
        <f aca="false">HYPERLINK("https%3A%2F%2Fwww.webofscience.com%2Fwos%2Fwoscc%2Ffull-record%2FWOS:000563099500001","View Full Record in Web of Science")</f>
        <v>View Full Record in Web of Science</v>
      </c>
    </row>
    <row r="504" customFormat="false" ht="12.75" hidden="false" customHeight="false" outlineLevel="0" collapsed="false">
      <c r="A504" s="1" t="s">
        <v>72</v>
      </c>
      <c r="B504" s="1" t="s">
        <v>9124</v>
      </c>
      <c r="C504" s="1"/>
      <c r="D504" s="1" t="s">
        <v>4598</v>
      </c>
      <c r="E504" s="1"/>
      <c r="F504" s="1" t="s">
        <v>9125</v>
      </c>
      <c r="G504" s="1"/>
      <c r="H504" s="1"/>
      <c r="I504" s="1" t="s">
        <v>9126</v>
      </c>
      <c r="J504" s="1" t="s">
        <v>4601</v>
      </c>
      <c r="K504" s="1" t="s">
        <v>3043</v>
      </c>
      <c r="L504" s="1"/>
      <c r="M504" s="1" t="s">
        <v>78</v>
      </c>
      <c r="N504" s="1" t="s">
        <v>79</v>
      </c>
      <c r="O504" s="1" t="s">
        <v>4602</v>
      </c>
      <c r="P504" s="1" t="s">
        <v>4603</v>
      </c>
      <c r="Q504" s="1" t="s">
        <v>4604</v>
      </c>
      <c r="R504" s="1" t="s">
        <v>1086</v>
      </c>
      <c r="S504" s="1"/>
      <c r="T504" s="1" t="s">
        <v>9127</v>
      </c>
      <c r="U504" s="1" t="s">
        <v>9128</v>
      </c>
      <c r="V504" s="1" t="s">
        <v>9129</v>
      </c>
      <c r="W504" s="1" t="s">
        <v>9130</v>
      </c>
      <c r="X504" s="1" t="s">
        <v>5274</v>
      </c>
      <c r="Y504" s="1" t="s">
        <v>9131</v>
      </c>
      <c r="Z504" s="1" t="s">
        <v>9132</v>
      </c>
      <c r="AA504" s="1" t="s">
        <v>2491</v>
      </c>
      <c r="AB504" s="1"/>
      <c r="AC504" s="1" t="s">
        <v>1186</v>
      </c>
      <c r="AD504" s="1" t="s">
        <v>1186</v>
      </c>
      <c r="AE504" s="1" t="s">
        <v>9133</v>
      </c>
      <c r="AF504" s="1"/>
      <c r="AG504" s="1" t="n">
        <v>43</v>
      </c>
      <c r="AH504" s="1" t="n">
        <v>0</v>
      </c>
      <c r="AI504" s="1" t="n">
        <v>0</v>
      </c>
      <c r="AJ504" s="1" t="n">
        <v>0</v>
      </c>
      <c r="AK504" s="1" t="n">
        <v>0</v>
      </c>
      <c r="AL504" s="1" t="s">
        <v>172</v>
      </c>
      <c r="AM504" s="1" t="s">
        <v>173</v>
      </c>
      <c r="AN504" s="1" t="s">
        <v>174</v>
      </c>
      <c r="AO504" s="1" t="s">
        <v>3054</v>
      </c>
      <c r="AP504" s="1"/>
      <c r="AQ504" s="1" t="s">
        <v>4611</v>
      </c>
      <c r="AR504" s="1" t="s">
        <v>3056</v>
      </c>
      <c r="AS504" s="1"/>
      <c r="AT504" s="1"/>
      <c r="AU504" s="1" t="n">
        <v>2024</v>
      </c>
      <c r="AV504" s="1"/>
      <c r="AW504" s="1"/>
      <c r="AX504" s="1"/>
      <c r="AY504" s="1"/>
      <c r="AZ504" s="1"/>
      <c r="BA504" s="1"/>
      <c r="BB504" s="1" t="n">
        <v>398</v>
      </c>
      <c r="BC504" s="1" t="n">
        <v>406</v>
      </c>
      <c r="BD504" s="1"/>
      <c r="BE504" s="1" t="s">
        <v>9134</v>
      </c>
      <c r="BF504" s="1" t="str">
        <f aca="false">HYPERLINK("http://dx.doi.org/10.1109/RE59067.2024.00047","http://dx.doi.org/10.1109/RE59067.2024.00047")</f>
        <v>http://dx.doi.org/10.1109/RE59067.2024.00047</v>
      </c>
      <c r="BG504" s="1"/>
      <c r="BH504" s="1"/>
      <c r="BI504" s="1" t="n">
        <v>9</v>
      </c>
      <c r="BJ504" s="1" t="s">
        <v>4613</v>
      </c>
      <c r="BK504" s="1" t="s">
        <v>100</v>
      </c>
      <c r="BL504" s="1" t="s">
        <v>1255</v>
      </c>
      <c r="BM504" s="1" t="s">
        <v>4614</v>
      </c>
      <c r="BN504" s="1"/>
      <c r="BO504" s="1" t="s">
        <v>227</v>
      </c>
      <c r="BP504" s="1"/>
      <c r="BQ504" s="1"/>
      <c r="BR504" s="1" t="s">
        <v>103</v>
      </c>
      <c r="BS504" s="1" t="s">
        <v>9135</v>
      </c>
      <c r="BT504" s="1" t="str">
        <f aca="false">HYPERLINK("https%3A%2F%2Fwww.webofscience.com%2Fwos%2Fwoscc%2Ffull-record%2FWOS:001300544600039","View Full Record in Web of Science")</f>
        <v>View Full Record in Web of Science</v>
      </c>
    </row>
    <row r="505" customFormat="false" ht="12.75" hidden="false" customHeight="false" outlineLevel="0" collapsed="false">
      <c r="A505" s="1" t="s">
        <v>899</v>
      </c>
      <c r="B505" s="1" t="s">
        <v>5735</v>
      </c>
      <c r="C505" s="1"/>
      <c r="D505" s="1" t="s">
        <v>9136</v>
      </c>
      <c r="E505" s="1"/>
      <c r="F505" s="1" t="s">
        <v>9137</v>
      </c>
      <c r="G505" s="1"/>
      <c r="H505" s="1"/>
      <c r="I505" s="1" t="s">
        <v>9138</v>
      </c>
      <c r="J505" s="1" t="s">
        <v>9139</v>
      </c>
      <c r="K505" s="1" t="s">
        <v>9140</v>
      </c>
      <c r="L505" s="1"/>
      <c r="M505" s="1" t="s">
        <v>78</v>
      </c>
      <c r="N505" s="1" t="s">
        <v>9141</v>
      </c>
      <c r="O505" s="1"/>
      <c r="P505" s="1"/>
      <c r="Q505" s="1"/>
      <c r="R505" s="1"/>
      <c r="S505" s="1"/>
      <c r="T505" s="1"/>
      <c r="U505" s="1" t="s">
        <v>9142</v>
      </c>
      <c r="V505" s="1"/>
      <c r="W505" s="1" t="s">
        <v>9143</v>
      </c>
      <c r="X505" s="1" t="s">
        <v>7003</v>
      </c>
      <c r="Y505" s="1" t="s">
        <v>9144</v>
      </c>
      <c r="Z505" s="1"/>
      <c r="AA505" s="1" t="s">
        <v>5746</v>
      </c>
      <c r="AB505" s="1"/>
      <c r="AC505" s="1"/>
      <c r="AD505" s="1"/>
      <c r="AE505" s="1"/>
      <c r="AF505" s="1"/>
      <c r="AG505" s="1" t="n">
        <v>47</v>
      </c>
      <c r="AH505" s="1" t="n">
        <v>1</v>
      </c>
      <c r="AI505" s="1" t="n">
        <v>1</v>
      </c>
      <c r="AJ505" s="1" t="n">
        <v>1</v>
      </c>
      <c r="AK505" s="1" t="n">
        <v>2</v>
      </c>
      <c r="AL505" s="1" t="s">
        <v>9145</v>
      </c>
      <c r="AM505" s="1" t="s">
        <v>1221</v>
      </c>
      <c r="AN505" s="1" t="s">
        <v>9146</v>
      </c>
      <c r="AO505" s="1"/>
      <c r="AP505" s="1"/>
      <c r="AQ505" s="1" t="s">
        <v>9147</v>
      </c>
      <c r="AR505" s="1" t="s">
        <v>9148</v>
      </c>
      <c r="AS505" s="1"/>
      <c r="AT505" s="1"/>
      <c r="AU505" s="1" t="n">
        <v>2022</v>
      </c>
      <c r="AV505" s="1"/>
      <c r="AW505" s="1"/>
      <c r="AX505" s="1"/>
      <c r="AY505" s="1"/>
      <c r="AZ505" s="1"/>
      <c r="BA505" s="1"/>
      <c r="BB505" s="1" t="n">
        <v>147</v>
      </c>
      <c r="BC505" s="1" t="n">
        <v>161</v>
      </c>
      <c r="BD505" s="1"/>
      <c r="BE505" s="1" t="s">
        <v>9149</v>
      </c>
      <c r="BF505" s="1" t="str">
        <f aca="false">HYPERLINK("http://dx.doi.org/10.4324/9781003034001-10","http://dx.doi.org/10.4324/9781003034001-10")</f>
        <v>http://dx.doi.org/10.4324/9781003034001-10</v>
      </c>
      <c r="BG505" s="1" t="s">
        <v>9150</v>
      </c>
      <c r="BH505" s="1"/>
      <c r="BI505" s="1" t="n">
        <v>15</v>
      </c>
      <c r="BJ505" s="1" t="s">
        <v>9151</v>
      </c>
      <c r="BK505" s="1" t="s">
        <v>9152</v>
      </c>
      <c r="BL505" s="1" t="s">
        <v>9153</v>
      </c>
      <c r="BM505" s="1" t="s">
        <v>9154</v>
      </c>
      <c r="BN505" s="1"/>
      <c r="BO505" s="1"/>
      <c r="BP505" s="1"/>
      <c r="BQ505" s="1"/>
      <c r="BR505" s="1" t="s">
        <v>103</v>
      </c>
      <c r="BS505" s="1" t="s">
        <v>9155</v>
      </c>
      <c r="BT505" s="1" t="str">
        <f aca="false">HYPERLINK("https%3A%2F%2Fwww.webofscience.com%2Fwos%2Fwoscc%2Ffull-record%2FWOS:000890766600011","View Full Record in Web of Science")</f>
        <v>View Full Record in Web of Science</v>
      </c>
    </row>
    <row r="506" customFormat="false" ht="12.75" hidden="false" customHeight="false" outlineLevel="0" collapsed="false">
      <c r="A506" s="1" t="s">
        <v>181</v>
      </c>
      <c r="B506" s="1" t="s">
        <v>8745</v>
      </c>
      <c r="C506" s="1"/>
      <c r="D506" s="1"/>
      <c r="E506" s="1"/>
      <c r="F506" s="1" t="s">
        <v>8746</v>
      </c>
      <c r="G506" s="1"/>
      <c r="H506" s="1"/>
      <c r="I506" s="1" t="s">
        <v>9156</v>
      </c>
      <c r="J506" s="1" t="s">
        <v>8748</v>
      </c>
      <c r="K506" s="1"/>
      <c r="L506" s="1"/>
      <c r="M506" s="1" t="s">
        <v>78</v>
      </c>
      <c r="N506" s="1" t="s">
        <v>186</v>
      </c>
      <c r="O506" s="1"/>
      <c r="P506" s="1"/>
      <c r="Q506" s="1"/>
      <c r="R506" s="1"/>
      <c r="S506" s="1"/>
      <c r="T506" s="1" t="s">
        <v>9157</v>
      </c>
      <c r="U506" s="1" t="s">
        <v>9158</v>
      </c>
      <c r="V506" s="1" t="s">
        <v>9159</v>
      </c>
      <c r="W506" s="1" t="s">
        <v>9160</v>
      </c>
      <c r="X506" s="1" t="s">
        <v>6382</v>
      </c>
      <c r="Y506" s="1" t="s">
        <v>9161</v>
      </c>
      <c r="Z506" s="1" t="s">
        <v>8751</v>
      </c>
      <c r="AA506" s="1" t="s">
        <v>8752</v>
      </c>
      <c r="AB506" s="1"/>
      <c r="AC506" s="1"/>
      <c r="AD506" s="1"/>
      <c r="AE506" s="1"/>
      <c r="AF506" s="1"/>
      <c r="AG506" s="1" t="n">
        <v>165</v>
      </c>
      <c r="AH506" s="1" t="n">
        <v>0</v>
      </c>
      <c r="AI506" s="1" t="n">
        <v>0</v>
      </c>
      <c r="AJ506" s="1" t="n">
        <v>5</v>
      </c>
      <c r="AK506" s="1" t="n">
        <v>23</v>
      </c>
      <c r="AL506" s="1" t="s">
        <v>8753</v>
      </c>
      <c r="AM506" s="1" t="s">
        <v>8754</v>
      </c>
      <c r="AN506" s="1" t="s">
        <v>8755</v>
      </c>
      <c r="AO506" s="1" t="s">
        <v>8756</v>
      </c>
      <c r="AP506" s="1" t="s">
        <v>8757</v>
      </c>
      <c r="AQ506" s="1"/>
      <c r="AR506" s="1" t="s">
        <v>8758</v>
      </c>
      <c r="AS506" s="1" t="s">
        <v>8759</v>
      </c>
      <c r="AT506" s="1"/>
      <c r="AU506" s="1" t="n">
        <v>2022</v>
      </c>
      <c r="AV506" s="1" t="n">
        <v>18</v>
      </c>
      <c r="AW506" s="1" t="n">
        <v>2</v>
      </c>
      <c r="AX506" s="1"/>
      <c r="AY506" s="1"/>
      <c r="AZ506" s="1"/>
      <c r="BA506" s="1"/>
      <c r="BB506" s="1" t="n">
        <v>77</v>
      </c>
      <c r="BC506" s="1" t="s">
        <v>9162</v>
      </c>
      <c r="BD506" s="1"/>
      <c r="BE506" s="1" t="s">
        <v>9163</v>
      </c>
      <c r="BF506" s="1" t="str">
        <f aca="false">HYPERLINK("http://dx.doi.org/10.1561/0300000103","http://dx.doi.org/10.1561/0300000103")</f>
        <v>http://dx.doi.org/10.1561/0300000103</v>
      </c>
      <c r="BG506" s="1"/>
      <c r="BH506" s="1"/>
      <c r="BI506" s="1" t="n">
        <v>84</v>
      </c>
      <c r="BJ506" s="1" t="s">
        <v>2298</v>
      </c>
      <c r="BK506" s="1" t="s">
        <v>253</v>
      </c>
      <c r="BL506" s="1" t="s">
        <v>715</v>
      </c>
      <c r="BM506" s="1" t="s">
        <v>8760</v>
      </c>
      <c r="BN506" s="1"/>
      <c r="BO506" s="1"/>
      <c r="BP506" s="1"/>
      <c r="BQ506" s="1"/>
      <c r="BR506" s="1" t="s">
        <v>103</v>
      </c>
      <c r="BS506" s="1" t="s">
        <v>9164</v>
      </c>
      <c r="BT506" s="1" t="str">
        <f aca="false">HYPERLINK("https%3A%2F%2Fwww.webofscience.com%2Fwos%2Fwoscc%2Ffull-record%2FWOS:000764055500001","View Full Record in Web of Science")</f>
        <v>View Full Record in Web of Science</v>
      </c>
    </row>
    <row r="507" customFormat="false" ht="12.75" hidden="false" customHeight="false" outlineLevel="0" collapsed="false">
      <c r="A507" s="1" t="s">
        <v>181</v>
      </c>
      <c r="B507" s="1" t="s">
        <v>9165</v>
      </c>
      <c r="C507" s="1"/>
      <c r="D507" s="1"/>
      <c r="E507" s="1"/>
      <c r="F507" s="1" t="s">
        <v>9166</v>
      </c>
      <c r="G507" s="1"/>
      <c r="H507" s="1"/>
      <c r="I507" s="1" t="s">
        <v>9167</v>
      </c>
      <c r="J507" s="1" t="s">
        <v>2753</v>
      </c>
      <c r="K507" s="1"/>
      <c r="L507" s="1"/>
      <c r="M507" s="1" t="s">
        <v>78</v>
      </c>
      <c r="N507" s="1" t="s">
        <v>186</v>
      </c>
      <c r="O507" s="1"/>
      <c r="P507" s="1"/>
      <c r="Q507" s="1"/>
      <c r="R507" s="1"/>
      <c r="S507" s="1"/>
      <c r="T507" s="1" t="s">
        <v>9168</v>
      </c>
      <c r="U507" s="1" t="s">
        <v>9169</v>
      </c>
      <c r="V507" s="1" t="s">
        <v>9170</v>
      </c>
      <c r="W507" s="1" t="s">
        <v>9171</v>
      </c>
      <c r="X507" s="1" t="s">
        <v>9172</v>
      </c>
      <c r="Y507" s="1" t="s">
        <v>9173</v>
      </c>
      <c r="Z507" s="1" t="s">
        <v>9174</v>
      </c>
      <c r="AA507" s="1" t="s">
        <v>9175</v>
      </c>
      <c r="AB507" s="1" t="s">
        <v>9176</v>
      </c>
      <c r="AC507" s="1"/>
      <c r="AD507" s="1"/>
      <c r="AE507" s="1"/>
      <c r="AF507" s="1"/>
      <c r="AG507" s="1" t="n">
        <v>71</v>
      </c>
      <c r="AH507" s="1" t="n">
        <v>36</v>
      </c>
      <c r="AI507" s="1" t="n">
        <v>38</v>
      </c>
      <c r="AJ507" s="1" t="n">
        <v>1</v>
      </c>
      <c r="AK507" s="1" t="n">
        <v>15</v>
      </c>
      <c r="AL507" s="1" t="s">
        <v>2761</v>
      </c>
      <c r="AM507" s="1" t="s">
        <v>1908</v>
      </c>
      <c r="AN507" s="1" t="s">
        <v>2762</v>
      </c>
      <c r="AO507" s="1" t="s">
        <v>2763</v>
      </c>
      <c r="AP507" s="1" t="s">
        <v>2764</v>
      </c>
      <c r="AQ507" s="1"/>
      <c r="AR507" s="1" t="s">
        <v>2765</v>
      </c>
      <c r="AS507" s="1" t="s">
        <v>2766</v>
      </c>
      <c r="AT507" s="1" t="s">
        <v>1391</v>
      </c>
      <c r="AU507" s="1" t="n">
        <v>2020</v>
      </c>
      <c r="AV507" s="1" t="n">
        <v>32</v>
      </c>
      <c r="AW507" s="1" t="n">
        <v>21</v>
      </c>
      <c r="AX507" s="1"/>
      <c r="AY507" s="1"/>
      <c r="AZ507" s="1" t="s">
        <v>1698</v>
      </c>
      <c r="BA507" s="1"/>
      <c r="BB507" s="1" t="n">
        <v>16505</v>
      </c>
      <c r="BC507" s="1" t="n">
        <v>16518</v>
      </c>
      <c r="BD507" s="1"/>
      <c r="BE507" s="1" t="s">
        <v>9177</v>
      </c>
      <c r="BF507" s="1" t="str">
        <f aca="false">HYPERLINK("http://dx.doi.org/10.1007/s00521-019-04163-3","http://dx.doi.org/10.1007/s00521-019-04163-3")</f>
        <v>http://dx.doi.org/10.1007/s00521-019-04163-3</v>
      </c>
      <c r="BG507" s="1"/>
      <c r="BH507" s="1"/>
      <c r="BI507" s="1" t="n">
        <v>14</v>
      </c>
      <c r="BJ507" s="1" t="s">
        <v>1625</v>
      </c>
      <c r="BK507" s="1" t="s">
        <v>204</v>
      </c>
      <c r="BL507" s="1" t="s">
        <v>101</v>
      </c>
      <c r="BM507" s="1" t="s">
        <v>9178</v>
      </c>
      <c r="BN507" s="1"/>
      <c r="BO507" s="1" t="s">
        <v>612</v>
      </c>
      <c r="BP507" s="1"/>
      <c r="BQ507" s="1"/>
      <c r="BR507" s="1" t="s">
        <v>103</v>
      </c>
      <c r="BS507" s="1" t="s">
        <v>9179</v>
      </c>
      <c r="BT507" s="1" t="str">
        <f aca="false">HYPERLINK("https%3A%2F%2Fwww.webofscience.com%2Fwos%2Fwoscc%2Ffull-record%2FWOS:000577694800012","View Full Record in Web of Science")</f>
        <v>View Full Record in Web of Science</v>
      </c>
    </row>
    <row r="508" customFormat="false" ht="12.75" hidden="false" customHeight="false" outlineLevel="0" collapsed="false">
      <c r="A508" s="1" t="s">
        <v>72</v>
      </c>
      <c r="B508" s="1" t="s">
        <v>9180</v>
      </c>
      <c r="C508" s="1"/>
      <c r="D508" s="1" t="s">
        <v>4598</v>
      </c>
      <c r="E508" s="1"/>
      <c r="F508" s="1" t="s">
        <v>9181</v>
      </c>
      <c r="G508" s="1"/>
      <c r="H508" s="1"/>
      <c r="I508" s="1" t="s">
        <v>9182</v>
      </c>
      <c r="J508" s="1" t="s">
        <v>9183</v>
      </c>
      <c r="K508" s="1" t="s">
        <v>9184</v>
      </c>
      <c r="L508" s="1"/>
      <c r="M508" s="1" t="s">
        <v>78</v>
      </c>
      <c r="N508" s="1" t="s">
        <v>79</v>
      </c>
      <c r="O508" s="1" t="s">
        <v>4602</v>
      </c>
      <c r="P508" s="1" t="s">
        <v>4603</v>
      </c>
      <c r="Q508" s="1" t="s">
        <v>4604</v>
      </c>
      <c r="R508" s="1" t="s">
        <v>1086</v>
      </c>
      <c r="S508" s="1"/>
      <c r="T508" s="1" t="s">
        <v>9185</v>
      </c>
      <c r="U508" s="1" t="s">
        <v>1923</v>
      </c>
      <c r="V508" s="1" t="s">
        <v>9186</v>
      </c>
      <c r="W508" s="1" t="s">
        <v>9187</v>
      </c>
      <c r="X508" s="1" t="s">
        <v>5274</v>
      </c>
      <c r="Y508" s="1" t="s">
        <v>9188</v>
      </c>
      <c r="Z508" s="1" t="s">
        <v>9189</v>
      </c>
      <c r="AA508" s="1" t="s">
        <v>9190</v>
      </c>
      <c r="AB508" s="1"/>
      <c r="AC508" s="1" t="s">
        <v>9191</v>
      </c>
      <c r="AD508" s="1" t="s">
        <v>9191</v>
      </c>
      <c r="AE508" s="1" t="s">
        <v>9192</v>
      </c>
      <c r="AF508" s="1"/>
      <c r="AG508" s="1" t="n">
        <v>52</v>
      </c>
      <c r="AH508" s="1" t="n">
        <v>0</v>
      </c>
      <c r="AI508" s="1" t="n">
        <v>0</v>
      </c>
      <c r="AJ508" s="1" t="n">
        <v>0</v>
      </c>
      <c r="AK508" s="1" t="n">
        <v>0</v>
      </c>
      <c r="AL508" s="1" t="s">
        <v>172</v>
      </c>
      <c r="AM508" s="1" t="s">
        <v>173</v>
      </c>
      <c r="AN508" s="1" t="s">
        <v>174</v>
      </c>
      <c r="AO508" s="1" t="s">
        <v>9193</v>
      </c>
      <c r="AP508" s="1"/>
      <c r="AQ508" s="1" t="s">
        <v>9194</v>
      </c>
      <c r="AR508" s="1" t="s">
        <v>9195</v>
      </c>
      <c r="AS508" s="1"/>
      <c r="AT508" s="1"/>
      <c r="AU508" s="1" t="n">
        <v>2024</v>
      </c>
      <c r="AV508" s="1"/>
      <c r="AW508" s="1"/>
      <c r="AX508" s="1"/>
      <c r="AY508" s="1"/>
      <c r="AZ508" s="1"/>
      <c r="BA508" s="1"/>
      <c r="BB508" s="1" t="n">
        <v>262</v>
      </c>
      <c r="BC508" s="1" t="n">
        <v>271</v>
      </c>
      <c r="BD508" s="1"/>
      <c r="BE508" s="1" t="s">
        <v>9196</v>
      </c>
      <c r="BF508" s="1" t="str">
        <f aca="false">HYPERLINK("http://dx.doi.org/10.1109/REW61692.2024.00041","http://dx.doi.org/10.1109/REW61692.2024.00041")</f>
        <v>http://dx.doi.org/10.1109/REW61692.2024.00041</v>
      </c>
      <c r="BG508" s="1"/>
      <c r="BH508" s="1"/>
      <c r="BI508" s="1" t="n">
        <v>10</v>
      </c>
      <c r="BJ508" s="1" t="s">
        <v>9197</v>
      </c>
      <c r="BK508" s="1" t="s">
        <v>100</v>
      </c>
      <c r="BL508" s="1" t="s">
        <v>1255</v>
      </c>
      <c r="BM508" s="1" t="s">
        <v>9198</v>
      </c>
      <c r="BN508" s="1"/>
      <c r="BO508" s="1" t="s">
        <v>227</v>
      </c>
      <c r="BP508" s="1"/>
      <c r="BQ508" s="1"/>
      <c r="BR508" s="1" t="s">
        <v>103</v>
      </c>
      <c r="BS508" s="1" t="s">
        <v>9199</v>
      </c>
      <c r="BT508" s="1" t="str">
        <f aca="false">HYPERLINK("https%3A%2F%2Fwww.webofscience.com%2Fwos%2Fwoscc%2Ffull-record%2FWOS:001304537500035","View Full Record in Web of Science")</f>
        <v>View Full Record in Web of Science</v>
      </c>
    </row>
    <row r="509" customFormat="false" ht="12.75" hidden="false" customHeight="false" outlineLevel="0" collapsed="false">
      <c r="A509" s="1" t="s">
        <v>72</v>
      </c>
      <c r="B509" s="1" t="s">
        <v>9200</v>
      </c>
      <c r="C509" s="1"/>
      <c r="D509" s="1"/>
      <c r="E509" s="1" t="s">
        <v>428</v>
      </c>
      <c r="F509" s="1" t="s">
        <v>9201</v>
      </c>
      <c r="G509" s="1"/>
      <c r="H509" s="1"/>
      <c r="I509" s="1" t="s">
        <v>9202</v>
      </c>
      <c r="J509" s="1" t="s">
        <v>9203</v>
      </c>
      <c r="K509" s="1"/>
      <c r="L509" s="1"/>
      <c r="M509" s="1" t="s">
        <v>78</v>
      </c>
      <c r="N509" s="1" t="s">
        <v>79</v>
      </c>
      <c r="O509" s="1" t="s">
        <v>9204</v>
      </c>
      <c r="P509" s="1" t="s">
        <v>9205</v>
      </c>
      <c r="Q509" s="1" t="s">
        <v>292</v>
      </c>
      <c r="R509" s="1" t="s">
        <v>163</v>
      </c>
      <c r="S509" s="1"/>
      <c r="T509" s="1" t="s">
        <v>9206</v>
      </c>
      <c r="U509" s="1"/>
      <c r="V509" s="1" t="s">
        <v>9207</v>
      </c>
      <c r="W509" s="1" t="s">
        <v>9208</v>
      </c>
      <c r="X509" s="1" t="s">
        <v>9209</v>
      </c>
      <c r="Y509" s="1" t="s">
        <v>9210</v>
      </c>
      <c r="Z509" s="1" t="s">
        <v>9211</v>
      </c>
      <c r="AA509" s="1"/>
      <c r="AB509" s="1" t="s">
        <v>9212</v>
      </c>
      <c r="AC509" s="1"/>
      <c r="AD509" s="1"/>
      <c r="AE509" s="1"/>
      <c r="AF509" s="1"/>
      <c r="AG509" s="1" t="n">
        <v>13</v>
      </c>
      <c r="AH509" s="1" t="n">
        <v>0</v>
      </c>
      <c r="AI509" s="1" t="n">
        <v>0</v>
      </c>
      <c r="AJ509" s="1" t="n">
        <v>1</v>
      </c>
      <c r="AK509" s="1" t="n">
        <v>1</v>
      </c>
      <c r="AL509" s="1" t="s">
        <v>94</v>
      </c>
      <c r="AM509" s="1" t="s">
        <v>95</v>
      </c>
      <c r="AN509" s="1" t="s">
        <v>96</v>
      </c>
      <c r="AO509" s="1"/>
      <c r="AP509" s="1"/>
      <c r="AQ509" s="1" t="s">
        <v>9213</v>
      </c>
      <c r="AR509" s="1"/>
      <c r="AS509" s="1"/>
      <c r="AT509" s="1"/>
      <c r="AU509" s="1" t="n">
        <v>2024</v>
      </c>
      <c r="AV509" s="1"/>
      <c r="AW509" s="1"/>
      <c r="AX509" s="1"/>
      <c r="AY509" s="1"/>
      <c r="AZ509" s="1"/>
      <c r="BA509" s="1"/>
      <c r="BB509" s="1" t="n">
        <v>309</v>
      </c>
      <c r="BC509" s="1" t="n">
        <v>311</v>
      </c>
      <c r="BD509" s="1"/>
      <c r="BE509" s="1" t="s">
        <v>9214</v>
      </c>
      <c r="BF509" s="1" t="str">
        <f aca="false">HYPERLINK("http://dx.doi.org/10.1145/3639477.3639736","http://dx.doi.org/10.1145/3639477.3639736")</f>
        <v>http://dx.doi.org/10.1145/3639477.3639736</v>
      </c>
      <c r="BG509" s="1"/>
      <c r="BH509" s="1"/>
      <c r="BI509" s="1" t="n">
        <v>3</v>
      </c>
      <c r="BJ509" s="1" t="s">
        <v>442</v>
      </c>
      <c r="BK509" s="1" t="s">
        <v>100</v>
      </c>
      <c r="BL509" s="1" t="s">
        <v>101</v>
      </c>
      <c r="BM509" s="1" t="s">
        <v>9215</v>
      </c>
      <c r="BN509" s="1"/>
      <c r="BO509" s="1" t="s">
        <v>876</v>
      </c>
      <c r="BP509" s="1"/>
      <c r="BQ509" s="1"/>
      <c r="BR509" s="1" t="s">
        <v>103</v>
      </c>
      <c r="BS509" s="1" t="s">
        <v>9216</v>
      </c>
      <c r="BT509" s="1" t="str">
        <f aca="false">HYPERLINK("https%3A%2F%2Fwww.webofscience.com%2Fwos%2Fwoscc%2Ffull-record%2FWOS:001239124300027","View Full Record in Web of Science")</f>
        <v>View Full Record in Web of Science</v>
      </c>
    </row>
    <row r="510" customFormat="false" ht="12.75" hidden="false" customHeight="false" outlineLevel="0" collapsed="false">
      <c r="A510" s="1" t="s">
        <v>181</v>
      </c>
      <c r="B510" s="1" t="s">
        <v>9217</v>
      </c>
      <c r="C510" s="1"/>
      <c r="D510" s="1"/>
      <c r="E510" s="1"/>
      <c r="F510" s="1" t="s">
        <v>9218</v>
      </c>
      <c r="G510" s="1"/>
      <c r="H510" s="1"/>
      <c r="I510" s="1" t="s">
        <v>9219</v>
      </c>
      <c r="J510" s="1" t="s">
        <v>9220</v>
      </c>
      <c r="K510" s="1"/>
      <c r="L510" s="1"/>
      <c r="M510" s="1" t="s">
        <v>78</v>
      </c>
      <c r="N510" s="1" t="s">
        <v>186</v>
      </c>
      <c r="O510" s="1"/>
      <c r="P510" s="1"/>
      <c r="Q510" s="1"/>
      <c r="R510" s="1"/>
      <c r="S510" s="1"/>
      <c r="T510" s="1"/>
      <c r="U510" s="1" t="s">
        <v>9221</v>
      </c>
      <c r="V510" s="1" t="s">
        <v>9222</v>
      </c>
      <c r="W510" s="1" t="s">
        <v>9223</v>
      </c>
      <c r="X510" s="1" t="s">
        <v>9224</v>
      </c>
      <c r="Y510" s="1" t="s">
        <v>9225</v>
      </c>
      <c r="Z510" s="1" t="s">
        <v>9226</v>
      </c>
      <c r="AA510" s="1"/>
      <c r="AB510" s="1" t="s">
        <v>9227</v>
      </c>
      <c r="AC510" s="1"/>
      <c r="AD510" s="1"/>
      <c r="AE510" s="1"/>
      <c r="AF510" s="1"/>
      <c r="AG510" s="1" t="n">
        <v>38</v>
      </c>
      <c r="AH510" s="1" t="n">
        <v>0</v>
      </c>
      <c r="AI510" s="1" t="n">
        <v>0</v>
      </c>
      <c r="AJ510" s="1" t="n">
        <v>0</v>
      </c>
      <c r="AK510" s="1" t="n">
        <v>0</v>
      </c>
      <c r="AL510" s="1" t="s">
        <v>600</v>
      </c>
      <c r="AM510" s="1" t="s">
        <v>601</v>
      </c>
      <c r="AN510" s="1" t="s">
        <v>602</v>
      </c>
      <c r="AO510" s="1" t="s">
        <v>9228</v>
      </c>
      <c r="AP510" s="1" t="s">
        <v>9229</v>
      </c>
      <c r="AQ510" s="1"/>
      <c r="AR510" s="1" t="s">
        <v>9230</v>
      </c>
      <c r="AS510" s="1" t="s">
        <v>9231</v>
      </c>
      <c r="AT510" s="1" t="s">
        <v>1453</v>
      </c>
      <c r="AU510" s="1" t="n">
        <v>2024</v>
      </c>
      <c r="AV510" s="1" t="n">
        <v>109</v>
      </c>
      <c r="AW510" s="1" t="n">
        <v>1</v>
      </c>
      <c r="AX510" s="1"/>
      <c r="AY510" s="1"/>
      <c r="AZ510" s="1"/>
      <c r="BA510" s="1"/>
      <c r="BB510" s="1"/>
      <c r="BC510" s="1"/>
      <c r="BD510" s="1"/>
      <c r="BE510" s="1" t="s">
        <v>9232</v>
      </c>
      <c r="BF510" s="1" t="str">
        <f aca="false">HYPERLINK("http://dx.doi.org/10.1112/jlms.12826","http://dx.doi.org/10.1112/jlms.12826")</f>
        <v>http://dx.doi.org/10.1112/jlms.12826</v>
      </c>
      <c r="BG510" s="1"/>
      <c r="BH510" s="1" t="s">
        <v>2672</v>
      </c>
      <c r="BI510" s="1" t="n">
        <v>34</v>
      </c>
      <c r="BJ510" s="1" t="s">
        <v>280</v>
      </c>
      <c r="BK510" s="1" t="s">
        <v>204</v>
      </c>
      <c r="BL510" s="1" t="s">
        <v>280</v>
      </c>
      <c r="BM510" s="1" t="s">
        <v>9233</v>
      </c>
      <c r="BN510" s="1"/>
      <c r="BO510" s="1" t="s">
        <v>876</v>
      </c>
      <c r="BP510" s="1"/>
      <c r="BQ510" s="1"/>
      <c r="BR510" s="1" t="s">
        <v>103</v>
      </c>
      <c r="BS510" s="1" t="s">
        <v>9234</v>
      </c>
      <c r="BT510" s="1" t="str">
        <f aca="false">HYPERLINK("https%3A%2F%2Fwww.webofscience.com%2Fwos%2Fwoscc%2Ffull-record%2FWOS:001119522700001","View Full Record in Web of Science")</f>
        <v>View Full Record in Web of Science</v>
      </c>
    </row>
    <row r="511" customFormat="false" ht="12.75" hidden="false" customHeight="false" outlineLevel="0" collapsed="false">
      <c r="A511" s="1" t="s">
        <v>72</v>
      </c>
      <c r="B511" s="1" t="s">
        <v>8362</v>
      </c>
      <c r="C511" s="1"/>
      <c r="D511" s="1" t="s">
        <v>5149</v>
      </c>
      <c r="E511" s="1"/>
      <c r="F511" s="1" t="s">
        <v>8363</v>
      </c>
      <c r="G511" s="1"/>
      <c r="H511" s="1"/>
      <c r="I511" s="1" t="s">
        <v>9235</v>
      </c>
      <c r="J511" s="1" t="s">
        <v>5152</v>
      </c>
      <c r="K511" s="1" t="s">
        <v>5153</v>
      </c>
      <c r="L511" s="1"/>
      <c r="M511" s="1" t="s">
        <v>78</v>
      </c>
      <c r="N511" s="1" t="s">
        <v>79</v>
      </c>
      <c r="O511" s="1" t="s">
        <v>5154</v>
      </c>
      <c r="P511" s="1" t="s">
        <v>5155</v>
      </c>
      <c r="Q511" s="1" t="s">
        <v>5156</v>
      </c>
      <c r="R511" s="1" t="s">
        <v>5157</v>
      </c>
      <c r="S511" s="1"/>
      <c r="T511" s="1"/>
      <c r="U511" s="1" t="s">
        <v>9236</v>
      </c>
      <c r="V511" s="1" t="s">
        <v>9237</v>
      </c>
      <c r="W511" s="1" t="s">
        <v>8366</v>
      </c>
      <c r="X511" s="1" t="s">
        <v>8367</v>
      </c>
      <c r="Y511" s="1" t="s">
        <v>8368</v>
      </c>
      <c r="Z511" s="1" t="s">
        <v>8369</v>
      </c>
      <c r="AA511" s="1" t="s">
        <v>8370</v>
      </c>
      <c r="AB511" s="1" t="s">
        <v>7029</v>
      </c>
      <c r="AC511" s="1" t="s">
        <v>9238</v>
      </c>
      <c r="AD511" s="1" t="s">
        <v>9239</v>
      </c>
      <c r="AE511" s="1" t="s">
        <v>8373</v>
      </c>
      <c r="AF511" s="1"/>
      <c r="AG511" s="1" t="n">
        <v>32</v>
      </c>
      <c r="AH511" s="1" t="n">
        <v>2</v>
      </c>
      <c r="AI511" s="1" t="n">
        <v>2</v>
      </c>
      <c r="AJ511" s="1" t="n">
        <v>2</v>
      </c>
      <c r="AK511" s="1" t="n">
        <v>3</v>
      </c>
      <c r="AL511" s="1" t="s">
        <v>5169</v>
      </c>
      <c r="AM511" s="1" t="s">
        <v>5170</v>
      </c>
      <c r="AN511" s="1" t="s">
        <v>5171</v>
      </c>
      <c r="AO511" s="1" t="s">
        <v>5172</v>
      </c>
      <c r="AP511" s="1"/>
      <c r="AQ511" s="1"/>
      <c r="AR511" s="1" t="s">
        <v>5173</v>
      </c>
      <c r="AS511" s="1"/>
      <c r="AT511" s="1"/>
      <c r="AU511" s="1" t="n">
        <v>2023</v>
      </c>
      <c r="AV511" s="1" t="n">
        <v>1284</v>
      </c>
      <c r="AW511" s="1"/>
      <c r="AX511" s="1"/>
      <c r="AY511" s="1"/>
      <c r="AZ511" s="1"/>
      <c r="BA511" s="1"/>
      <c r="BB511" s="1"/>
      <c r="BC511" s="1"/>
      <c r="BD511" s="1" t="n">
        <v>12054</v>
      </c>
      <c r="BE511" s="1" t="s">
        <v>9240</v>
      </c>
      <c r="BF511" s="1" t="str">
        <f aca="false">HYPERLINK("http://dx.doi.org/10.1088/1757-899X/1284/1/012054","http://dx.doi.org/10.1088/1757-899X/1284/1/012054")</f>
        <v>http://dx.doi.org/10.1088/1757-899X/1284/1/012054</v>
      </c>
      <c r="BG511" s="1"/>
      <c r="BH511" s="1"/>
      <c r="BI511" s="1" t="n">
        <v>10</v>
      </c>
      <c r="BJ511" s="1" t="s">
        <v>5175</v>
      </c>
      <c r="BK511" s="1" t="s">
        <v>100</v>
      </c>
      <c r="BL511" s="1" t="s">
        <v>5176</v>
      </c>
      <c r="BM511" s="1" t="s">
        <v>5177</v>
      </c>
      <c r="BN511" s="1"/>
      <c r="BO511" s="1" t="s">
        <v>376</v>
      </c>
      <c r="BP511" s="1"/>
      <c r="BQ511" s="1"/>
      <c r="BR511" s="1" t="s">
        <v>103</v>
      </c>
      <c r="BS511" s="1" t="s">
        <v>9241</v>
      </c>
      <c r="BT511" s="1" t="str">
        <f aca="false">HYPERLINK("https%3A%2F%2Fwww.webofscience.com%2Fwos%2Fwoscc%2Ffull-record%2FWOS:001017824300054","View Full Record in Web of Science")</f>
        <v>View Full Record in Web of Science</v>
      </c>
    </row>
    <row r="512" customFormat="false" ht="12.75" hidden="false" customHeight="false" outlineLevel="0" collapsed="false">
      <c r="A512" s="1" t="s">
        <v>181</v>
      </c>
      <c r="B512" s="1" t="s">
        <v>9242</v>
      </c>
      <c r="C512" s="1"/>
      <c r="D512" s="1"/>
      <c r="E512" s="1"/>
      <c r="F512" s="1" t="s">
        <v>9243</v>
      </c>
      <c r="G512" s="1"/>
      <c r="H512" s="1"/>
      <c r="I512" s="1" t="s">
        <v>9244</v>
      </c>
      <c r="J512" s="1" t="s">
        <v>1378</v>
      </c>
      <c r="K512" s="1"/>
      <c r="L512" s="1"/>
      <c r="M512" s="1" t="s">
        <v>78</v>
      </c>
      <c r="N512" s="1" t="s">
        <v>618</v>
      </c>
      <c r="O512" s="1"/>
      <c r="P512" s="1"/>
      <c r="Q512" s="1"/>
      <c r="R512" s="1"/>
      <c r="S512" s="1"/>
      <c r="T512" s="1" t="s">
        <v>9245</v>
      </c>
      <c r="U512" s="1" t="s">
        <v>9246</v>
      </c>
      <c r="V512" s="1" t="s">
        <v>9247</v>
      </c>
      <c r="W512" s="1" t="s">
        <v>9248</v>
      </c>
      <c r="X512" s="1" t="s">
        <v>7263</v>
      </c>
      <c r="Y512" s="1" t="s">
        <v>9249</v>
      </c>
      <c r="Z512" s="1" t="s">
        <v>9250</v>
      </c>
      <c r="AA512" s="1"/>
      <c r="AB512" s="1"/>
      <c r="AC512" s="1" t="s">
        <v>9251</v>
      </c>
      <c r="AD512" s="1" t="s">
        <v>9251</v>
      </c>
      <c r="AE512" s="1" t="s">
        <v>9252</v>
      </c>
      <c r="AF512" s="1"/>
      <c r="AG512" s="1" t="n">
        <v>101</v>
      </c>
      <c r="AH512" s="1" t="n">
        <v>13</v>
      </c>
      <c r="AI512" s="1" t="n">
        <v>13</v>
      </c>
      <c r="AJ512" s="1" t="n">
        <v>1</v>
      </c>
      <c r="AK512" s="1" t="n">
        <v>12</v>
      </c>
      <c r="AL512" s="1" t="s">
        <v>893</v>
      </c>
      <c r="AM512" s="1" t="s">
        <v>894</v>
      </c>
      <c r="AN512" s="1" t="s">
        <v>895</v>
      </c>
      <c r="AO512" s="1" t="s">
        <v>1387</v>
      </c>
      <c r="AP512" s="1" t="s">
        <v>1388</v>
      </c>
      <c r="AQ512" s="1"/>
      <c r="AR512" s="1" t="s">
        <v>1389</v>
      </c>
      <c r="AS512" s="1" t="s">
        <v>1390</v>
      </c>
      <c r="AT512" s="1" t="s">
        <v>372</v>
      </c>
      <c r="AU512" s="1" t="n">
        <v>2022</v>
      </c>
      <c r="AV512" s="1" t="n">
        <v>152</v>
      </c>
      <c r="AW512" s="1"/>
      <c r="AX512" s="1"/>
      <c r="AY512" s="1"/>
      <c r="AZ512" s="1"/>
      <c r="BA512" s="1"/>
      <c r="BB512" s="1"/>
      <c r="BC512" s="1"/>
      <c r="BD512" s="1" t="n">
        <v>107062</v>
      </c>
      <c r="BE512" s="1" t="s">
        <v>9253</v>
      </c>
      <c r="BF512" s="1" t="str">
        <f aca="false">HYPERLINK("http://dx.doi.org/10.1016/j.infsof.2022.107062","http://dx.doi.org/10.1016/j.infsof.2022.107062")</f>
        <v>http://dx.doi.org/10.1016/j.infsof.2022.107062</v>
      </c>
      <c r="BG512" s="1"/>
      <c r="BH512" s="1" t="s">
        <v>3679</v>
      </c>
      <c r="BI512" s="1" t="n">
        <v>18</v>
      </c>
      <c r="BJ512" s="1" t="s">
        <v>1394</v>
      </c>
      <c r="BK512" s="1" t="s">
        <v>204</v>
      </c>
      <c r="BL512" s="1" t="s">
        <v>101</v>
      </c>
      <c r="BM512" s="1" t="s">
        <v>9254</v>
      </c>
      <c r="BN512" s="1"/>
      <c r="BO512" s="1"/>
      <c r="BP512" s="1"/>
      <c r="BQ512" s="1"/>
      <c r="BR512" s="1" t="s">
        <v>103</v>
      </c>
      <c r="BS512" s="1" t="s">
        <v>9255</v>
      </c>
      <c r="BT512" s="1" t="str">
        <f aca="false">HYPERLINK("https%3A%2F%2Fwww.webofscience.com%2Fwos%2Fwoscc%2Ffull-record%2FWOS:000858854400003","View Full Record in Web of Science")</f>
        <v>View Full Record in Web of Science</v>
      </c>
    </row>
    <row r="513" customFormat="false" ht="12.75" hidden="false" customHeight="false" outlineLevel="0" collapsed="false">
      <c r="A513" s="1" t="s">
        <v>181</v>
      </c>
      <c r="B513" s="1" t="s">
        <v>8745</v>
      </c>
      <c r="C513" s="1"/>
      <c r="D513" s="1"/>
      <c r="E513" s="1"/>
      <c r="F513" s="1" t="s">
        <v>8746</v>
      </c>
      <c r="G513" s="1"/>
      <c r="H513" s="1"/>
      <c r="I513" s="1" t="s">
        <v>9256</v>
      </c>
      <c r="J513" s="1" t="s">
        <v>8748</v>
      </c>
      <c r="K513" s="1"/>
      <c r="L513" s="1"/>
      <c r="M513" s="1" t="s">
        <v>78</v>
      </c>
      <c r="N513" s="1" t="s">
        <v>186</v>
      </c>
      <c r="O513" s="1"/>
      <c r="P513" s="1"/>
      <c r="Q513" s="1"/>
      <c r="R513" s="1"/>
      <c r="S513" s="1"/>
      <c r="T513" s="1"/>
      <c r="U513" s="1"/>
      <c r="V513" s="1"/>
      <c r="W513" s="1" t="s">
        <v>8749</v>
      </c>
      <c r="X513" s="1" t="s">
        <v>6382</v>
      </c>
      <c r="Y513" s="1" t="s">
        <v>8750</v>
      </c>
      <c r="Z513" s="1" t="s">
        <v>8751</v>
      </c>
      <c r="AA513" s="1" t="s">
        <v>9257</v>
      </c>
      <c r="AB513" s="1"/>
      <c r="AC513" s="1"/>
      <c r="AD513" s="1"/>
      <c r="AE513" s="1"/>
      <c r="AF513" s="1"/>
      <c r="AG513" s="1" t="n">
        <v>0</v>
      </c>
      <c r="AH513" s="1" t="n">
        <v>0</v>
      </c>
      <c r="AI513" s="1" t="n">
        <v>0</v>
      </c>
      <c r="AJ513" s="1" t="n">
        <v>2</v>
      </c>
      <c r="AK513" s="1" t="n">
        <v>4</v>
      </c>
      <c r="AL513" s="1" t="s">
        <v>8753</v>
      </c>
      <c r="AM513" s="1" t="s">
        <v>8754</v>
      </c>
      <c r="AN513" s="1" t="s">
        <v>8755</v>
      </c>
      <c r="AO513" s="1" t="s">
        <v>8756</v>
      </c>
      <c r="AP513" s="1" t="s">
        <v>8757</v>
      </c>
      <c r="AQ513" s="1"/>
      <c r="AR513" s="1" t="s">
        <v>8758</v>
      </c>
      <c r="AS513" s="1" t="s">
        <v>8759</v>
      </c>
      <c r="AT513" s="1"/>
      <c r="AU513" s="1" t="n">
        <v>2022</v>
      </c>
      <c r="AV513" s="1" t="n">
        <v>18</v>
      </c>
      <c r="AW513" s="1" t="n">
        <v>2</v>
      </c>
      <c r="AX513" s="1"/>
      <c r="AY513" s="1"/>
      <c r="AZ513" s="1"/>
      <c r="BA513" s="1"/>
      <c r="BB513" s="1" t="n">
        <v>85</v>
      </c>
      <c r="BC513" s="1" t="n">
        <v>93</v>
      </c>
      <c r="BD513" s="1"/>
      <c r="BE513" s="1"/>
      <c r="BF513" s="1"/>
      <c r="BG513" s="1"/>
      <c r="BH513" s="1"/>
      <c r="BI513" s="1" t="n">
        <v>9</v>
      </c>
      <c r="BJ513" s="1" t="s">
        <v>2298</v>
      </c>
      <c r="BK513" s="1" t="s">
        <v>253</v>
      </c>
      <c r="BL513" s="1" t="s">
        <v>715</v>
      </c>
      <c r="BM513" s="1" t="s">
        <v>8760</v>
      </c>
      <c r="BN513" s="1"/>
      <c r="BO513" s="1"/>
      <c r="BP513" s="1"/>
      <c r="BQ513" s="1"/>
      <c r="BR513" s="1" t="s">
        <v>103</v>
      </c>
      <c r="BS513" s="1" t="s">
        <v>9258</v>
      </c>
      <c r="BT513" s="1" t="str">
        <f aca="false">HYPERLINK("https%3A%2F%2Fwww.webofscience.com%2Fwos%2Fwoscc%2Ffull-record%2FWOS:000764055500002","View Full Record in Web of Science")</f>
        <v>View Full Record in Web of Science</v>
      </c>
    </row>
    <row r="514" customFormat="false" ht="12.75" hidden="false" customHeight="false" outlineLevel="0" collapsed="false">
      <c r="A514" s="1" t="s">
        <v>181</v>
      </c>
      <c r="B514" s="1" t="s">
        <v>8745</v>
      </c>
      <c r="C514" s="1"/>
      <c r="D514" s="1"/>
      <c r="E514" s="1"/>
      <c r="F514" s="1" t="s">
        <v>8746</v>
      </c>
      <c r="G514" s="1"/>
      <c r="H514" s="1"/>
      <c r="I514" s="1" t="s">
        <v>9259</v>
      </c>
      <c r="J514" s="1" t="s">
        <v>8748</v>
      </c>
      <c r="K514" s="1"/>
      <c r="L514" s="1"/>
      <c r="M514" s="1" t="s">
        <v>78</v>
      </c>
      <c r="N514" s="1" t="s">
        <v>186</v>
      </c>
      <c r="O514" s="1"/>
      <c r="P514" s="1"/>
      <c r="Q514" s="1"/>
      <c r="R514" s="1"/>
      <c r="S514" s="1"/>
      <c r="T514" s="1"/>
      <c r="U514" s="1"/>
      <c r="V514" s="1"/>
      <c r="W514" s="1" t="s">
        <v>8749</v>
      </c>
      <c r="X514" s="1" t="s">
        <v>6382</v>
      </c>
      <c r="Y514" s="1" t="s">
        <v>8750</v>
      </c>
      <c r="Z514" s="1" t="s">
        <v>8751</v>
      </c>
      <c r="AA514" s="1" t="s">
        <v>8752</v>
      </c>
      <c r="AB514" s="1"/>
      <c r="AC514" s="1"/>
      <c r="AD514" s="1"/>
      <c r="AE514" s="1"/>
      <c r="AF514" s="1"/>
      <c r="AG514" s="1" t="n">
        <v>0</v>
      </c>
      <c r="AH514" s="1" t="n">
        <v>0</v>
      </c>
      <c r="AI514" s="1" t="n">
        <v>0</v>
      </c>
      <c r="AJ514" s="1" t="n">
        <v>1</v>
      </c>
      <c r="AK514" s="1" t="n">
        <v>2</v>
      </c>
      <c r="AL514" s="1" t="s">
        <v>8753</v>
      </c>
      <c r="AM514" s="1" t="s">
        <v>8754</v>
      </c>
      <c r="AN514" s="1" t="s">
        <v>8755</v>
      </c>
      <c r="AO514" s="1" t="s">
        <v>8756</v>
      </c>
      <c r="AP514" s="1" t="s">
        <v>8757</v>
      </c>
      <c r="AQ514" s="1"/>
      <c r="AR514" s="1" t="s">
        <v>8758</v>
      </c>
      <c r="AS514" s="1" t="s">
        <v>8759</v>
      </c>
      <c r="AT514" s="1"/>
      <c r="AU514" s="1" t="n">
        <v>2022</v>
      </c>
      <c r="AV514" s="1" t="n">
        <v>18</v>
      </c>
      <c r="AW514" s="1" t="n">
        <v>2</v>
      </c>
      <c r="AX514" s="1"/>
      <c r="AY514" s="1"/>
      <c r="AZ514" s="1"/>
      <c r="BA514" s="1"/>
      <c r="BB514" s="1" t="n">
        <v>134</v>
      </c>
      <c r="BC514" s="1" t="n">
        <v>140</v>
      </c>
      <c r="BD514" s="1"/>
      <c r="BE514" s="1"/>
      <c r="BF514" s="1"/>
      <c r="BG514" s="1"/>
      <c r="BH514" s="1"/>
      <c r="BI514" s="1" t="n">
        <v>7</v>
      </c>
      <c r="BJ514" s="1" t="s">
        <v>2298</v>
      </c>
      <c r="BK514" s="1" t="s">
        <v>253</v>
      </c>
      <c r="BL514" s="1" t="s">
        <v>715</v>
      </c>
      <c r="BM514" s="1" t="s">
        <v>8760</v>
      </c>
      <c r="BN514" s="1"/>
      <c r="BO514" s="1"/>
      <c r="BP514" s="1"/>
      <c r="BQ514" s="1"/>
      <c r="BR514" s="1" t="s">
        <v>103</v>
      </c>
      <c r="BS514" s="1" t="s">
        <v>9260</v>
      </c>
      <c r="BT514" s="1" t="str">
        <f aca="false">HYPERLINK("https%3A%2F%2Fwww.webofscience.com%2Fwos%2Fwoscc%2Ffull-record%2FWOS:000764055500005","View Full Record in Web of Science")</f>
        <v>View Full Record in Web of Science</v>
      </c>
    </row>
    <row r="515" customFormat="false" ht="12.75" hidden="false" customHeight="false" outlineLevel="0" collapsed="false">
      <c r="A515" s="1" t="s">
        <v>181</v>
      </c>
      <c r="B515" s="1" t="s">
        <v>9261</v>
      </c>
      <c r="C515" s="1"/>
      <c r="D515" s="1"/>
      <c r="E515" s="1"/>
      <c r="F515" s="1" t="s">
        <v>9262</v>
      </c>
      <c r="G515" s="1"/>
      <c r="H515" s="1"/>
      <c r="I515" s="1" t="s">
        <v>9263</v>
      </c>
      <c r="J515" s="1" t="s">
        <v>881</v>
      </c>
      <c r="K515" s="1"/>
      <c r="L515" s="1"/>
      <c r="M515" s="1" t="s">
        <v>78</v>
      </c>
      <c r="N515" s="1" t="s">
        <v>186</v>
      </c>
      <c r="O515" s="1"/>
      <c r="P515" s="1"/>
      <c r="Q515" s="1"/>
      <c r="R515" s="1"/>
      <c r="S515" s="1"/>
      <c r="T515" s="1" t="s">
        <v>9264</v>
      </c>
      <c r="U515" s="1" t="s">
        <v>9265</v>
      </c>
      <c r="V515" s="1" t="s">
        <v>9266</v>
      </c>
      <c r="W515" s="1" t="s">
        <v>9267</v>
      </c>
      <c r="X515" s="1" t="s">
        <v>5680</v>
      </c>
      <c r="Y515" s="1" t="s">
        <v>9268</v>
      </c>
      <c r="Z515" s="1" t="s">
        <v>9269</v>
      </c>
      <c r="AA515" s="1" t="s">
        <v>9270</v>
      </c>
      <c r="AB515" s="1"/>
      <c r="AC515" s="1" t="s">
        <v>9271</v>
      </c>
      <c r="AD515" s="1" t="s">
        <v>9271</v>
      </c>
      <c r="AE515" s="1" t="s">
        <v>9272</v>
      </c>
      <c r="AF515" s="1"/>
      <c r="AG515" s="1" t="n">
        <v>90</v>
      </c>
      <c r="AH515" s="1" t="n">
        <v>21</v>
      </c>
      <c r="AI515" s="1" t="n">
        <v>22</v>
      </c>
      <c r="AJ515" s="1" t="n">
        <v>1</v>
      </c>
      <c r="AK515" s="1" t="n">
        <v>23</v>
      </c>
      <c r="AL515" s="1" t="s">
        <v>893</v>
      </c>
      <c r="AM515" s="1" t="s">
        <v>894</v>
      </c>
      <c r="AN515" s="1" t="s">
        <v>895</v>
      </c>
      <c r="AO515" s="1" t="s">
        <v>896</v>
      </c>
      <c r="AP515" s="1"/>
      <c r="AQ515" s="1"/>
      <c r="AR515" s="1" t="s">
        <v>897</v>
      </c>
      <c r="AS515" s="1" t="s">
        <v>898</v>
      </c>
      <c r="AT515" s="1" t="s">
        <v>754</v>
      </c>
      <c r="AU515" s="1" t="n">
        <v>2020</v>
      </c>
      <c r="AV515" s="1" t="n">
        <v>29</v>
      </c>
      <c r="AW515" s="1"/>
      <c r="AX515" s="1" t="s">
        <v>899</v>
      </c>
      <c r="AY515" s="1"/>
      <c r="AZ515" s="1"/>
      <c r="BA515" s="1"/>
      <c r="BB515" s="1" t="n">
        <v>157</v>
      </c>
      <c r="BC515" s="1" t="n">
        <v>175</v>
      </c>
      <c r="BD515" s="1"/>
      <c r="BE515" s="1" t="s">
        <v>9273</v>
      </c>
      <c r="BF515" s="1" t="str">
        <f aca="false">HYPERLINK("http://dx.doi.org/10.1016/j.cirpj.2018.08.002","http://dx.doi.org/10.1016/j.cirpj.2018.08.002")</f>
        <v>http://dx.doi.org/10.1016/j.cirpj.2018.08.002</v>
      </c>
      <c r="BG515" s="1"/>
      <c r="BH515" s="1"/>
      <c r="BI515" s="1" t="n">
        <v>19</v>
      </c>
      <c r="BJ515" s="1" t="s">
        <v>639</v>
      </c>
      <c r="BK515" s="1" t="s">
        <v>398</v>
      </c>
      <c r="BL515" s="1" t="s">
        <v>640</v>
      </c>
      <c r="BM515" s="1" t="s">
        <v>901</v>
      </c>
      <c r="BN515" s="1"/>
      <c r="BO515" s="1" t="s">
        <v>179</v>
      </c>
      <c r="BP515" s="1"/>
      <c r="BQ515" s="1"/>
      <c r="BR515" s="1" t="s">
        <v>103</v>
      </c>
      <c r="BS515" s="1" t="s">
        <v>9274</v>
      </c>
      <c r="BT515" s="1" t="str">
        <f aca="false">HYPERLINK("https%3A%2F%2Fwww.webofscience.com%2Fwos%2Fwoscc%2Ffull-record%2FWOS:000541020600003","View Full Record in Web of Science")</f>
        <v>View Full Record in Web of Science</v>
      </c>
    </row>
    <row r="516" customFormat="false" ht="12.75" hidden="false" customHeight="false" outlineLevel="0" collapsed="false">
      <c r="A516" s="1" t="s">
        <v>181</v>
      </c>
      <c r="B516" s="1" t="s">
        <v>9275</v>
      </c>
      <c r="C516" s="1"/>
      <c r="D516" s="1"/>
      <c r="E516" s="1"/>
      <c r="F516" s="1" t="s">
        <v>9276</v>
      </c>
      <c r="G516" s="1"/>
      <c r="H516" s="1"/>
      <c r="I516" s="1" t="s">
        <v>9277</v>
      </c>
      <c r="J516" s="1" t="s">
        <v>8300</v>
      </c>
      <c r="K516" s="1"/>
      <c r="L516" s="1"/>
      <c r="M516" s="1" t="s">
        <v>78</v>
      </c>
      <c r="N516" s="1" t="s">
        <v>186</v>
      </c>
      <c r="O516" s="1"/>
      <c r="P516" s="1"/>
      <c r="Q516" s="1"/>
      <c r="R516" s="1"/>
      <c r="S516" s="1"/>
      <c r="T516" s="1"/>
      <c r="U516" s="1" t="s">
        <v>9278</v>
      </c>
      <c r="V516" s="1" t="s">
        <v>9279</v>
      </c>
      <c r="W516" s="1" t="s">
        <v>9280</v>
      </c>
      <c r="X516" s="1" t="s">
        <v>5847</v>
      </c>
      <c r="Y516" s="1" t="s">
        <v>9281</v>
      </c>
      <c r="Z516" s="1" t="s">
        <v>9282</v>
      </c>
      <c r="AA516" s="1" t="s">
        <v>9283</v>
      </c>
      <c r="AB516" s="1"/>
      <c r="AC516" s="1" t="s">
        <v>9284</v>
      </c>
      <c r="AD516" s="1" t="s">
        <v>9285</v>
      </c>
      <c r="AE516" s="1" t="s">
        <v>9286</v>
      </c>
      <c r="AF516" s="1"/>
      <c r="AG516" s="1" t="n">
        <v>66</v>
      </c>
      <c r="AH516" s="1" t="n">
        <v>0</v>
      </c>
      <c r="AI516" s="1" t="n">
        <v>0</v>
      </c>
      <c r="AJ516" s="1" t="n">
        <v>3</v>
      </c>
      <c r="AK516" s="1" t="n">
        <v>13</v>
      </c>
      <c r="AL516" s="1" t="s">
        <v>8308</v>
      </c>
      <c r="AM516" s="1" t="s">
        <v>8309</v>
      </c>
      <c r="AN516" s="1" t="s">
        <v>8310</v>
      </c>
      <c r="AO516" s="1" t="s">
        <v>8311</v>
      </c>
      <c r="AP516" s="1" t="s">
        <v>8312</v>
      </c>
      <c r="AQ516" s="1"/>
      <c r="AR516" s="1" t="s">
        <v>8313</v>
      </c>
      <c r="AS516" s="1" t="s">
        <v>8314</v>
      </c>
      <c r="AT516" s="1" t="s">
        <v>421</v>
      </c>
      <c r="AU516" s="1" t="n">
        <v>2024</v>
      </c>
      <c r="AV516" s="1" t="n">
        <v>235</v>
      </c>
      <c r="AW516" s="1" t="n">
        <v>4</v>
      </c>
      <c r="AX516" s="1"/>
      <c r="AY516" s="1"/>
      <c r="AZ516" s="1"/>
      <c r="BA516" s="1"/>
      <c r="BB516" s="1" t="n">
        <v>2455</v>
      </c>
      <c r="BC516" s="1" t="n">
        <v>2477</v>
      </c>
      <c r="BD516" s="1"/>
      <c r="BE516" s="1" t="s">
        <v>9287</v>
      </c>
      <c r="BF516" s="1" t="str">
        <f aca="false">HYPERLINK("http://dx.doi.org/10.1007/s00707-024-03851-z","http://dx.doi.org/10.1007/s00707-024-03851-z")</f>
        <v>http://dx.doi.org/10.1007/s00707-024-03851-z</v>
      </c>
      <c r="BG516" s="1"/>
      <c r="BH516" s="1" t="s">
        <v>3324</v>
      </c>
      <c r="BI516" s="1" t="n">
        <v>23</v>
      </c>
      <c r="BJ516" s="1" t="s">
        <v>8316</v>
      </c>
      <c r="BK516" s="1" t="s">
        <v>204</v>
      </c>
      <c r="BL516" s="1" t="s">
        <v>8316</v>
      </c>
      <c r="BM516" s="1" t="s">
        <v>9288</v>
      </c>
      <c r="BN516" s="1"/>
      <c r="BO516" s="1" t="s">
        <v>282</v>
      </c>
      <c r="BP516" s="1"/>
      <c r="BQ516" s="1"/>
      <c r="BR516" s="1" t="s">
        <v>103</v>
      </c>
      <c r="BS516" s="1" t="s">
        <v>9289</v>
      </c>
      <c r="BT516" s="1" t="str">
        <f aca="false">HYPERLINK("https%3A%2F%2Fwww.webofscience.com%2Fwos%2Fwoscc%2Ffull-record%2FWOS:001149549300001","View Full Record in Web of Science")</f>
        <v>View Full Record in Web of Science</v>
      </c>
    </row>
    <row r="517" customFormat="false" ht="12.75" hidden="false" customHeight="false" outlineLevel="0" collapsed="false">
      <c r="A517" s="1" t="s">
        <v>181</v>
      </c>
      <c r="B517" s="1" t="s">
        <v>9290</v>
      </c>
      <c r="C517" s="1"/>
      <c r="D517" s="1"/>
      <c r="E517" s="1"/>
      <c r="F517" s="1" t="s">
        <v>9291</v>
      </c>
      <c r="G517" s="1"/>
      <c r="H517" s="1"/>
      <c r="I517" s="1" t="s">
        <v>9292</v>
      </c>
      <c r="J517" s="1" t="s">
        <v>1104</v>
      </c>
      <c r="K517" s="1"/>
      <c r="L517" s="1"/>
      <c r="M517" s="1" t="s">
        <v>78</v>
      </c>
      <c r="N517" s="1" t="s">
        <v>186</v>
      </c>
      <c r="O517" s="1"/>
      <c r="P517" s="1"/>
      <c r="Q517" s="1"/>
      <c r="R517" s="1"/>
      <c r="S517" s="1"/>
      <c r="T517" s="1" t="s">
        <v>9293</v>
      </c>
      <c r="U517" s="1"/>
      <c r="V517" s="1" t="s">
        <v>9294</v>
      </c>
      <c r="W517" s="1" t="s">
        <v>9295</v>
      </c>
      <c r="X517" s="1" t="s">
        <v>9296</v>
      </c>
      <c r="Y517" s="1" t="s">
        <v>9297</v>
      </c>
      <c r="Z517" s="1" t="s">
        <v>9298</v>
      </c>
      <c r="AA517" s="1" t="s">
        <v>9299</v>
      </c>
      <c r="AB517" s="1" t="s">
        <v>9300</v>
      </c>
      <c r="AC517" s="1" t="s">
        <v>9301</v>
      </c>
      <c r="AD517" s="1" t="s">
        <v>9302</v>
      </c>
      <c r="AE517" s="1" t="s">
        <v>9303</v>
      </c>
      <c r="AF517" s="1"/>
      <c r="AG517" s="1" t="n">
        <v>41</v>
      </c>
      <c r="AH517" s="1" t="n">
        <v>3</v>
      </c>
      <c r="AI517" s="1" t="n">
        <v>3</v>
      </c>
      <c r="AJ517" s="1" t="n">
        <v>3</v>
      </c>
      <c r="AK517" s="1" t="n">
        <v>7</v>
      </c>
      <c r="AL517" s="1" t="s">
        <v>195</v>
      </c>
      <c r="AM517" s="1" t="s">
        <v>196</v>
      </c>
      <c r="AN517" s="1" t="s">
        <v>197</v>
      </c>
      <c r="AO517" s="1" t="s">
        <v>1114</v>
      </c>
      <c r="AP517" s="1"/>
      <c r="AQ517" s="1"/>
      <c r="AR517" s="1" t="s">
        <v>1104</v>
      </c>
      <c r="AS517" s="1" t="s">
        <v>1115</v>
      </c>
      <c r="AT517" s="1"/>
      <c r="AU517" s="1" t="n">
        <v>2023</v>
      </c>
      <c r="AV517" s="1" t="n">
        <v>11</v>
      </c>
      <c r="AW517" s="1"/>
      <c r="AX517" s="1"/>
      <c r="AY517" s="1"/>
      <c r="AZ517" s="1"/>
      <c r="BA517" s="1"/>
      <c r="BB517" s="1" t="n">
        <v>122205</v>
      </c>
      <c r="BC517" s="1" t="n">
        <v>122220</v>
      </c>
      <c r="BD517" s="1"/>
      <c r="BE517" s="1" t="s">
        <v>9304</v>
      </c>
      <c r="BF517" s="1" t="str">
        <f aca="false">HYPERLINK("http://dx.doi.org/10.1109/ACCESS.2023.3327440","http://dx.doi.org/10.1109/ACCESS.2023.3327440")</f>
        <v>http://dx.doi.org/10.1109/ACCESS.2023.3327440</v>
      </c>
      <c r="BG517" s="1"/>
      <c r="BH517" s="1"/>
      <c r="BI517" s="1" t="n">
        <v>16</v>
      </c>
      <c r="BJ517" s="1" t="s">
        <v>1117</v>
      </c>
      <c r="BK517" s="1" t="s">
        <v>204</v>
      </c>
      <c r="BL517" s="1" t="s">
        <v>1118</v>
      </c>
      <c r="BM517" s="1" t="s">
        <v>9305</v>
      </c>
      <c r="BN517" s="1"/>
      <c r="BO517" s="1" t="s">
        <v>1209</v>
      </c>
      <c r="BP517" s="1"/>
      <c r="BQ517" s="1"/>
      <c r="BR517" s="1" t="s">
        <v>103</v>
      </c>
      <c r="BS517" s="1" t="s">
        <v>9306</v>
      </c>
      <c r="BT517" s="1" t="str">
        <f aca="false">HYPERLINK("https%3A%2F%2Fwww.webofscience.com%2Fwos%2Fwoscc%2Ffull-record%2FWOS:001102082900001","View Full Record in Web of Science")</f>
        <v>View Full Record in Web of Science</v>
      </c>
    </row>
    <row r="518" customFormat="false" ht="12.75" hidden="false" customHeight="false" outlineLevel="0" collapsed="false">
      <c r="A518" s="1" t="s">
        <v>181</v>
      </c>
      <c r="B518" s="1" t="s">
        <v>9307</v>
      </c>
      <c r="C518" s="1"/>
      <c r="D518" s="1"/>
      <c r="E518" s="1"/>
      <c r="F518" s="1" t="s">
        <v>9308</v>
      </c>
      <c r="G518" s="1"/>
      <c r="H518" s="1"/>
      <c r="I518" s="1" t="s">
        <v>9309</v>
      </c>
      <c r="J518" s="1" t="s">
        <v>9310</v>
      </c>
      <c r="K518" s="1"/>
      <c r="L518" s="1"/>
      <c r="M518" s="1" t="s">
        <v>78</v>
      </c>
      <c r="N518" s="1" t="s">
        <v>186</v>
      </c>
      <c r="O518" s="1"/>
      <c r="P518" s="1"/>
      <c r="Q518" s="1"/>
      <c r="R518" s="1"/>
      <c r="S518" s="1"/>
      <c r="T518" s="1" t="s">
        <v>9311</v>
      </c>
      <c r="U518" s="1" t="s">
        <v>9312</v>
      </c>
      <c r="V518" s="1" t="s">
        <v>9313</v>
      </c>
      <c r="W518" s="1" t="s">
        <v>9314</v>
      </c>
      <c r="X518" s="1" t="s">
        <v>8325</v>
      </c>
      <c r="Y518" s="1" t="s">
        <v>9315</v>
      </c>
      <c r="Z518" s="1" t="s">
        <v>9316</v>
      </c>
      <c r="AA518" s="1" t="s">
        <v>9317</v>
      </c>
      <c r="AB518" s="1" t="s">
        <v>9318</v>
      </c>
      <c r="AC518" s="1"/>
      <c r="AD518" s="1"/>
      <c r="AE518" s="1"/>
      <c r="AF518" s="1"/>
      <c r="AG518" s="1" t="n">
        <v>34</v>
      </c>
      <c r="AH518" s="1" t="n">
        <v>12</v>
      </c>
      <c r="AI518" s="1" t="n">
        <v>12</v>
      </c>
      <c r="AJ518" s="1" t="n">
        <v>1</v>
      </c>
      <c r="AK518" s="1" t="n">
        <v>8</v>
      </c>
      <c r="AL518" s="1" t="s">
        <v>679</v>
      </c>
      <c r="AM518" s="1" t="s">
        <v>95</v>
      </c>
      <c r="AN518" s="1" t="s">
        <v>803</v>
      </c>
      <c r="AO518" s="1" t="s">
        <v>9319</v>
      </c>
      <c r="AP518" s="1" t="s">
        <v>9320</v>
      </c>
      <c r="AQ518" s="1"/>
      <c r="AR518" s="1" t="s">
        <v>9321</v>
      </c>
      <c r="AS518" s="1" t="s">
        <v>9322</v>
      </c>
      <c r="AT518" s="1" t="s">
        <v>754</v>
      </c>
      <c r="AU518" s="1" t="n">
        <v>2020</v>
      </c>
      <c r="AV518" s="1" t="n">
        <v>61</v>
      </c>
      <c r="AW518" s="1" t="n">
        <v>5</v>
      </c>
      <c r="AX518" s="1"/>
      <c r="AY518" s="1"/>
      <c r="AZ518" s="1"/>
      <c r="BA518" s="1"/>
      <c r="BB518" s="1" t="n">
        <v>2177</v>
      </c>
      <c r="BC518" s="1" t="n">
        <v>2192</v>
      </c>
      <c r="BD518" s="1"/>
      <c r="BE518" s="1" t="s">
        <v>9323</v>
      </c>
      <c r="BF518" s="1" t="str">
        <f aca="false">HYPERLINK("http://dx.doi.org/10.1007/s00158-019-02467-5","http://dx.doi.org/10.1007/s00158-019-02467-5")</f>
        <v>http://dx.doi.org/10.1007/s00158-019-02467-5</v>
      </c>
      <c r="BG518" s="1"/>
      <c r="BH518" s="1"/>
      <c r="BI518" s="1" t="n">
        <v>16</v>
      </c>
      <c r="BJ518" s="1" t="s">
        <v>9324</v>
      </c>
      <c r="BK518" s="1" t="s">
        <v>204</v>
      </c>
      <c r="BL518" s="1" t="s">
        <v>9325</v>
      </c>
      <c r="BM518" s="1" t="s">
        <v>9326</v>
      </c>
      <c r="BN518" s="1"/>
      <c r="BO518" s="1" t="s">
        <v>282</v>
      </c>
      <c r="BP518" s="1"/>
      <c r="BQ518" s="1"/>
      <c r="BR518" s="1" t="s">
        <v>103</v>
      </c>
      <c r="BS518" s="1" t="s">
        <v>9327</v>
      </c>
      <c r="BT518" s="1" t="str">
        <f aca="false">HYPERLINK("https%3A%2F%2Fwww.webofscience.com%2Fwos%2Fwoscc%2Ffull-record%2FWOS:000544391800023","View Full Record in Web of Science")</f>
        <v>View Full Record in Web of Science</v>
      </c>
    </row>
    <row r="519" customFormat="false" ht="12.75" hidden="false" customHeight="false" outlineLevel="0" collapsed="false">
      <c r="A519" s="1" t="s">
        <v>181</v>
      </c>
      <c r="B519" s="1" t="s">
        <v>9328</v>
      </c>
      <c r="C519" s="1"/>
      <c r="D519" s="1"/>
      <c r="E519" s="1"/>
      <c r="F519" s="1" t="s">
        <v>9329</v>
      </c>
      <c r="G519" s="1"/>
      <c r="H519" s="1"/>
      <c r="I519" s="1" t="s">
        <v>9330</v>
      </c>
      <c r="J519" s="1" t="s">
        <v>9331</v>
      </c>
      <c r="K519" s="1"/>
      <c r="L519" s="1"/>
      <c r="M519" s="1" t="s">
        <v>78</v>
      </c>
      <c r="N519" s="1" t="s">
        <v>9332</v>
      </c>
      <c r="O519" s="1"/>
      <c r="P519" s="1"/>
      <c r="Q519" s="1"/>
      <c r="R519" s="1"/>
      <c r="S519" s="1"/>
      <c r="T519" s="1" t="s">
        <v>9333</v>
      </c>
      <c r="U519" s="1" t="s">
        <v>9334</v>
      </c>
      <c r="V519" s="1" t="s">
        <v>9335</v>
      </c>
      <c r="W519" s="1" t="s">
        <v>9336</v>
      </c>
      <c r="X519" s="1" t="s">
        <v>6264</v>
      </c>
      <c r="Y519" s="1" t="s">
        <v>9337</v>
      </c>
      <c r="Z519" s="1" t="s">
        <v>8215</v>
      </c>
      <c r="AA519" s="1" t="s">
        <v>9338</v>
      </c>
      <c r="AB519" s="1" t="s">
        <v>7540</v>
      </c>
      <c r="AC519" s="1" t="s">
        <v>9339</v>
      </c>
      <c r="AD519" s="1" t="s">
        <v>9339</v>
      </c>
      <c r="AE519" s="1" t="s">
        <v>9340</v>
      </c>
      <c r="AF519" s="1"/>
      <c r="AG519" s="1" t="n">
        <v>110</v>
      </c>
      <c r="AH519" s="1" t="n">
        <v>0</v>
      </c>
      <c r="AI519" s="1" t="n">
        <v>0</v>
      </c>
      <c r="AJ519" s="1" t="n">
        <v>3</v>
      </c>
      <c r="AK519" s="1" t="n">
        <v>3</v>
      </c>
      <c r="AL519" s="1" t="s">
        <v>600</v>
      </c>
      <c r="AM519" s="1" t="s">
        <v>601</v>
      </c>
      <c r="AN519" s="1" t="s">
        <v>602</v>
      </c>
      <c r="AO519" s="1" t="s">
        <v>9341</v>
      </c>
      <c r="AP519" s="1" t="s">
        <v>9342</v>
      </c>
      <c r="AQ519" s="1"/>
      <c r="AR519" s="1" t="s">
        <v>9343</v>
      </c>
      <c r="AS519" s="1" t="s">
        <v>9344</v>
      </c>
      <c r="AT519" s="1" t="s">
        <v>9345</v>
      </c>
      <c r="AU519" s="1" t="n">
        <v>2024</v>
      </c>
      <c r="AV519" s="1"/>
      <c r="AW519" s="1"/>
      <c r="AX519" s="1"/>
      <c r="AY519" s="1"/>
      <c r="AZ519" s="1"/>
      <c r="BA519" s="1"/>
      <c r="BB519" s="1"/>
      <c r="BC519" s="1"/>
      <c r="BD519" s="1"/>
      <c r="BE519" s="1" t="s">
        <v>9346</v>
      </c>
      <c r="BF519" s="1" t="str">
        <f aca="false">HYPERLINK("http://dx.doi.org/10.1111/jsr.14436","http://dx.doi.org/10.1111/jsr.14436")</f>
        <v>http://dx.doi.org/10.1111/jsr.14436</v>
      </c>
      <c r="BG519" s="1"/>
      <c r="BH519" s="1" t="s">
        <v>9347</v>
      </c>
      <c r="BI519" s="1" t="n">
        <v>25</v>
      </c>
      <c r="BJ519" s="1" t="s">
        <v>9348</v>
      </c>
      <c r="BK519" s="1" t="s">
        <v>204</v>
      </c>
      <c r="BL519" s="1" t="s">
        <v>9349</v>
      </c>
      <c r="BM519" s="1" t="s">
        <v>9350</v>
      </c>
      <c r="BN519" s="1" t="n">
        <v>39654292</v>
      </c>
      <c r="BO519" s="1"/>
      <c r="BP519" s="1"/>
      <c r="BQ519" s="1"/>
      <c r="BR519" s="1" t="s">
        <v>103</v>
      </c>
      <c r="BS519" s="1" t="s">
        <v>9351</v>
      </c>
      <c r="BT519" s="1" t="str">
        <f aca="false">HYPERLINK("https%3A%2F%2Fwww.webofscience.com%2Fwos%2Fwoscc%2Ffull-record%2FWOS:001373689200001","View Full Record in Web of Science")</f>
        <v>View Full Record in Web of Science</v>
      </c>
    </row>
    <row r="520" customFormat="false" ht="12.75" hidden="false" customHeight="false" outlineLevel="0" collapsed="false">
      <c r="A520" s="1" t="s">
        <v>181</v>
      </c>
      <c r="B520" s="1" t="s">
        <v>9352</v>
      </c>
      <c r="C520" s="1"/>
      <c r="D520" s="1"/>
      <c r="E520" s="1"/>
      <c r="F520" s="1" t="s">
        <v>9353</v>
      </c>
      <c r="G520" s="1"/>
      <c r="H520" s="1"/>
      <c r="I520" s="1" t="s">
        <v>9354</v>
      </c>
      <c r="J520" s="1" t="s">
        <v>617</v>
      </c>
      <c r="K520" s="1"/>
      <c r="L520" s="1"/>
      <c r="M520" s="1" t="s">
        <v>78</v>
      </c>
      <c r="N520" s="1" t="s">
        <v>186</v>
      </c>
      <c r="O520" s="1"/>
      <c r="P520" s="1"/>
      <c r="Q520" s="1"/>
      <c r="R520" s="1"/>
      <c r="S520" s="1"/>
      <c r="T520" s="1" t="s">
        <v>9355</v>
      </c>
      <c r="U520" s="1" t="s">
        <v>9356</v>
      </c>
      <c r="V520" s="1" t="s">
        <v>9357</v>
      </c>
      <c r="W520" s="1" t="s">
        <v>9358</v>
      </c>
      <c r="X520" s="1" t="s">
        <v>6895</v>
      </c>
      <c r="Y520" s="1" t="s">
        <v>9359</v>
      </c>
      <c r="Z520" s="1" t="s">
        <v>9360</v>
      </c>
      <c r="AA520" s="1" t="s">
        <v>9361</v>
      </c>
      <c r="AB520" s="1" t="s">
        <v>9362</v>
      </c>
      <c r="AC520" s="1"/>
      <c r="AD520" s="1"/>
      <c r="AE520" s="1"/>
      <c r="AF520" s="1"/>
      <c r="AG520" s="1" t="n">
        <v>89</v>
      </c>
      <c r="AH520" s="1" t="n">
        <v>5</v>
      </c>
      <c r="AI520" s="1" t="n">
        <v>6</v>
      </c>
      <c r="AJ520" s="1" t="n">
        <v>0</v>
      </c>
      <c r="AK520" s="1" t="n">
        <v>10</v>
      </c>
      <c r="AL520" s="1" t="s">
        <v>630</v>
      </c>
      <c r="AM520" s="1" t="s">
        <v>631</v>
      </c>
      <c r="AN520" s="1" t="s">
        <v>632</v>
      </c>
      <c r="AO520" s="1" t="s">
        <v>633</v>
      </c>
      <c r="AP520" s="1"/>
      <c r="AQ520" s="1"/>
      <c r="AR520" s="1" t="s">
        <v>634</v>
      </c>
      <c r="AS520" s="1" t="s">
        <v>635</v>
      </c>
      <c r="AT520" s="1" t="s">
        <v>9363</v>
      </c>
      <c r="AU520" s="1" t="n">
        <v>2023</v>
      </c>
      <c r="AV520" s="1" t="n">
        <v>9</v>
      </c>
      <c r="AW520" s="1"/>
      <c r="AX520" s="1"/>
      <c r="AY520" s="1"/>
      <c r="AZ520" s="1"/>
      <c r="BA520" s="1"/>
      <c r="BB520" s="1"/>
      <c r="BC520" s="1"/>
      <c r="BD520" s="1" t="s">
        <v>9364</v>
      </c>
      <c r="BE520" s="1" t="s">
        <v>9365</v>
      </c>
      <c r="BF520" s="1" t="str">
        <f aca="false">HYPERLINK("http://dx.doi.org/10.1017/dsj.2023.22","http://dx.doi.org/10.1017/dsj.2023.22")</f>
        <v>http://dx.doi.org/10.1017/dsj.2023.22</v>
      </c>
      <c r="BG520" s="1"/>
      <c r="BH520" s="1"/>
      <c r="BI520" s="1" t="n">
        <v>29</v>
      </c>
      <c r="BJ520" s="1" t="s">
        <v>639</v>
      </c>
      <c r="BK520" s="1" t="s">
        <v>253</v>
      </c>
      <c r="BL520" s="1" t="s">
        <v>640</v>
      </c>
      <c r="BM520" s="1" t="s">
        <v>9366</v>
      </c>
      <c r="BN520" s="1"/>
      <c r="BO520" s="1" t="s">
        <v>401</v>
      </c>
      <c r="BP520" s="1"/>
      <c r="BQ520" s="1"/>
      <c r="BR520" s="1" t="s">
        <v>103</v>
      </c>
      <c r="BS520" s="1" t="s">
        <v>9367</v>
      </c>
      <c r="BT520" s="1" t="str">
        <f aca="false">HYPERLINK("https%3A%2F%2Fwww.webofscience.com%2Fwos%2Fwoscc%2Ffull-record%2FWOS:001041801300001","View Full Record in Web of Science")</f>
        <v>View Full Record in Web of Science</v>
      </c>
    </row>
    <row r="521" customFormat="false" ht="12.75" hidden="false" customHeight="false" outlineLevel="0" collapsed="false">
      <c r="A521" s="1" t="s">
        <v>181</v>
      </c>
      <c r="B521" s="1" t="s">
        <v>9368</v>
      </c>
      <c r="C521" s="1"/>
      <c r="D521" s="1"/>
      <c r="E521" s="1"/>
      <c r="F521" s="1" t="s">
        <v>9369</v>
      </c>
      <c r="G521" s="1"/>
      <c r="H521" s="1"/>
      <c r="I521" s="1" t="s">
        <v>9370</v>
      </c>
      <c r="J521" s="1" t="s">
        <v>5120</v>
      </c>
      <c r="K521" s="1"/>
      <c r="L521" s="1"/>
      <c r="M521" s="1" t="s">
        <v>78</v>
      </c>
      <c r="N521" s="1" t="s">
        <v>186</v>
      </c>
      <c r="O521" s="1"/>
      <c r="P521" s="1"/>
      <c r="Q521" s="1"/>
      <c r="R521" s="1"/>
      <c r="S521" s="1"/>
      <c r="T521" s="1" t="s">
        <v>9371</v>
      </c>
      <c r="U521" s="1" t="s">
        <v>9372</v>
      </c>
      <c r="V521" s="1" t="s">
        <v>9373</v>
      </c>
      <c r="W521" s="1" t="s">
        <v>9374</v>
      </c>
      <c r="X521" s="1" t="s">
        <v>8525</v>
      </c>
      <c r="Y521" s="1" t="s">
        <v>9375</v>
      </c>
      <c r="Z521" s="1" t="s">
        <v>9376</v>
      </c>
      <c r="AA521" s="1" t="s">
        <v>5189</v>
      </c>
      <c r="AB521" s="1"/>
      <c r="AC521" s="1"/>
      <c r="AD521" s="1"/>
      <c r="AE521" s="1"/>
      <c r="AF521" s="1"/>
      <c r="AG521" s="1" t="n">
        <v>18</v>
      </c>
      <c r="AH521" s="1" t="n">
        <v>0</v>
      </c>
      <c r="AI521" s="1" t="n">
        <v>0</v>
      </c>
      <c r="AJ521" s="1" t="n">
        <v>0</v>
      </c>
      <c r="AK521" s="1" t="n">
        <v>4</v>
      </c>
      <c r="AL521" s="1" t="s">
        <v>5127</v>
      </c>
      <c r="AM521" s="1" t="s">
        <v>5128</v>
      </c>
      <c r="AN521" s="1" t="s">
        <v>5129</v>
      </c>
      <c r="AO521" s="1" t="s">
        <v>5130</v>
      </c>
      <c r="AP521" s="1" t="s">
        <v>5131</v>
      </c>
      <c r="AQ521" s="1"/>
      <c r="AR521" s="1" t="s">
        <v>5132</v>
      </c>
      <c r="AS521" s="1" t="s">
        <v>5133</v>
      </c>
      <c r="AT521" s="1"/>
      <c r="AU521" s="1" t="n">
        <v>2023</v>
      </c>
      <c r="AV521" s="1" t="n">
        <v>172</v>
      </c>
      <c r="AW521" s="1" t="n">
        <v>2</v>
      </c>
      <c r="AX521" s="1"/>
      <c r="AY521" s="1"/>
      <c r="AZ521" s="1"/>
      <c r="BA521" s="1"/>
      <c r="BB521" s="1" t="n">
        <v>217</v>
      </c>
      <c r="BC521" s="1" t="n">
        <v>229</v>
      </c>
      <c r="BD521" s="1"/>
      <c r="BE521" s="1" t="s">
        <v>9377</v>
      </c>
      <c r="BF521" s="1" t="str">
        <f aca="false">HYPERLINK("http://dx.doi.org/10.4064/cm8941-11-2022","http://dx.doi.org/10.4064/cm8941-11-2022")</f>
        <v>http://dx.doi.org/10.4064/cm8941-11-2022</v>
      </c>
      <c r="BG521" s="1"/>
      <c r="BH521" s="1" t="s">
        <v>3946</v>
      </c>
      <c r="BI521" s="1" t="n">
        <v>13</v>
      </c>
      <c r="BJ521" s="1" t="s">
        <v>280</v>
      </c>
      <c r="BK521" s="1" t="s">
        <v>204</v>
      </c>
      <c r="BL521" s="1" t="s">
        <v>280</v>
      </c>
      <c r="BM521" s="1" t="s">
        <v>9378</v>
      </c>
      <c r="BN521" s="1"/>
      <c r="BO521" s="1" t="s">
        <v>227</v>
      </c>
      <c r="BP521" s="1"/>
      <c r="BQ521" s="1"/>
      <c r="BR521" s="1" t="s">
        <v>103</v>
      </c>
      <c r="BS521" s="1" t="s">
        <v>9379</v>
      </c>
      <c r="BT521" s="1" t="str">
        <f aca="false">HYPERLINK("https%3A%2F%2Fwww.webofscience.com%2Fwos%2Fwoscc%2Ffull-record%2FWOS:000917921400001","View Full Record in Web of Science")</f>
        <v>View Full Record in Web of Science</v>
      </c>
    </row>
    <row r="522" customFormat="false" ht="12.75" hidden="false" customHeight="false" outlineLevel="0" collapsed="false">
      <c r="A522" s="1" t="s">
        <v>181</v>
      </c>
      <c r="B522" s="1" t="s">
        <v>4393</v>
      </c>
      <c r="C522" s="1"/>
      <c r="D522" s="1"/>
      <c r="E522" s="1"/>
      <c r="F522" s="1" t="s">
        <v>4394</v>
      </c>
      <c r="G522" s="1"/>
      <c r="H522" s="1"/>
      <c r="I522" s="1" t="s">
        <v>9380</v>
      </c>
      <c r="J522" s="1" t="s">
        <v>9381</v>
      </c>
      <c r="K522" s="1"/>
      <c r="L522" s="1"/>
      <c r="M522" s="1" t="s">
        <v>78</v>
      </c>
      <c r="N522" s="1" t="s">
        <v>186</v>
      </c>
      <c r="O522" s="1"/>
      <c r="P522" s="1"/>
      <c r="Q522" s="1"/>
      <c r="R522" s="1"/>
      <c r="S522" s="1"/>
      <c r="T522" s="1" t="s">
        <v>9382</v>
      </c>
      <c r="U522" s="1" t="s">
        <v>9383</v>
      </c>
      <c r="V522" s="1" t="s">
        <v>9384</v>
      </c>
      <c r="W522" s="1" t="s">
        <v>8524</v>
      </c>
      <c r="X522" s="1" t="s">
        <v>8525</v>
      </c>
      <c r="Y522" s="1" t="s">
        <v>2451</v>
      </c>
      <c r="Z522" s="1" t="s">
        <v>4400</v>
      </c>
      <c r="AA522" s="1"/>
      <c r="AB522" s="1" t="s">
        <v>9385</v>
      </c>
      <c r="AC522" s="1"/>
      <c r="AD522" s="1"/>
      <c r="AE522" s="1"/>
      <c r="AF522" s="1"/>
      <c r="AG522" s="1" t="n">
        <v>21</v>
      </c>
      <c r="AH522" s="1" t="n">
        <v>0</v>
      </c>
      <c r="AI522" s="1" t="n">
        <v>0</v>
      </c>
      <c r="AJ522" s="1" t="n">
        <v>0</v>
      </c>
      <c r="AK522" s="1" t="n">
        <v>5</v>
      </c>
      <c r="AL522" s="1" t="s">
        <v>630</v>
      </c>
      <c r="AM522" s="1" t="s">
        <v>631</v>
      </c>
      <c r="AN522" s="1" t="s">
        <v>632</v>
      </c>
      <c r="AO522" s="1" t="s">
        <v>9386</v>
      </c>
      <c r="AP522" s="1" t="s">
        <v>9387</v>
      </c>
      <c r="AQ522" s="1"/>
      <c r="AR522" s="1" t="s">
        <v>9388</v>
      </c>
      <c r="AS522" s="1" t="s">
        <v>9389</v>
      </c>
      <c r="AT522" s="1" t="s">
        <v>372</v>
      </c>
      <c r="AU522" s="1" t="n">
        <v>2023</v>
      </c>
      <c r="AV522" s="1" t="n">
        <v>108</v>
      </c>
      <c r="AW522" s="1" t="n">
        <v>3</v>
      </c>
      <c r="AX522" s="1"/>
      <c r="AY522" s="1"/>
      <c r="AZ522" s="1"/>
      <c r="BA522" s="1"/>
      <c r="BB522" s="1" t="n">
        <v>428</v>
      </c>
      <c r="BC522" s="1" t="n">
        <v>437</v>
      </c>
      <c r="BD522" s="1" t="s">
        <v>9390</v>
      </c>
      <c r="BE522" s="1" t="s">
        <v>9391</v>
      </c>
      <c r="BF522" s="1" t="str">
        <f aca="false">HYPERLINK("http://dx.doi.org/10.1017/S0004972723000114","http://dx.doi.org/10.1017/S0004972723000114")</f>
        <v>http://dx.doi.org/10.1017/S0004972723000114</v>
      </c>
      <c r="BG522" s="1"/>
      <c r="BH522" s="1" t="s">
        <v>4380</v>
      </c>
      <c r="BI522" s="1" t="n">
        <v>10</v>
      </c>
      <c r="BJ522" s="1" t="s">
        <v>280</v>
      </c>
      <c r="BK522" s="1" t="s">
        <v>204</v>
      </c>
      <c r="BL522" s="1" t="s">
        <v>280</v>
      </c>
      <c r="BM522" s="1" t="s">
        <v>9392</v>
      </c>
      <c r="BN522" s="1"/>
      <c r="BO522" s="1" t="s">
        <v>3326</v>
      </c>
      <c r="BP522" s="1"/>
      <c r="BQ522" s="1"/>
      <c r="BR522" s="1" t="s">
        <v>103</v>
      </c>
      <c r="BS522" s="1" t="s">
        <v>9393</v>
      </c>
      <c r="BT522" s="1" t="str">
        <f aca="false">HYPERLINK("https%3A%2F%2Fwww.webofscience.com%2Fwos%2Fwoscc%2Ffull-record%2FWOS:000943276000001","View Full Record in Web of Science")</f>
        <v>View Full Record in Web of Science</v>
      </c>
    </row>
    <row r="523" customFormat="false" ht="12.75" hidden="false" customHeight="false" outlineLevel="0" collapsed="false">
      <c r="A523" s="1" t="s">
        <v>72</v>
      </c>
      <c r="B523" s="1" t="s">
        <v>9394</v>
      </c>
      <c r="C523" s="1"/>
      <c r="D523" s="1"/>
      <c r="E523" s="1" t="s">
        <v>106</v>
      </c>
      <c r="F523" s="1" t="s">
        <v>9395</v>
      </c>
      <c r="G523" s="1"/>
      <c r="H523" s="1"/>
      <c r="I523" s="1" t="s">
        <v>9396</v>
      </c>
      <c r="J523" s="1" t="s">
        <v>9397</v>
      </c>
      <c r="K523" s="1"/>
      <c r="L523" s="1"/>
      <c r="M523" s="1" t="s">
        <v>78</v>
      </c>
      <c r="N523" s="1" t="s">
        <v>79</v>
      </c>
      <c r="O523" s="1" t="s">
        <v>9398</v>
      </c>
      <c r="P523" s="1" t="s">
        <v>9399</v>
      </c>
      <c r="Q523" s="1" t="s">
        <v>9400</v>
      </c>
      <c r="R523" s="1" t="s">
        <v>9401</v>
      </c>
      <c r="S523" s="1" t="s">
        <v>9402</v>
      </c>
      <c r="T523" s="1" t="s">
        <v>9403</v>
      </c>
      <c r="U523" s="1" t="s">
        <v>1153</v>
      </c>
      <c r="V523" s="1" t="s">
        <v>9404</v>
      </c>
      <c r="W523" s="1" t="s">
        <v>9405</v>
      </c>
      <c r="X523" s="1" t="s">
        <v>5576</v>
      </c>
      <c r="Y523" s="1" t="s">
        <v>1156</v>
      </c>
      <c r="Z523" s="1" t="s">
        <v>9406</v>
      </c>
      <c r="AA523" s="1" t="s">
        <v>9407</v>
      </c>
      <c r="AB523" s="1"/>
      <c r="AC523" s="1" t="s">
        <v>9408</v>
      </c>
      <c r="AD523" s="1" t="s">
        <v>9408</v>
      </c>
      <c r="AE523" s="1" t="s">
        <v>9409</v>
      </c>
      <c r="AF523" s="1"/>
      <c r="AG523" s="1" t="n">
        <v>8</v>
      </c>
      <c r="AH523" s="1" t="n">
        <v>2</v>
      </c>
      <c r="AI523" s="1" t="n">
        <v>2</v>
      </c>
      <c r="AJ523" s="1" t="n">
        <v>0</v>
      </c>
      <c r="AK523" s="1" t="n">
        <v>4</v>
      </c>
      <c r="AL523" s="1" t="s">
        <v>106</v>
      </c>
      <c r="AM523" s="1" t="s">
        <v>95</v>
      </c>
      <c r="AN523" s="1" t="s">
        <v>122</v>
      </c>
      <c r="AO523" s="1"/>
      <c r="AP523" s="1"/>
      <c r="AQ523" s="1" t="s">
        <v>9410</v>
      </c>
      <c r="AR523" s="1"/>
      <c r="AS523" s="1"/>
      <c r="AT523" s="1"/>
      <c r="AU523" s="1" t="n">
        <v>2021</v>
      </c>
      <c r="AV523" s="1"/>
      <c r="AW523" s="1"/>
      <c r="AX523" s="1"/>
      <c r="AY523" s="1"/>
      <c r="AZ523" s="1"/>
      <c r="BA523" s="1"/>
      <c r="BB523" s="1"/>
      <c r="BC523" s="1"/>
      <c r="BD523" s="1"/>
      <c r="BE523" s="1" t="s">
        <v>9411</v>
      </c>
      <c r="BF523" s="1" t="str">
        <f aca="false">HYPERLINK("http://dx.doi.org/10.1109/SweDS53855.2021.9637719","http://dx.doi.org/10.1109/SweDS53855.2021.9637719")</f>
        <v>http://dx.doi.org/10.1109/SweDS53855.2021.9637719</v>
      </c>
      <c r="BG523" s="1"/>
      <c r="BH523" s="1"/>
      <c r="BI523" s="1" t="n">
        <v>6</v>
      </c>
      <c r="BJ523" s="1" t="s">
        <v>1529</v>
      </c>
      <c r="BK523" s="1" t="s">
        <v>100</v>
      </c>
      <c r="BL523" s="1" t="s">
        <v>101</v>
      </c>
      <c r="BM523" s="1" t="s">
        <v>9412</v>
      </c>
      <c r="BN523" s="1"/>
      <c r="BO523" s="1" t="s">
        <v>179</v>
      </c>
      <c r="BP523" s="1"/>
      <c r="BQ523" s="1"/>
      <c r="BR523" s="1" t="s">
        <v>103</v>
      </c>
      <c r="BS523" s="1" t="s">
        <v>9413</v>
      </c>
      <c r="BT523" s="1" t="str">
        <f aca="false">HYPERLINK("https%3A%2F%2Fwww.webofscience.com%2Fwos%2Fwoscc%2Ffull-record%2FWOS:000833296400002","View Full Record in Web of Science")</f>
        <v>View Full Record in Web of Science</v>
      </c>
    </row>
    <row r="524" customFormat="false" ht="12.75" hidden="false" customHeight="false" outlineLevel="0" collapsed="false">
      <c r="A524" s="1" t="s">
        <v>181</v>
      </c>
      <c r="B524" s="1" t="s">
        <v>9414</v>
      </c>
      <c r="C524" s="1"/>
      <c r="D524" s="1"/>
      <c r="E524" s="1"/>
      <c r="F524" s="1" t="s">
        <v>9415</v>
      </c>
      <c r="G524" s="1"/>
      <c r="H524" s="1"/>
      <c r="I524" s="1" t="s">
        <v>9416</v>
      </c>
      <c r="J524" s="1" t="s">
        <v>4578</v>
      </c>
      <c r="K524" s="1"/>
      <c r="L524" s="1"/>
      <c r="M524" s="1" t="s">
        <v>78</v>
      </c>
      <c r="N524" s="1" t="s">
        <v>618</v>
      </c>
      <c r="O524" s="1"/>
      <c r="P524" s="1"/>
      <c r="Q524" s="1"/>
      <c r="R524" s="1"/>
      <c r="S524" s="1"/>
      <c r="T524" s="1" t="s">
        <v>9417</v>
      </c>
      <c r="U524" s="1" t="s">
        <v>9418</v>
      </c>
      <c r="V524" s="1" t="s">
        <v>9419</v>
      </c>
      <c r="W524" s="1" t="s">
        <v>9420</v>
      </c>
      <c r="X524" s="1" t="s">
        <v>9421</v>
      </c>
      <c r="Y524" s="1" t="s">
        <v>9422</v>
      </c>
      <c r="Z524" s="1" t="s">
        <v>5849</v>
      </c>
      <c r="AA524" s="1" t="s">
        <v>9423</v>
      </c>
      <c r="AB524" s="1" t="s">
        <v>9424</v>
      </c>
      <c r="AC524" s="1" t="s">
        <v>9425</v>
      </c>
      <c r="AD524" s="1" t="s">
        <v>9426</v>
      </c>
      <c r="AE524" s="1" t="s">
        <v>9427</v>
      </c>
      <c r="AF524" s="1"/>
      <c r="AG524" s="1" t="n">
        <v>67</v>
      </c>
      <c r="AH524" s="1" t="n">
        <v>7</v>
      </c>
      <c r="AI524" s="1" t="n">
        <v>8</v>
      </c>
      <c r="AJ524" s="1" t="n">
        <v>1</v>
      </c>
      <c r="AK524" s="1" t="n">
        <v>14</v>
      </c>
      <c r="AL524" s="1" t="s">
        <v>846</v>
      </c>
      <c r="AM524" s="1" t="s">
        <v>847</v>
      </c>
      <c r="AN524" s="1" t="s">
        <v>4588</v>
      </c>
      <c r="AO524" s="1" t="s">
        <v>4589</v>
      </c>
      <c r="AP524" s="1"/>
      <c r="AQ524" s="1"/>
      <c r="AR524" s="1" t="s">
        <v>4590</v>
      </c>
      <c r="AS524" s="1" t="s">
        <v>4591</v>
      </c>
      <c r="AT524" s="1" t="s">
        <v>9428</v>
      </c>
      <c r="AU524" s="1" t="n">
        <v>2020</v>
      </c>
      <c r="AV524" s="1" t="n">
        <v>8</v>
      </c>
      <c r="AW524" s="1" t="n">
        <v>7</v>
      </c>
      <c r="AX524" s="1"/>
      <c r="AY524" s="1"/>
      <c r="AZ524" s="1"/>
      <c r="BA524" s="1"/>
      <c r="BB524" s="1"/>
      <c r="BC524" s="1"/>
      <c r="BD524" s="1" t="s">
        <v>9429</v>
      </c>
      <c r="BE524" s="1" t="s">
        <v>9430</v>
      </c>
      <c r="BF524" s="1" t="str">
        <f aca="false">HYPERLINK("http://dx.doi.org/10.2196/14315","http://dx.doi.org/10.2196/14315")</f>
        <v>http://dx.doi.org/10.2196/14315</v>
      </c>
      <c r="BG524" s="1"/>
      <c r="BH524" s="1"/>
      <c r="BI524" s="1" t="n">
        <v>12</v>
      </c>
      <c r="BJ524" s="1" t="s">
        <v>854</v>
      </c>
      <c r="BK524" s="1" t="s">
        <v>398</v>
      </c>
      <c r="BL524" s="1" t="s">
        <v>854</v>
      </c>
      <c r="BM524" s="1" t="s">
        <v>9431</v>
      </c>
      <c r="BN524" s="1" t="n">
        <v>32706686</v>
      </c>
      <c r="BO524" s="1" t="s">
        <v>9432</v>
      </c>
      <c r="BP524" s="1"/>
      <c r="BQ524" s="1"/>
      <c r="BR524" s="1" t="s">
        <v>103</v>
      </c>
      <c r="BS524" s="1" t="s">
        <v>9433</v>
      </c>
      <c r="BT524" s="1" t="str">
        <f aca="false">HYPERLINK("https%3A%2F%2Fwww.webofscience.com%2Fwos%2Fwoscc%2Ffull-record%2FWOS:000555905400001","View Full Record in Web of Science")</f>
        <v>View Full Record in Web of Science</v>
      </c>
    </row>
    <row r="525" customFormat="false" ht="12.75" hidden="false" customHeight="false" outlineLevel="0" collapsed="false">
      <c r="A525" s="1" t="s">
        <v>181</v>
      </c>
      <c r="B525" s="1" t="s">
        <v>9434</v>
      </c>
      <c r="C525" s="1"/>
      <c r="D525" s="1"/>
      <c r="E525" s="1"/>
      <c r="F525" s="1" t="s">
        <v>9435</v>
      </c>
      <c r="G525" s="1"/>
      <c r="H525" s="1"/>
      <c r="I525" s="1" t="s">
        <v>9436</v>
      </c>
      <c r="J525" s="1" t="s">
        <v>4875</v>
      </c>
      <c r="K525" s="1"/>
      <c r="L525" s="1"/>
      <c r="M525" s="1" t="s">
        <v>78</v>
      </c>
      <c r="N525" s="1" t="s">
        <v>186</v>
      </c>
      <c r="O525" s="1"/>
      <c r="P525" s="1"/>
      <c r="Q525" s="1"/>
      <c r="R525" s="1"/>
      <c r="S525" s="1"/>
      <c r="T525" s="1" t="s">
        <v>9437</v>
      </c>
      <c r="U525" s="1" t="s">
        <v>9438</v>
      </c>
      <c r="V525" s="1" t="s">
        <v>9439</v>
      </c>
      <c r="W525" s="1" t="s">
        <v>9440</v>
      </c>
      <c r="X525" s="1" t="s">
        <v>9441</v>
      </c>
      <c r="Y525" s="1" t="s">
        <v>9442</v>
      </c>
      <c r="Z525" s="1" t="s">
        <v>9443</v>
      </c>
      <c r="AA525" s="1" t="s">
        <v>9444</v>
      </c>
      <c r="AB525" s="1" t="s">
        <v>9445</v>
      </c>
      <c r="AC525" s="1" t="s">
        <v>9446</v>
      </c>
      <c r="AD525" s="1" t="s">
        <v>9447</v>
      </c>
      <c r="AE525" s="1" t="s">
        <v>9448</v>
      </c>
      <c r="AF525" s="1"/>
      <c r="AG525" s="1" t="n">
        <v>14</v>
      </c>
      <c r="AH525" s="1" t="n">
        <v>8</v>
      </c>
      <c r="AI525" s="1" t="n">
        <v>9</v>
      </c>
      <c r="AJ525" s="1" t="n">
        <v>4</v>
      </c>
      <c r="AK525" s="1" t="n">
        <v>15</v>
      </c>
      <c r="AL525" s="1" t="s">
        <v>172</v>
      </c>
      <c r="AM525" s="1" t="s">
        <v>173</v>
      </c>
      <c r="AN525" s="1" t="s">
        <v>4882</v>
      </c>
      <c r="AO525" s="1" t="s">
        <v>4883</v>
      </c>
      <c r="AP525" s="1" t="s">
        <v>4884</v>
      </c>
      <c r="AQ525" s="1"/>
      <c r="AR525" s="1" t="s">
        <v>4875</v>
      </c>
      <c r="AS525" s="1" t="s">
        <v>4885</v>
      </c>
      <c r="AT525" s="1" t="s">
        <v>1453</v>
      </c>
      <c r="AU525" s="1" t="n">
        <v>2024</v>
      </c>
      <c r="AV525" s="1" t="n">
        <v>41</v>
      </c>
      <c r="AW525" s="1" t="n">
        <v>1</v>
      </c>
      <c r="AX525" s="1"/>
      <c r="AY525" s="1"/>
      <c r="AZ525" s="1"/>
      <c r="BA525" s="1"/>
      <c r="BB525" s="1" t="n">
        <v>113</v>
      </c>
      <c r="BC525" s="1" t="n">
        <v>122</v>
      </c>
      <c r="BD525" s="1"/>
      <c r="BE525" s="1" t="s">
        <v>9449</v>
      </c>
      <c r="BF525" s="1" t="str">
        <f aca="false">HYPERLINK("http://dx.doi.org/10.1109/MS.2022.3225579","http://dx.doi.org/10.1109/MS.2022.3225579")</f>
        <v>http://dx.doi.org/10.1109/MS.2022.3225579</v>
      </c>
      <c r="BG525" s="1"/>
      <c r="BH525" s="1"/>
      <c r="BI525" s="1" t="n">
        <v>10</v>
      </c>
      <c r="BJ525" s="1" t="s">
        <v>252</v>
      </c>
      <c r="BK525" s="1" t="s">
        <v>204</v>
      </c>
      <c r="BL525" s="1" t="s">
        <v>101</v>
      </c>
      <c r="BM525" s="1" t="s">
        <v>9450</v>
      </c>
      <c r="BN525" s="1"/>
      <c r="BO525" s="1" t="s">
        <v>2335</v>
      </c>
      <c r="BP525" s="1"/>
      <c r="BQ525" s="1"/>
      <c r="BR525" s="1" t="s">
        <v>103</v>
      </c>
      <c r="BS525" s="1" t="s">
        <v>9451</v>
      </c>
      <c r="BT525" s="1" t="str">
        <f aca="false">HYPERLINK("https%3A%2F%2Fwww.webofscience.com%2Fwos%2Fwoscc%2Ffull-record%2FWOS:001132030400014","View Full Record in Web of Science")</f>
        <v>View Full Record in Web of Science</v>
      </c>
    </row>
    <row r="526" customFormat="false" ht="12.75" hidden="false" customHeight="false" outlineLevel="0" collapsed="false">
      <c r="A526" s="1" t="s">
        <v>181</v>
      </c>
      <c r="B526" s="1" t="s">
        <v>4050</v>
      </c>
      <c r="C526" s="1"/>
      <c r="D526" s="1"/>
      <c r="E526" s="1"/>
      <c r="F526" s="1" t="s">
        <v>4051</v>
      </c>
      <c r="G526" s="1"/>
      <c r="H526" s="1"/>
      <c r="I526" s="1" t="s">
        <v>9452</v>
      </c>
      <c r="J526" s="1" t="s">
        <v>3481</v>
      </c>
      <c r="K526" s="1"/>
      <c r="L526" s="1"/>
      <c r="M526" s="1" t="s">
        <v>78</v>
      </c>
      <c r="N526" s="1" t="s">
        <v>186</v>
      </c>
      <c r="O526" s="1"/>
      <c r="P526" s="1"/>
      <c r="Q526" s="1"/>
      <c r="R526" s="1"/>
      <c r="S526" s="1"/>
      <c r="T526" s="1" t="s">
        <v>9453</v>
      </c>
      <c r="U526" s="1" t="s">
        <v>9454</v>
      </c>
      <c r="V526" s="1" t="s">
        <v>9455</v>
      </c>
      <c r="W526" s="1" t="s">
        <v>9456</v>
      </c>
      <c r="X526" s="1" t="s">
        <v>8450</v>
      </c>
      <c r="Y526" s="1" t="s">
        <v>9457</v>
      </c>
      <c r="Z526" s="1" t="s">
        <v>8452</v>
      </c>
      <c r="AA526" s="1" t="s">
        <v>8909</v>
      </c>
      <c r="AB526" s="1" t="s">
        <v>9458</v>
      </c>
      <c r="AC526" s="1" t="s">
        <v>9459</v>
      </c>
      <c r="AD526" s="1" t="s">
        <v>9460</v>
      </c>
      <c r="AE526" s="1" t="s">
        <v>9461</v>
      </c>
      <c r="AF526" s="1"/>
      <c r="AG526" s="1" t="n">
        <v>57</v>
      </c>
      <c r="AH526" s="1" t="n">
        <v>7</v>
      </c>
      <c r="AI526" s="1" t="n">
        <v>7</v>
      </c>
      <c r="AJ526" s="1" t="n">
        <v>1</v>
      </c>
      <c r="AK526" s="1" t="n">
        <v>13</v>
      </c>
      <c r="AL526" s="1" t="s">
        <v>367</v>
      </c>
      <c r="AM526" s="1" t="s">
        <v>368</v>
      </c>
      <c r="AN526" s="1" t="s">
        <v>369</v>
      </c>
      <c r="AO526" s="1"/>
      <c r="AP526" s="1" t="s">
        <v>3492</v>
      </c>
      <c r="AQ526" s="1"/>
      <c r="AR526" s="1" t="s">
        <v>3493</v>
      </c>
      <c r="AS526" s="1" t="s">
        <v>3494</v>
      </c>
      <c r="AT526" s="1" t="s">
        <v>537</v>
      </c>
      <c r="AU526" s="1" t="n">
        <v>2022</v>
      </c>
      <c r="AV526" s="1" t="n">
        <v>22</v>
      </c>
      <c r="AW526" s="1" t="n">
        <v>3</v>
      </c>
      <c r="AX526" s="1"/>
      <c r="AY526" s="1"/>
      <c r="AZ526" s="1"/>
      <c r="BA526" s="1"/>
      <c r="BB526" s="1"/>
      <c r="BC526" s="1"/>
      <c r="BD526" s="1" t="n">
        <v>1293</v>
      </c>
      <c r="BE526" s="1" t="s">
        <v>9462</v>
      </c>
      <c r="BF526" s="1" t="str">
        <f aca="false">HYPERLINK("http://dx.doi.org/10.3390/s22031293","http://dx.doi.org/10.3390/s22031293")</f>
        <v>http://dx.doi.org/10.3390/s22031293</v>
      </c>
      <c r="BG526" s="1"/>
      <c r="BH526" s="1"/>
      <c r="BI526" s="1" t="n">
        <v>28</v>
      </c>
      <c r="BJ526" s="1" t="s">
        <v>3496</v>
      </c>
      <c r="BK526" s="1" t="s">
        <v>204</v>
      </c>
      <c r="BL526" s="1" t="s">
        <v>3497</v>
      </c>
      <c r="BM526" s="1" t="s">
        <v>9463</v>
      </c>
      <c r="BN526" s="1" t="n">
        <v>35162039</v>
      </c>
      <c r="BO526" s="1" t="s">
        <v>401</v>
      </c>
      <c r="BP526" s="1"/>
      <c r="BQ526" s="1"/>
      <c r="BR526" s="1" t="s">
        <v>103</v>
      </c>
      <c r="BS526" s="1" t="s">
        <v>9464</v>
      </c>
      <c r="BT526" s="1" t="str">
        <f aca="false">HYPERLINK("https%3A%2F%2Fwww.webofscience.com%2Fwos%2Fwoscc%2Ffull-record%2FWOS:000920100600028","View Full Record in Web of Science")</f>
        <v>View Full Record in Web of Science</v>
      </c>
    </row>
    <row r="527" customFormat="false" ht="12.75" hidden="false" customHeight="false" outlineLevel="0" collapsed="false">
      <c r="A527" s="1" t="s">
        <v>181</v>
      </c>
      <c r="B527" s="1" t="s">
        <v>9465</v>
      </c>
      <c r="C527" s="1"/>
      <c r="D527" s="1"/>
      <c r="E527" s="1"/>
      <c r="F527" s="1" t="s">
        <v>9466</v>
      </c>
      <c r="G527" s="1"/>
      <c r="H527" s="1"/>
      <c r="I527" s="1" t="s">
        <v>9467</v>
      </c>
      <c r="J527" s="1" t="s">
        <v>9468</v>
      </c>
      <c r="K527" s="1"/>
      <c r="L527" s="1"/>
      <c r="M527" s="1" t="s">
        <v>78</v>
      </c>
      <c r="N527" s="1" t="s">
        <v>186</v>
      </c>
      <c r="O527" s="1"/>
      <c r="P527" s="1"/>
      <c r="Q527" s="1"/>
      <c r="R527" s="1"/>
      <c r="S527" s="1"/>
      <c r="T527" s="1"/>
      <c r="U527" s="1" t="s">
        <v>9469</v>
      </c>
      <c r="V527" s="1" t="s">
        <v>9470</v>
      </c>
      <c r="W527" s="1" t="s">
        <v>9471</v>
      </c>
      <c r="X527" s="1" t="s">
        <v>9472</v>
      </c>
      <c r="Y527" s="1" t="s">
        <v>9473</v>
      </c>
      <c r="Z527" s="1" t="s">
        <v>9474</v>
      </c>
      <c r="AA527" s="1"/>
      <c r="AB527" s="1"/>
      <c r="AC527" s="1" t="s">
        <v>9475</v>
      </c>
      <c r="AD527" s="1" t="s">
        <v>9476</v>
      </c>
      <c r="AE527" s="1" t="s">
        <v>9477</v>
      </c>
      <c r="AF527" s="1"/>
      <c r="AG527" s="1" t="n">
        <v>58</v>
      </c>
      <c r="AH527" s="1" t="n">
        <v>0</v>
      </c>
      <c r="AI527" s="1" t="n">
        <v>0</v>
      </c>
      <c r="AJ527" s="1" t="n">
        <v>0</v>
      </c>
      <c r="AK527" s="1" t="n">
        <v>2</v>
      </c>
      <c r="AL527" s="1" t="s">
        <v>9478</v>
      </c>
      <c r="AM527" s="1" t="s">
        <v>705</v>
      </c>
      <c r="AN527" s="1" t="s">
        <v>9479</v>
      </c>
      <c r="AO527" s="1" t="s">
        <v>9480</v>
      </c>
      <c r="AP527" s="1" t="s">
        <v>9481</v>
      </c>
      <c r="AQ527" s="1"/>
      <c r="AR527" s="1" t="s">
        <v>9482</v>
      </c>
      <c r="AS527" s="1" t="s">
        <v>9483</v>
      </c>
      <c r="AT527" s="1"/>
      <c r="AU527" s="1" t="n">
        <v>2022</v>
      </c>
      <c r="AV527" s="1" t="n">
        <v>36</v>
      </c>
      <c r="AW527" s="1" t="n">
        <v>3</v>
      </c>
      <c r="AX527" s="1"/>
      <c r="AY527" s="1"/>
      <c r="AZ527" s="1"/>
      <c r="BA527" s="1"/>
      <c r="BB527" s="1" t="n">
        <v>237</v>
      </c>
      <c r="BC527" s="1" t="n">
        <v>252</v>
      </c>
      <c r="BD527" s="1"/>
      <c r="BE527" s="1" t="s">
        <v>9484</v>
      </c>
      <c r="BF527" s="1" t="str">
        <f aca="false">HYPERLINK("http://dx.doi.org/10.11607/ofph.3042","http://dx.doi.org/10.11607/ofph.3042")</f>
        <v>http://dx.doi.org/10.11607/ofph.3042</v>
      </c>
      <c r="BG527" s="1"/>
      <c r="BH527" s="1"/>
      <c r="BI527" s="1" t="n">
        <v>16</v>
      </c>
      <c r="BJ527" s="1" t="s">
        <v>4910</v>
      </c>
      <c r="BK527" s="1" t="s">
        <v>204</v>
      </c>
      <c r="BL527" s="1" t="s">
        <v>4910</v>
      </c>
      <c r="BM527" s="1" t="s">
        <v>9485</v>
      </c>
      <c r="BN527" s="1" t="n">
        <v>36445908</v>
      </c>
      <c r="BO527" s="1" t="s">
        <v>179</v>
      </c>
      <c r="BP527" s="1"/>
      <c r="BQ527" s="1"/>
      <c r="BR527" s="1" t="s">
        <v>103</v>
      </c>
      <c r="BS527" s="1" t="s">
        <v>9486</v>
      </c>
      <c r="BT527" s="1" t="str">
        <f aca="false">HYPERLINK("https%3A%2F%2Fwww.webofscience.com%2Fwos%2Fwoscc%2Ffull-record%2FWOS:000920467500005","View Full Record in Web of Science")</f>
        <v>View Full Record in Web of Science</v>
      </c>
    </row>
    <row r="528" customFormat="false" ht="12.75" hidden="false" customHeight="false" outlineLevel="0" collapsed="false">
      <c r="A528" s="1" t="s">
        <v>72</v>
      </c>
      <c r="B528" s="1" t="s">
        <v>9487</v>
      </c>
      <c r="C528" s="1"/>
      <c r="D528" s="1" t="s">
        <v>3979</v>
      </c>
      <c r="E528" s="1"/>
      <c r="F528" s="1" t="s">
        <v>9488</v>
      </c>
      <c r="G528" s="1"/>
      <c r="H528" s="1"/>
      <c r="I528" s="1" t="s">
        <v>9489</v>
      </c>
      <c r="J528" s="1" t="s">
        <v>3982</v>
      </c>
      <c r="K528" s="1"/>
      <c r="L528" s="1"/>
      <c r="M528" s="1" t="s">
        <v>78</v>
      </c>
      <c r="N528" s="1" t="s">
        <v>79</v>
      </c>
      <c r="O528" s="1" t="s">
        <v>3983</v>
      </c>
      <c r="P528" s="1" t="s">
        <v>3984</v>
      </c>
      <c r="Q528" s="1" t="s">
        <v>320</v>
      </c>
      <c r="R528" s="1" t="s">
        <v>106</v>
      </c>
      <c r="S528" s="1"/>
      <c r="T528" s="1" t="s">
        <v>9490</v>
      </c>
      <c r="U528" s="1" t="s">
        <v>2906</v>
      </c>
      <c r="V528" s="1" t="s">
        <v>9491</v>
      </c>
      <c r="W528" s="1" t="s">
        <v>9492</v>
      </c>
      <c r="X528" s="1" t="s">
        <v>8325</v>
      </c>
      <c r="Y528" s="1" t="s">
        <v>8708</v>
      </c>
      <c r="Z528" s="1" t="s">
        <v>9493</v>
      </c>
      <c r="AA528" s="1" t="s">
        <v>936</v>
      </c>
      <c r="AB528" s="1" t="s">
        <v>937</v>
      </c>
      <c r="AC528" s="1"/>
      <c r="AD528" s="1"/>
      <c r="AE528" s="1"/>
      <c r="AF528" s="1"/>
      <c r="AG528" s="1" t="n">
        <v>23</v>
      </c>
      <c r="AH528" s="1" t="n">
        <v>5</v>
      </c>
      <c r="AI528" s="1" t="n">
        <v>6</v>
      </c>
      <c r="AJ528" s="1" t="n">
        <v>2</v>
      </c>
      <c r="AK528" s="1" t="n">
        <v>8</v>
      </c>
      <c r="AL528" s="1" t="s">
        <v>106</v>
      </c>
      <c r="AM528" s="1" t="s">
        <v>95</v>
      </c>
      <c r="AN528" s="1" t="s">
        <v>122</v>
      </c>
      <c r="AO528" s="1"/>
      <c r="AP528" s="1"/>
      <c r="AQ528" s="1" t="s">
        <v>3991</v>
      </c>
      <c r="AR528" s="1"/>
      <c r="AS528" s="1"/>
      <c r="AT528" s="1"/>
      <c r="AU528" s="1" t="n">
        <v>2021</v>
      </c>
      <c r="AV528" s="1"/>
      <c r="AW528" s="1"/>
      <c r="AX528" s="1"/>
      <c r="AY528" s="1"/>
      <c r="AZ528" s="1"/>
      <c r="BA528" s="1"/>
      <c r="BB528" s="1" t="n">
        <v>1168</v>
      </c>
      <c r="BC528" s="1" t="n">
        <v>1173</v>
      </c>
      <c r="BD528" s="1"/>
      <c r="BE528" s="1" t="s">
        <v>9494</v>
      </c>
      <c r="BF528" s="1" t="str">
        <f aca="false">HYPERLINK("http://dx.doi.org/10.1109/ICMLA52953.2021.00190","http://dx.doi.org/10.1109/ICMLA52953.2021.00190")</f>
        <v>http://dx.doi.org/10.1109/ICMLA52953.2021.00190</v>
      </c>
      <c r="BG528" s="1"/>
      <c r="BH528" s="1"/>
      <c r="BI528" s="1" t="n">
        <v>6</v>
      </c>
      <c r="BJ528" s="1" t="s">
        <v>374</v>
      </c>
      <c r="BK528" s="1" t="s">
        <v>100</v>
      </c>
      <c r="BL528" s="1" t="s">
        <v>101</v>
      </c>
      <c r="BM528" s="1" t="s">
        <v>3993</v>
      </c>
      <c r="BN528" s="1"/>
      <c r="BO528" s="1"/>
      <c r="BP528" s="1"/>
      <c r="BQ528" s="1"/>
      <c r="BR528" s="1" t="s">
        <v>103</v>
      </c>
      <c r="BS528" s="1" t="s">
        <v>9495</v>
      </c>
      <c r="BT528" s="1" t="str">
        <f aca="false">HYPERLINK("https%3A%2F%2Fwww.webofscience.com%2Fwos%2Fwoscc%2Ffull-record%2FWOS:000779208200182","View Full Record in Web of Science")</f>
        <v>View Full Record in Web of Science</v>
      </c>
    </row>
    <row r="529" customFormat="false" ht="12.75" hidden="false" customHeight="false" outlineLevel="0" collapsed="false">
      <c r="A529" s="1" t="s">
        <v>181</v>
      </c>
      <c r="B529" s="1" t="s">
        <v>8687</v>
      </c>
      <c r="C529" s="1"/>
      <c r="D529" s="1"/>
      <c r="E529" s="1"/>
      <c r="F529" s="1" t="s">
        <v>8688</v>
      </c>
      <c r="G529" s="1"/>
      <c r="H529" s="1"/>
      <c r="I529" s="1" t="s">
        <v>9496</v>
      </c>
      <c r="J529" s="1" t="s">
        <v>1629</v>
      </c>
      <c r="K529" s="1"/>
      <c r="L529" s="1"/>
      <c r="M529" s="1" t="s">
        <v>78</v>
      </c>
      <c r="N529" s="1" t="s">
        <v>186</v>
      </c>
      <c r="O529" s="1"/>
      <c r="P529" s="1"/>
      <c r="Q529" s="1"/>
      <c r="R529" s="1"/>
      <c r="S529" s="1"/>
      <c r="T529" s="1" t="s">
        <v>8522</v>
      </c>
      <c r="U529" s="1" t="s">
        <v>9497</v>
      </c>
      <c r="V529" s="1" t="s">
        <v>9498</v>
      </c>
      <c r="W529" s="1" t="s">
        <v>9499</v>
      </c>
      <c r="X529" s="1" t="s">
        <v>8525</v>
      </c>
      <c r="Y529" s="1" t="s">
        <v>2451</v>
      </c>
      <c r="Z529" s="1" t="s">
        <v>8694</v>
      </c>
      <c r="AA529" s="1"/>
      <c r="AB529" s="1"/>
      <c r="AC529" s="1"/>
      <c r="AD529" s="1"/>
      <c r="AE529" s="1"/>
      <c r="AF529" s="1"/>
      <c r="AG529" s="1" t="n">
        <v>14</v>
      </c>
      <c r="AH529" s="1" t="n">
        <v>12</v>
      </c>
      <c r="AI529" s="1" t="n">
        <v>12</v>
      </c>
      <c r="AJ529" s="1" t="n">
        <v>0</v>
      </c>
      <c r="AK529" s="1" t="n">
        <v>1</v>
      </c>
      <c r="AL529" s="1" t="s">
        <v>704</v>
      </c>
      <c r="AM529" s="1" t="s">
        <v>705</v>
      </c>
      <c r="AN529" s="1" t="s">
        <v>706</v>
      </c>
      <c r="AO529" s="1" t="s">
        <v>1634</v>
      </c>
      <c r="AP529" s="1" t="s">
        <v>1635</v>
      </c>
      <c r="AQ529" s="1"/>
      <c r="AR529" s="1" t="s">
        <v>1636</v>
      </c>
      <c r="AS529" s="1" t="s">
        <v>1637</v>
      </c>
      <c r="AT529" s="1" t="s">
        <v>474</v>
      </c>
      <c r="AU529" s="1" t="n">
        <v>2020</v>
      </c>
      <c r="AV529" s="1" t="n">
        <v>19</v>
      </c>
      <c r="AW529" s="1" t="n">
        <v>9</v>
      </c>
      <c r="AX529" s="1"/>
      <c r="AY529" s="1"/>
      <c r="AZ529" s="1"/>
      <c r="BA529" s="1"/>
      <c r="BB529" s="1"/>
      <c r="BC529" s="1"/>
      <c r="BD529" s="1" t="n">
        <v>2050165</v>
      </c>
      <c r="BE529" s="1" t="s">
        <v>9500</v>
      </c>
      <c r="BF529" s="1" t="str">
        <f aca="false">HYPERLINK("http://dx.doi.org/10.1142/S0219498820501650","http://dx.doi.org/10.1142/S0219498820501650")</f>
        <v>http://dx.doi.org/10.1142/S0219498820501650</v>
      </c>
      <c r="BG529" s="1"/>
      <c r="BH529" s="1"/>
      <c r="BI529" s="1" t="n">
        <v>16</v>
      </c>
      <c r="BJ529" s="1" t="s">
        <v>1007</v>
      </c>
      <c r="BK529" s="1" t="s">
        <v>204</v>
      </c>
      <c r="BL529" s="1" t="s">
        <v>280</v>
      </c>
      <c r="BM529" s="1" t="s">
        <v>1639</v>
      </c>
      <c r="BN529" s="1"/>
      <c r="BO529" s="1" t="s">
        <v>227</v>
      </c>
      <c r="BP529" s="1"/>
      <c r="BQ529" s="1"/>
      <c r="BR529" s="1" t="s">
        <v>103</v>
      </c>
      <c r="BS529" s="1" t="s">
        <v>9501</v>
      </c>
      <c r="BT529" s="1" t="str">
        <f aca="false">HYPERLINK("https%3A%2F%2Fwww.webofscience.com%2Fwos%2Fwoscc%2Ffull-record%2FWOS:000563009600004","View Full Record in Web of Science")</f>
        <v>View Full Record in Web of Science</v>
      </c>
    </row>
    <row r="530" customFormat="false" ht="12.75" hidden="false" customHeight="false" outlineLevel="0" collapsed="false">
      <c r="A530" s="1" t="s">
        <v>181</v>
      </c>
      <c r="B530" s="1" t="s">
        <v>9502</v>
      </c>
      <c r="C530" s="1"/>
      <c r="D530" s="1"/>
      <c r="E530" s="1"/>
      <c r="F530" s="1" t="s">
        <v>9503</v>
      </c>
      <c r="G530" s="1"/>
      <c r="H530" s="1"/>
      <c r="I530" s="1" t="s">
        <v>9504</v>
      </c>
      <c r="J530" s="1" t="s">
        <v>9505</v>
      </c>
      <c r="K530" s="1"/>
      <c r="L530" s="1"/>
      <c r="M530" s="1" t="s">
        <v>78</v>
      </c>
      <c r="N530" s="1" t="s">
        <v>186</v>
      </c>
      <c r="O530" s="1"/>
      <c r="P530" s="1"/>
      <c r="Q530" s="1"/>
      <c r="R530" s="1"/>
      <c r="S530" s="1"/>
      <c r="T530" s="1" t="s">
        <v>9506</v>
      </c>
      <c r="U530" s="1"/>
      <c r="V530" s="1" t="s">
        <v>9507</v>
      </c>
      <c r="W530" s="1" t="s">
        <v>9508</v>
      </c>
      <c r="X530" s="1" t="s">
        <v>9509</v>
      </c>
      <c r="Y530" s="1" t="s">
        <v>9510</v>
      </c>
      <c r="Z530" s="1" t="s">
        <v>9511</v>
      </c>
      <c r="AA530" s="1" t="s">
        <v>9512</v>
      </c>
      <c r="AB530" s="1"/>
      <c r="AC530" s="1" t="s">
        <v>9513</v>
      </c>
      <c r="AD530" s="1" t="s">
        <v>9514</v>
      </c>
      <c r="AE530" s="1" t="s">
        <v>9515</v>
      </c>
      <c r="AF530" s="1"/>
      <c r="AG530" s="1" t="n">
        <v>8</v>
      </c>
      <c r="AH530" s="1" t="n">
        <v>3</v>
      </c>
      <c r="AI530" s="1" t="n">
        <v>3</v>
      </c>
      <c r="AJ530" s="1" t="n">
        <v>0</v>
      </c>
      <c r="AK530" s="1" t="n">
        <v>5</v>
      </c>
      <c r="AL530" s="1" t="s">
        <v>9516</v>
      </c>
      <c r="AM530" s="1" t="s">
        <v>5128</v>
      </c>
      <c r="AN530" s="1" t="s">
        <v>9517</v>
      </c>
      <c r="AO530" s="1" t="s">
        <v>9518</v>
      </c>
      <c r="AP530" s="1"/>
      <c r="AQ530" s="1"/>
      <c r="AR530" s="1" t="s">
        <v>9519</v>
      </c>
      <c r="AS530" s="1" t="s">
        <v>9520</v>
      </c>
      <c r="AT530" s="1" t="s">
        <v>2698</v>
      </c>
      <c r="AU530" s="1" t="n">
        <v>2020</v>
      </c>
      <c r="AV530" s="1" t="n">
        <v>20</v>
      </c>
      <c r="AW530" s="1" t="n">
        <v>3</v>
      </c>
      <c r="AX530" s="1"/>
      <c r="AY530" s="1"/>
      <c r="AZ530" s="1"/>
      <c r="BA530" s="1"/>
      <c r="BB530" s="1" t="n">
        <v>145</v>
      </c>
      <c r="BC530" s="1" t="n">
        <v>149</v>
      </c>
      <c r="BD530" s="1"/>
      <c r="BE530" s="1" t="s">
        <v>9521</v>
      </c>
      <c r="BF530" s="1" t="str">
        <f aca="false">HYPERLINK("http://dx.doi.org/10.2478/msr-2020-0017","http://dx.doi.org/10.2478/msr-2020-0017")</f>
        <v>http://dx.doi.org/10.2478/msr-2020-0017</v>
      </c>
      <c r="BG530" s="1"/>
      <c r="BH530" s="1"/>
      <c r="BI530" s="1" t="n">
        <v>5</v>
      </c>
      <c r="BJ530" s="1" t="s">
        <v>9522</v>
      </c>
      <c r="BK530" s="1" t="s">
        <v>204</v>
      </c>
      <c r="BL530" s="1" t="s">
        <v>9522</v>
      </c>
      <c r="BM530" s="1" t="s">
        <v>9523</v>
      </c>
      <c r="BN530" s="1"/>
      <c r="BO530" s="1" t="s">
        <v>6278</v>
      </c>
      <c r="BP530" s="1"/>
      <c r="BQ530" s="1"/>
      <c r="BR530" s="1" t="s">
        <v>103</v>
      </c>
      <c r="BS530" s="1" t="s">
        <v>9524</v>
      </c>
      <c r="BT530" s="1" t="str">
        <f aca="false">HYPERLINK("https%3A%2F%2Fwww.webofscience.com%2Fwos%2Fwoscc%2Ffull-record%2FWOS:000555887000005","View Full Record in Web of Science")</f>
        <v>View Full Record in Web of Science</v>
      </c>
    </row>
    <row r="531" customFormat="false" ht="12.75" hidden="false" customHeight="false" outlineLevel="0" collapsed="false">
      <c r="A531" s="1" t="s">
        <v>72</v>
      </c>
      <c r="B531" s="1" t="s">
        <v>9525</v>
      </c>
      <c r="C531" s="1"/>
      <c r="D531" s="1" t="s">
        <v>3961</v>
      </c>
      <c r="E531" s="1"/>
      <c r="F531" s="1" t="s">
        <v>9526</v>
      </c>
      <c r="G531" s="1"/>
      <c r="H531" s="1"/>
      <c r="I531" s="1" t="s">
        <v>9527</v>
      </c>
      <c r="J531" s="1" t="s">
        <v>3964</v>
      </c>
      <c r="K531" s="1"/>
      <c r="L531" s="1"/>
      <c r="M531" s="1" t="s">
        <v>78</v>
      </c>
      <c r="N531" s="1" t="s">
        <v>79</v>
      </c>
      <c r="O531" s="1" t="s">
        <v>3965</v>
      </c>
      <c r="P531" s="1" t="s">
        <v>3966</v>
      </c>
      <c r="Q531" s="1" t="s">
        <v>3967</v>
      </c>
      <c r="R531" s="1" t="s">
        <v>3968</v>
      </c>
      <c r="S531" s="1"/>
      <c r="T531" s="1" t="s">
        <v>9528</v>
      </c>
      <c r="U531" s="1" t="s">
        <v>9529</v>
      </c>
      <c r="V531" s="1" t="s">
        <v>9530</v>
      </c>
      <c r="W531" s="1" t="s">
        <v>9531</v>
      </c>
      <c r="X531" s="1" t="s">
        <v>9532</v>
      </c>
      <c r="Y531" s="1" t="s">
        <v>9533</v>
      </c>
      <c r="Z531" s="1" t="s">
        <v>8468</v>
      </c>
      <c r="AA531" s="1" t="s">
        <v>9534</v>
      </c>
      <c r="AB531" s="1" t="s">
        <v>9535</v>
      </c>
      <c r="AC531" s="1"/>
      <c r="AD531" s="1"/>
      <c r="AE531" s="1"/>
      <c r="AF531" s="1"/>
      <c r="AG531" s="1" t="n">
        <v>29</v>
      </c>
      <c r="AH531" s="1" t="n">
        <v>0</v>
      </c>
      <c r="AI531" s="1" t="n">
        <v>0</v>
      </c>
      <c r="AJ531" s="1" t="n">
        <v>0</v>
      </c>
      <c r="AK531" s="1" t="n">
        <v>0</v>
      </c>
      <c r="AL531" s="1" t="s">
        <v>106</v>
      </c>
      <c r="AM531" s="1" t="s">
        <v>95</v>
      </c>
      <c r="AN531" s="1" t="s">
        <v>122</v>
      </c>
      <c r="AO531" s="1"/>
      <c r="AP531" s="1"/>
      <c r="AQ531" s="1" t="s">
        <v>3974</v>
      </c>
      <c r="AR531" s="1"/>
      <c r="AS531" s="1"/>
      <c r="AT531" s="1"/>
      <c r="AU531" s="1" t="n">
        <v>2024</v>
      </c>
      <c r="AV531" s="1"/>
      <c r="AW531" s="1"/>
      <c r="AX531" s="1"/>
      <c r="AY531" s="1"/>
      <c r="AZ531" s="1"/>
      <c r="BA531" s="1"/>
      <c r="BB531" s="1" t="n">
        <v>130</v>
      </c>
      <c r="BC531" s="1" t="n">
        <v>137</v>
      </c>
      <c r="BD531" s="1"/>
      <c r="BE531" s="1" t="s">
        <v>9536</v>
      </c>
      <c r="BF531" s="1" t="str">
        <f aca="false">HYPERLINK("http://dx.doi.org/10.1109/FMEC62297.2024.10710205","http://dx.doi.org/10.1109/FMEC62297.2024.10710205")</f>
        <v>http://dx.doi.org/10.1109/FMEC62297.2024.10710205</v>
      </c>
      <c r="BG531" s="1"/>
      <c r="BH531" s="1"/>
      <c r="BI531" s="1" t="n">
        <v>8</v>
      </c>
      <c r="BJ531" s="1" t="s">
        <v>2136</v>
      </c>
      <c r="BK531" s="1" t="s">
        <v>100</v>
      </c>
      <c r="BL531" s="1" t="s">
        <v>101</v>
      </c>
      <c r="BM531" s="1" t="s">
        <v>3976</v>
      </c>
      <c r="BN531" s="1"/>
      <c r="BO531" s="1" t="s">
        <v>227</v>
      </c>
      <c r="BP531" s="1"/>
      <c r="BQ531" s="1"/>
      <c r="BR531" s="1" t="s">
        <v>103</v>
      </c>
      <c r="BS531" s="1" t="s">
        <v>9537</v>
      </c>
      <c r="BT531" s="1" t="str">
        <f aca="false">HYPERLINK("https%3A%2F%2Fwww.webofscience.com%2Fwos%2Fwoscc%2Ffull-record%2FWOS:001343069600017","View Full Record in Web of Science")</f>
        <v>View Full Record in Web of Science</v>
      </c>
    </row>
    <row r="532" customFormat="false" ht="12.75" hidden="false" customHeight="false" outlineLevel="0" collapsed="false">
      <c r="A532" s="1" t="s">
        <v>72</v>
      </c>
      <c r="B532" s="1" t="s">
        <v>9538</v>
      </c>
      <c r="C532" s="1"/>
      <c r="D532" s="1" t="s">
        <v>9539</v>
      </c>
      <c r="E532" s="1"/>
      <c r="F532" s="1" t="s">
        <v>9540</v>
      </c>
      <c r="G532" s="1"/>
      <c r="H532" s="1"/>
      <c r="I532" s="1" t="s">
        <v>9541</v>
      </c>
      <c r="J532" s="1" t="s">
        <v>9542</v>
      </c>
      <c r="K532" s="1" t="s">
        <v>9184</v>
      </c>
      <c r="L532" s="1"/>
      <c r="M532" s="1" t="s">
        <v>78</v>
      </c>
      <c r="N532" s="1" t="s">
        <v>79</v>
      </c>
      <c r="O532" s="1" t="s">
        <v>9543</v>
      </c>
      <c r="P532" s="1" t="s">
        <v>9544</v>
      </c>
      <c r="Q532" s="1" t="s">
        <v>9545</v>
      </c>
      <c r="R532" s="1" t="s">
        <v>1086</v>
      </c>
      <c r="S532" s="1"/>
      <c r="T532" s="1" t="s">
        <v>9546</v>
      </c>
      <c r="U532" s="1"/>
      <c r="V532" s="1" t="s">
        <v>9547</v>
      </c>
      <c r="W532" s="1" t="s">
        <v>9548</v>
      </c>
      <c r="X532" s="1" t="s">
        <v>5274</v>
      </c>
      <c r="Y532" s="1" t="s">
        <v>5337</v>
      </c>
      <c r="Z532" s="1" t="s">
        <v>9549</v>
      </c>
      <c r="AA532" s="1"/>
      <c r="AB532" s="1"/>
      <c r="AC532" s="1" t="s">
        <v>1186</v>
      </c>
      <c r="AD532" s="1" t="s">
        <v>1186</v>
      </c>
      <c r="AE532" s="1" t="s">
        <v>1187</v>
      </c>
      <c r="AF532" s="1"/>
      <c r="AG532" s="1" t="n">
        <v>7</v>
      </c>
      <c r="AH532" s="1" t="n">
        <v>0</v>
      </c>
      <c r="AI532" s="1" t="n">
        <v>0</v>
      </c>
      <c r="AJ532" s="1" t="n">
        <v>1</v>
      </c>
      <c r="AK532" s="1" t="n">
        <v>1</v>
      </c>
      <c r="AL532" s="1" t="s">
        <v>172</v>
      </c>
      <c r="AM532" s="1" t="s">
        <v>173</v>
      </c>
      <c r="AN532" s="1" t="s">
        <v>174</v>
      </c>
      <c r="AO532" s="1" t="s">
        <v>9193</v>
      </c>
      <c r="AP532" s="1"/>
      <c r="AQ532" s="1" t="s">
        <v>9550</v>
      </c>
      <c r="AR532" s="1" t="s">
        <v>9195</v>
      </c>
      <c r="AS532" s="1"/>
      <c r="AT532" s="1"/>
      <c r="AU532" s="1" t="n">
        <v>2023</v>
      </c>
      <c r="AV532" s="1"/>
      <c r="AW532" s="1"/>
      <c r="AX532" s="1"/>
      <c r="AY532" s="1"/>
      <c r="AZ532" s="1"/>
      <c r="BA532" s="1"/>
      <c r="BB532" s="1" t="n">
        <v>68</v>
      </c>
      <c r="BC532" s="1" t="n">
        <v>71</v>
      </c>
      <c r="BD532" s="1"/>
      <c r="BE532" s="1" t="s">
        <v>9551</v>
      </c>
      <c r="BF532" s="1" t="str">
        <f aca="false">HYPERLINK("http://dx.doi.org/10.1109/REW57809.2023.00019","http://dx.doi.org/10.1109/REW57809.2023.00019")</f>
        <v>http://dx.doi.org/10.1109/REW57809.2023.00019</v>
      </c>
      <c r="BG532" s="1"/>
      <c r="BH532" s="1"/>
      <c r="BI532" s="1" t="n">
        <v>4</v>
      </c>
      <c r="BJ532" s="1" t="s">
        <v>994</v>
      </c>
      <c r="BK532" s="1" t="s">
        <v>100</v>
      </c>
      <c r="BL532" s="1" t="s">
        <v>101</v>
      </c>
      <c r="BM532" s="1" t="s">
        <v>9552</v>
      </c>
      <c r="BN532" s="1"/>
      <c r="BO532" s="1" t="s">
        <v>227</v>
      </c>
      <c r="BP532" s="1"/>
      <c r="BQ532" s="1"/>
      <c r="BR532" s="1" t="s">
        <v>103</v>
      </c>
      <c r="BS532" s="1" t="s">
        <v>9553</v>
      </c>
      <c r="BT532" s="1" t="str">
        <f aca="false">HYPERLINK("https%3A%2F%2Fwww.webofscience.com%2Fwos%2Fwoscc%2Ffull-record%2FWOS:001085223300015","View Full Record in Web of Science")</f>
        <v>View Full Record in Web of Science</v>
      </c>
    </row>
    <row r="533" customFormat="false" ht="12.75" hidden="false" customHeight="false" outlineLevel="0" collapsed="false">
      <c r="A533" s="1" t="s">
        <v>181</v>
      </c>
      <c r="B533" s="1" t="s">
        <v>9554</v>
      </c>
      <c r="C533" s="1"/>
      <c r="D533" s="1"/>
      <c r="E533" s="1"/>
      <c r="F533" s="1" t="s">
        <v>9555</v>
      </c>
      <c r="G533" s="1"/>
      <c r="H533" s="1"/>
      <c r="I533" s="1" t="s">
        <v>9556</v>
      </c>
      <c r="J533" s="1" t="s">
        <v>9557</v>
      </c>
      <c r="K533" s="1"/>
      <c r="L533" s="1"/>
      <c r="M533" s="1" t="s">
        <v>78</v>
      </c>
      <c r="N533" s="1" t="s">
        <v>186</v>
      </c>
      <c r="O533" s="1"/>
      <c r="P533" s="1"/>
      <c r="Q533" s="1"/>
      <c r="R533" s="1"/>
      <c r="S533" s="1"/>
      <c r="T533" s="1" t="s">
        <v>9558</v>
      </c>
      <c r="U533" s="1" t="s">
        <v>9559</v>
      </c>
      <c r="V533" s="1" t="s">
        <v>9560</v>
      </c>
      <c r="W533" s="1" t="s">
        <v>9561</v>
      </c>
      <c r="X533" s="1" t="s">
        <v>7678</v>
      </c>
      <c r="Y533" s="1" t="s">
        <v>9562</v>
      </c>
      <c r="Z533" s="1" t="s">
        <v>9563</v>
      </c>
      <c r="AA533" s="1" t="s">
        <v>595</v>
      </c>
      <c r="AB533" s="1" t="s">
        <v>7540</v>
      </c>
      <c r="AC533" s="1"/>
      <c r="AD533" s="1"/>
      <c r="AE533" s="1"/>
      <c r="AF533" s="1"/>
      <c r="AG533" s="1" t="n">
        <v>32</v>
      </c>
      <c r="AH533" s="1" t="n">
        <v>0</v>
      </c>
      <c r="AI533" s="1" t="n">
        <v>1</v>
      </c>
      <c r="AJ533" s="1" t="n">
        <v>0</v>
      </c>
      <c r="AK533" s="1" t="n">
        <v>4</v>
      </c>
      <c r="AL533" s="1" t="s">
        <v>3711</v>
      </c>
      <c r="AM533" s="1" t="s">
        <v>95</v>
      </c>
      <c r="AN533" s="1" t="s">
        <v>3712</v>
      </c>
      <c r="AO533" s="1" t="s">
        <v>9564</v>
      </c>
      <c r="AP533" s="1" t="s">
        <v>9565</v>
      </c>
      <c r="AQ533" s="1"/>
      <c r="AR533" s="1" t="s">
        <v>9557</v>
      </c>
      <c r="AS533" s="1" t="s">
        <v>9566</v>
      </c>
      <c r="AT533" s="1" t="s">
        <v>1453</v>
      </c>
      <c r="AU533" s="1" t="n">
        <v>2021</v>
      </c>
      <c r="AV533" s="1" t="n">
        <v>103</v>
      </c>
      <c r="AW533" s="1" t="n">
        <v>1</v>
      </c>
      <c r="AX533" s="1"/>
      <c r="AY533" s="1"/>
      <c r="AZ533" s="1"/>
      <c r="BA533" s="1"/>
      <c r="BB533" s="1" t="n">
        <v>48</v>
      </c>
      <c r="BC533" s="1" t="n">
        <v>52</v>
      </c>
      <c r="BD533" s="1"/>
      <c r="BE533" s="1" t="s">
        <v>9567</v>
      </c>
      <c r="BF533" s="1" t="str">
        <f aca="false">HYPERLINK("http://dx.doi.org/10.1016/j.contraception.2020.10.003","http://dx.doi.org/10.1016/j.contraception.2020.10.003")</f>
        <v>http://dx.doi.org/10.1016/j.contraception.2020.10.003</v>
      </c>
      <c r="BG533" s="1"/>
      <c r="BH533" s="1"/>
      <c r="BI533" s="1" t="n">
        <v>5</v>
      </c>
      <c r="BJ533" s="1" t="s">
        <v>9568</v>
      </c>
      <c r="BK533" s="1" t="s">
        <v>398</v>
      </c>
      <c r="BL533" s="1" t="s">
        <v>9568</v>
      </c>
      <c r="BM533" s="1" t="s">
        <v>9569</v>
      </c>
      <c r="BN533" s="1" t="n">
        <v>33068613</v>
      </c>
      <c r="BO533" s="1"/>
      <c r="BP533" s="1"/>
      <c r="BQ533" s="1"/>
      <c r="BR533" s="1" t="s">
        <v>103</v>
      </c>
      <c r="BS533" s="1" t="s">
        <v>9570</v>
      </c>
      <c r="BT533" s="1" t="str">
        <f aca="false">HYPERLINK("https%3A%2F%2Fwww.webofscience.com%2Fwos%2Fwoscc%2Ffull-record%2FWOS:000600609900010","View Full Record in Web of Science")</f>
        <v>View Full Record in Web of Science</v>
      </c>
    </row>
    <row r="534" customFormat="false" ht="12.75" hidden="false" customHeight="false" outlineLevel="0" collapsed="false">
      <c r="A534" s="1" t="s">
        <v>181</v>
      </c>
      <c r="B534" s="1" t="s">
        <v>9571</v>
      </c>
      <c r="C534" s="1"/>
      <c r="D534" s="1"/>
      <c r="E534" s="1"/>
      <c r="F534" s="1" t="s">
        <v>9572</v>
      </c>
      <c r="G534" s="1"/>
      <c r="H534" s="1"/>
      <c r="I534" s="1" t="s">
        <v>9573</v>
      </c>
      <c r="J534" s="1" t="s">
        <v>1378</v>
      </c>
      <c r="K534" s="1"/>
      <c r="L534" s="1"/>
      <c r="M534" s="1" t="s">
        <v>78</v>
      </c>
      <c r="N534" s="1" t="s">
        <v>186</v>
      </c>
      <c r="O534" s="1"/>
      <c r="P534" s="1"/>
      <c r="Q534" s="1"/>
      <c r="R534" s="1"/>
      <c r="S534" s="1"/>
      <c r="T534" s="1" t="s">
        <v>9574</v>
      </c>
      <c r="U534" s="1" t="s">
        <v>9575</v>
      </c>
      <c r="V534" s="1" t="s">
        <v>9576</v>
      </c>
      <c r="W534" s="1" t="s">
        <v>9577</v>
      </c>
      <c r="X534" s="1" t="s">
        <v>5206</v>
      </c>
      <c r="Y534" s="1" t="s">
        <v>9578</v>
      </c>
      <c r="Z534" s="1" t="s">
        <v>9579</v>
      </c>
      <c r="AA534" s="1" t="s">
        <v>6347</v>
      </c>
      <c r="AB534" s="1" t="s">
        <v>9580</v>
      </c>
      <c r="AC534" s="1" t="s">
        <v>9581</v>
      </c>
      <c r="AD534" s="1" t="s">
        <v>9582</v>
      </c>
      <c r="AE534" s="1" t="s">
        <v>9583</v>
      </c>
      <c r="AF534" s="1"/>
      <c r="AG534" s="1" t="n">
        <v>49</v>
      </c>
      <c r="AH534" s="1" t="n">
        <v>1</v>
      </c>
      <c r="AI534" s="1" t="n">
        <v>1</v>
      </c>
      <c r="AJ534" s="1" t="n">
        <v>1</v>
      </c>
      <c r="AK534" s="1" t="n">
        <v>2</v>
      </c>
      <c r="AL534" s="1" t="s">
        <v>893</v>
      </c>
      <c r="AM534" s="1" t="s">
        <v>894</v>
      </c>
      <c r="AN534" s="1" t="s">
        <v>895</v>
      </c>
      <c r="AO534" s="1" t="s">
        <v>1387</v>
      </c>
      <c r="AP534" s="1" t="s">
        <v>1388</v>
      </c>
      <c r="AQ534" s="1"/>
      <c r="AR534" s="1" t="s">
        <v>1389</v>
      </c>
      <c r="AS534" s="1" t="s">
        <v>1390</v>
      </c>
      <c r="AT534" s="1" t="s">
        <v>711</v>
      </c>
      <c r="AU534" s="1" t="n">
        <v>2024</v>
      </c>
      <c r="AV534" s="1" t="n">
        <v>172</v>
      </c>
      <c r="AW534" s="1"/>
      <c r="AX534" s="1"/>
      <c r="AY534" s="1"/>
      <c r="AZ534" s="1"/>
      <c r="BA534" s="1"/>
      <c r="BB534" s="1"/>
      <c r="BC534" s="1"/>
      <c r="BD534" s="1" t="n">
        <v>107469</v>
      </c>
      <c r="BE534" s="1" t="s">
        <v>9584</v>
      </c>
      <c r="BF534" s="1" t="str">
        <f aca="false">HYPERLINK("http://dx.doi.org/10.1016/j.infsof.2024.107469","http://dx.doi.org/10.1016/j.infsof.2024.107469")</f>
        <v>http://dx.doi.org/10.1016/j.infsof.2024.107469</v>
      </c>
      <c r="BG534" s="1"/>
      <c r="BH534" s="1" t="s">
        <v>2275</v>
      </c>
      <c r="BI534" s="1" t="n">
        <v>17</v>
      </c>
      <c r="BJ534" s="1" t="s">
        <v>1394</v>
      </c>
      <c r="BK534" s="1" t="s">
        <v>204</v>
      </c>
      <c r="BL534" s="1" t="s">
        <v>101</v>
      </c>
      <c r="BM534" s="1" t="s">
        <v>9585</v>
      </c>
      <c r="BN534" s="1"/>
      <c r="BO534" s="1" t="s">
        <v>612</v>
      </c>
      <c r="BP534" s="1"/>
      <c r="BQ534" s="1"/>
      <c r="BR534" s="1" t="s">
        <v>103</v>
      </c>
      <c r="BS534" s="1" t="s">
        <v>9586</v>
      </c>
      <c r="BT534" s="1" t="str">
        <f aca="false">HYPERLINK("https%3A%2F%2Fwww.webofscience.com%2Fwos%2Fwoscc%2Ffull-record%2FWOS:001233663200001","View Full Record in Web of Science")</f>
        <v>View Full Record in Web of Science</v>
      </c>
    </row>
    <row r="535" customFormat="false" ht="12.75" hidden="false" customHeight="false" outlineLevel="0" collapsed="false">
      <c r="A535" s="1" t="s">
        <v>181</v>
      </c>
      <c r="B535" s="1" t="s">
        <v>8745</v>
      </c>
      <c r="C535" s="1"/>
      <c r="D535" s="1"/>
      <c r="E535" s="1"/>
      <c r="F535" s="1" t="s">
        <v>8746</v>
      </c>
      <c r="G535" s="1"/>
      <c r="H535" s="1"/>
      <c r="I535" s="1" t="s">
        <v>9587</v>
      </c>
      <c r="J535" s="1" t="s">
        <v>8748</v>
      </c>
      <c r="K535" s="1"/>
      <c r="L535" s="1"/>
      <c r="M535" s="1" t="s">
        <v>78</v>
      </c>
      <c r="N535" s="1" t="s">
        <v>1996</v>
      </c>
      <c r="O535" s="1"/>
      <c r="P535" s="1"/>
      <c r="Q535" s="1"/>
      <c r="R535" s="1"/>
      <c r="S535" s="1"/>
      <c r="T535" s="1"/>
      <c r="U535" s="1"/>
      <c r="V535" s="1"/>
      <c r="W535" s="1" t="s">
        <v>8749</v>
      </c>
      <c r="X535" s="1" t="s">
        <v>6382</v>
      </c>
      <c r="Y535" s="1" t="s">
        <v>8750</v>
      </c>
      <c r="Z535" s="1" t="s">
        <v>8751</v>
      </c>
      <c r="AA535" s="1" t="s">
        <v>8752</v>
      </c>
      <c r="AB535" s="1"/>
      <c r="AC535" s="1"/>
      <c r="AD535" s="1"/>
      <c r="AE535" s="1"/>
      <c r="AF535" s="1"/>
      <c r="AG535" s="1" t="n">
        <v>0</v>
      </c>
      <c r="AH535" s="1" t="n">
        <v>0</v>
      </c>
      <c r="AI535" s="1" t="n">
        <v>0</v>
      </c>
      <c r="AJ535" s="1" t="n">
        <v>0</v>
      </c>
      <c r="AK535" s="1" t="n">
        <v>0</v>
      </c>
      <c r="AL535" s="1" t="s">
        <v>8753</v>
      </c>
      <c r="AM535" s="1" t="s">
        <v>8754</v>
      </c>
      <c r="AN535" s="1" t="s">
        <v>8755</v>
      </c>
      <c r="AO535" s="1" t="s">
        <v>8756</v>
      </c>
      <c r="AP535" s="1" t="s">
        <v>8757</v>
      </c>
      <c r="AQ535" s="1"/>
      <c r="AR535" s="1" t="s">
        <v>8758</v>
      </c>
      <c r="AS535" s="1" t="s">
        <v>8759</v>
      </c>
      <c r="AT535" s="1"/>
      <c r="AU535" s="1" t="n">
        <v>2022</v>
      </c>
      <c r="AV535" s="1" t="n">
        <v>18</v>
      </c>
      <c r="AW535" s="1" t="n">
        <v>2</v>
      </c>
      <c r="AX535" s="1"/>
      <c r="AY535" s="1"/>
      <c r="AZ535" s="1"/>
      <c r="BA535" s="1"/>
      <c r="BB535" s="1" t="n">
        <v>143</v>
      </c>
      <c r="BC535" s="1" t="n">
        <v>144</v>
      </c>
      <c r="BD535" s="1"/>
      <c r="BE535" s="1"/>
      <c r="BF535" s="1"/>
      <c r="BG535" s="1"/>
      <c r="BH535" s="1"/>
      <c r="BI535" s="1" t="n">
        <v>2</v>
      </c>
      <c r="BJ535" s="1" t="s">
        <v>2298</v>
      </c>
      <c r="BK535" s="1" t="s">
        <v>253</v>
      </c>
      <c r="BL535" s="1" t="s">
        <v>715</v>
      </c>
      <c r="BM535" s="1" t="s">
        <v>8760</v>
      </c>
      <c r="BN535" s="1"/>
      <c r="BO535" s="1"/>
      <c r="BP535" s="1"/>
      <c r="BQ535" s="1"/>
      <c r="BR535" s="1" t="s">
        <v>103</v>
      </c>
      <c r="BS535" s="1" t="s">
        <v>9588</v>
      </c>
      <c r="BT535" s="1" t="str">
        <f aca="false">HYPERLINK("https%3A%2F%2Fwww.webofscience.com%2Fwos%2Fwoscc%2Ffull-record%2FWOS:000764055500007","View Full Record in Web of Science")</f>
        <v>View Full Record in Web of Science</v>
      </c>
    </row>
    <row r="536" customFormat="false" ht="12.75" hidden="false" customHeight="false" outlineLevel="0" collapsed="false">
      <c r="A536" s="1" t="s">
        <v>181</v>
      </c>
      <c r="B536" s="1" t="s">
        <v>9589</v>
      </c>
      <c r="C536" s="1"/>
      <c r="D536" s="1"/>
      <c r="E536" s="1"/>
      <c r="F536" s="1" t="s">
        <v>9590</v>
      </c>
      <c r="G536" s="1"/>
      <c r="H536" s="1"/>
      <c r="I536" s="1" t="s">
        <v>9591</v>
      </c>
      <c r="J536" s="1" t="s">
        <v>9592</v>
      </c>
      <c r="K536" s="1"/>
      <c r="L536" s="1"/>
      <c r="M536" s="1" t="s">
        <v>78</v>
      </c>
      <c r="N536" s="1" t="s">
        <v>186</v>
      </c>
      <c r="O536" s="1"/>
      <c r="P536" s="1"/>
      <c r="Q536" s="1"/>
      <c r="R536" s="1"/>
      <c r="S536" s="1"/>
      <c r="T536" s="1" t="s">
        <v>9593</v>
      </c>
      <c r="U536" s="1" t="s">
        <v>9594</v>
      </c>
      <c r="V536" s="1" t="s">
        <v>9595</v>
      </c>
      <c r="W536" s="1" t="s">
        <v>9596</v>
      </c>
      <c r="X536" s="1" t="s">
        <v>9597</v>
      </c>
      <c r="Y536" s="1" t="s">
        <v>9598</v>
      </c>
      <c r="Z536" s="1" t="s">
        <v>9599</v>
      </c>
      <c r="AA536" s="1" t="s">
        <v>9600</v>
      </c>
      <c r="AB536" s="1" t="s">
        <v>9601</v>
      </c>
      <c r="AC536" s="1" t="s">
        <v>9602</v>
      </c>
      <c r="AD536" s="1" t="s">
        <v>9602</v>
      </c>
      <c r="AE536" s="1" t="s">
        <v>9603</v>
      </c>
      <c r="AF536" s="1"/>
      <c r="AG536" s="1" t="n">
        <v>54</v>
      </c>
      <c r="AH536" s="1" t="n">
        <v>4</v>
      </c>
      <c r="AI536" s="1" t="n">
        <v>4</v>
      </c>
      <c r="AJ536" s="1" t="n">
        <v>1</v>
      </c>
      <c r="AK536" s="1" t="n">
        <v>14</v>
      </c>
      <c r="AL536" s="1" t="s">
        <v>367</v>
      </c>
      <c r="AM536" s="1" t="s">
        <v>368</v>
      </c>
      <c r="AN536" s="1" t="s">
        <v>369</v>
      </c>
      <c r="AO536" s="1"/>
      <c r="AP536" s="1" t="s">
        <v>9604</v>
      </c>
      <c r="AQ536" s="1"/>
      <c r="AR536" s="1" t="s">
        <v>9605</v>
      </c>
      <c r="AS536" s="1" t="s">
        <v>9606</v>
      </c>
      <c r="AT536" s="1" t="s">
        <v>421</v>
      </c>
      <c r="AU536" s="1" t="n">
        <v>2021</v>
      </c>
      <c r="AV536" s="1" t="n">
        <v>8</v>
      </c>
      <c r="AW536" s="1" t="n">
        <v>4</v>
      </c>
      <c r="AX536" s="1"/>
      <c r="AY536" s="1"/>
      <c r="AZ536" s="1"/>
      <c r="BA536" s="1"/>
      <c r="BB536" s="1"/>
      <c r="BC536" s="1"/>
      <c r="BD536" s="1" t="n">
        <v>118</v>
      </c>
      <c r="BE536" s="1" t="s">
        <v>9607</v>
      </c>
      <c r="BF536" s="1" t="str">
        <f aca="false">HYPERLINK("http://dx.doi.org/10.3390/photonics8040118","http://dx.doi.org/10.3390/photonics8040118")</f>
        <v>http://dx.doi.org/10.3390/photonics8040118</v>
      </c>
      <c r="BG536" s="1"/>
      <c r="BH536" s="1"/>
      <c r="BI536" s="1" t="n">
        <v>14</v>
      </c>
      <c r="BJ536" s="1" t="s">
        <v>7211</v>
      </c>
      <c r="BK536" s="1" t="s">
        <v>204</v>
      </c>
      <c r="BL536" s="1" t="s">
        <v>7211</v>
      </c>
      <c r="BM536" s="1" t="s">
        <v>9608</v>
      </c>
      <c r="BN536" s="1"/>
      <c r="BO536" s="1" t="s">
        <v>542</v>
      </c>
      <c r="BP536" s="1"/>
      <c r="BQ536" s="1"/>
      <c r="BR536" s="1" t="s">
        <v>103</v>
      </c>
      <c r="BS536" s="1" t="s">
        <v>9609</v>
      </c>
      <c r="BT536" s="1" t="str">
        <f aca="false">HYPERLINK("https%3A%2F%2Fwww.webofscience.com%2Fwos%2Fwoscc%2Ffull-record%2FWOS:000643501300001","View Full Record in Web of Science")</f>
        <v>View Full Record in Web of Science</v>
      </c>
    </row>
    <row r="537" customFormat="false" ht="12.75" hidden="false" customHeight="false" outlineLevel="0" collapsed="false">
      <c r="A537" s="1" t="s">
        <v>181</v>
      </c>
      <c r="B537" s="1" t="s">
        <v>9610</v>
      </c>
      <c r="C537" s="1"/>
      <c r="D537" s="1"/>
      <c r="E537" s="1"/>
      <c r="F537" s="1" t="s">
        <v>9611</v>
      </c>
      <c r="G537" s="1"/>
      <c r="H537" s="1"/>
      <c r="I537" s="1" t="s">
        <v>9612</v>
      </c>
      <c r="J537" s="1" t="s">
        <v>9613</v>
      </c>
      <c r="K537" s="1"/>
      <c r="L537" s="1"/>
      <c r="M537" s="1" t="s">
        <v>78</v>
      </c>
      <c r="N537" s="1" t="s">
        <v>186</v>
      </c>
      <c r="O537" s="1"/>
      <c r="P537" s="1"/>
      <c r="Q537" s="1"/>
      <c r="R537" s="1"/>
      <c r="S537" s="1"/>
      <c r="T537" s="1"/>
      <c r="U537" s="1" t="s">
        <v>9614</v>
      </c>
      <c r="V537" s="1" t="s">
        <v>9615</v>
      </c>
      <c r="W537" s="1" t="s">
        <v>9616</v>
      </c>
      <c r="X537" s="1" t="s">
        <v>9617</v>
      </c>
      <c r="Y537" s="1" t="s">
        <v>9618</v>
      </c>
      <c r="Z537" s="1" t="s">
        <v>9619</v>
      </c>
      <c r="AA537" s="1" t="s">
        <v>9620</v>
      </c>
      <c r="AB537" s="1"/>
      <c r="AC537" s="1"/>
      <c r="AD537" s="1"/>
      <c r="AE537" s="1"/>
      <c r="AF537" s="1"/>
      <c r="AG537" s="1" t="n">
        <v>130</v>
      </c>
      <c r="AH537" s="1" t="n">
        <v>27</v>
      </c>
      <c r="AI537" s="1" t="n">
        <v>33</v>
      </c>
      <c r="AJ537" s="1" t="n">
        <v>2</v>
      </c>
      <c r="AK537" s="1" t="n">
        <v>58</v>
      </c>
      <c r="AL537" s="1" t="s">
        <v>1025</v>
      </c>
      <c r="AM537" s="1" t="s">
        <v>1026</v>
      </c>
      <c r="AN537" s="1" t="s">
        <v>1027</v>
      </c>
      <c r="AO537" s="1" t="s">
        <v>9621</v>
      </c>
      <c r="AP537" s="1" t="s">
        <v>9622</v>
      </c>
      <c r="AQ537" s="1"/>
      <c r="AR537" s="1" t="s">
        <v>9623</v>
      </c>
      <c r="AS537" s="1" t="s">
        <v>9624</v>
      </c>
      <c r="AT537" s="1" t="s">
        <v>1362</v>
      </c>
      <c r="AU537" s="1" t="n">
        <v>2020</v>
      </c>
      <c r="AV537" s="1" t="n">
        <v>53</v>
      </c>
      <c r="AW537" s="1" t="n">
        <v>5</v>
      </c>
      <c r="AX537" s="1"/>
      <c r="AY537" s="1"/>
      <c r="AZ537" s="1"/>
      <c r="BA537" s="1"/>
      <c r="BB537" s="1"/>
      <c r="BC537" s="1"/>
      <c r="BD537" s="1" t="n">
        <v>101910</v>
      </c>
      <c r="BE537" s="1" t="s">
        <v>9625</v>
      </c>
      <c r="BF537" s="1" t="str">
        <f aca="false">HYPERLINK("http://dx.doi.org/10.1016/j.lrp.2019.101910","http://dx.doi.org/10.1016/j.lrp.2019.101910")</f>
        <v>http://dx.doi.org/10.1016/j.lrp.2019.101910</v>
      </c>
      <c r="BG537" s="1"/>
      <c r="BH537" s="1"/>
      <c r="BI537" s="1" t="n">
        <v>21</v>
      </c>
      <c r="BJ537" s="1" t="s">
        <v>9626</v>
      </c>
      <c r="BK537" s="1" t="s">
        <v>610</v>
      </c>
      <c r="BL537" s="1" t="s">
        <v>9627</v>
      </c>
      <c r="BM537" s="1" t="s">
        <v>9628</v>
      </c>
      <c r="BN537" s="1"/>
      <c r="BO537" s="1"/>
      <c r="BP537" s="1"/>
      <c r="BQ537" s="1"/>
      <c r="BR537" s="1" t="s">
        <v>103</v>
      </c>
      <c r="BS537" s="1" t="s">
        <v>9629</v>
      </c>
      <c r="BT537" s="1" t="str">
        <f aca="false">HYPERLINK("https%3A%2F%2Fwww.webofscience.com%2Fwos%2Fwoscc%2Ffull-record%2FWOS:000577569500002","View Full Record in Web of Science")</f>
        <v>View Full Record in Web of Science</v>
      </c>
    </row>
    <row r="538" customFormat="false" ht="12.75" hidden="false" customHeight="false" outlineLevel="0" collapsed="false">
      <c r="A538" s="1" t="s">
        <v>181</v>
      </c>
      <c r="B538" s="1" t="s">
        <v>9630</v>
      </c>
      <c r="C538" s="1"/>
      <c r="D538" s="1"/>
      <c r="E538" s="1"/>
      <c r="F538" s="1" t="s">
        <v>9631</v>
      </c>
      <c r="G538" s="1"/>
      <c r="H538" s="1"/>
      <c r="I538" s="1" t="s">
        <v>9632</v>
      </c>
      <c r="J538" s="1" t="s">
        <v>9633</v>
      </c>
      <c r="K538" s="1"/>
      <c r="L538" s="1"/>
      <c r="M538" s="1" t="s">
        <v>78</v>
      </c>
      <c r="N538" s="1" t="s">
        <v>186</v>
      </c>
      <c r="O538" s="1"/>
      <c r="P538" s="1"/>
      <c r="Q538" s="1"/>
      <c r="R538" s="1"/>
      <c r="S538" s="1"/>
      <c r="T538" s="1"/>
      <c r="U538" s="1" t="s">
        <v>9634</v>
      </c>
      <c r="V538" s="1" t="s">
        <v>9635</v>
      </c>
      <c r="W538" s="1" t="s">
        <v>9636</v>
      </c>
      <c r="X538" s="1" t="s">
        <v>9637</v>
      </c>
      <c r="Y538" s="1" t="s">
        <v>9638</v>
      </c>
      <c r="Z538" s="1" t="s">
        <v>9639</v>
      </c>
      <c r="AA538" s="1"/>
      <c r="AB538" s="1" t="s">
        <v>9640</v>
      </c>
      <c r="AC538" s="1" t="s">
        <v>9641</v>
      </c>
      <c r="AD538" s="1" t="s">
        <v>6409</v>
      </c>
      <c r="AE538" s="1" t="s">
        <v>9642</v>
      </c>
      <c r="AF538" s="1"/>
      <c r="AG538" s="1" t="n">
        <v>24</v>
      </c>
      <c r="AH538" s="1" t="n">
        <v>2</v>
      </c>
      <c r="AI538" s="1" t="n">
        <v>3</v>
      </c>
      <c r="AJ538" s="1" t="n">
        <v>0</v>
      </c>
      <c r="AK538" s="1" t="n">
        <v>12</v>
      </c>
      <c r="AL538" s="1" t="s">
        <v>600</v>
      </c>
      <c r="AM538" s="1" t="s">
        <v>601</v>
      </c>
      <c r="AN538" s="1" t="s">
        <v>602</v>
      </c>
      <c r="AO538" s="1" t="s">
        <v>9643</v>
      </c>
      <c r="AP538" s="1" t="s">
        <v>9644</v>
      </c>
      <c r="AQ538" s="1"/>
      <c r="AR538" s="1" t="s">
        <v>9645</v>
      </c>
      <c r="AS538" s="1" t="s">
        <v>9646</v>
      </c>
      <c r="AT538" s="1" t="s">
        <v>9647</v>
      </c>
      <c r="AU538" s="1" t="n">
        <v>2021</v>
      </c>
      <c r="AV538" s="1" t="n">
        <v>2021</v>
      </c>
      <c r="AW538" s="1"/>
      <c r="AX538" s="1"/>
      <c r="AY538" s="1"/>
      <c r="AZ538" s="1"/>
      <c r="BA538" s="1"/>
      <c r="BB538" s="1"/>
      <c r="BC538" s="1"/>
      <c r="BD538" s="1" t="n">
        <v>3668726</v>
      </c>
      <c r="BE538" s="1" t="s">
        <v>9648</v>
      </c>
      <c r="BF538" s="1" t="str">
        <f aca="false">HYPERLINK("http://dx.doi.org/10.1155/2021/3668726","http://dx.doi.org/10.1155/2021/3668726")</f>
        <v>http://dx.doi.org/10.1155/2021/3668726</v>
      </c>
      <c r="BG538" s="1"/>
      <c r="BH538" s="1"/>
      <c r="BI538" s="1" t="n">
        <v>14</v>
      </c>
      <c r="BJ538" s="1" t="s">
        <v>9649</v>
      </c>
      <c r="BK538" s="1" t="s">
        <v>204</v>
      </c>
      <c r="BL538" s="1" t="s">
        <v>9650</v>
      </c>
      <c r="BM538" s="1" t="s">
        <v>9651</v>
      </c>
      <c r="BN538" s="1"/>
      <c r="BO538" s="1" t="s">
        <v>401</v>
      </c>
      <c r="BP538" s="1"/>
      <c r="BQ538" s="1"/>
      <c r="BR538" s="1" t="s">
        <v>103</v>
      </c>
      <c r="BS538" s="1" t="s">
        <v>9652</v>
      </c>
      <c r="BT538" s="1" t="str">
        <f aca="false">HYPERLINK("https%3A%2F%2Fwww.webofscience.com%2Fwos%2Fwoscc%2Ffull-record%2FWOS:000697299200007","View Full Record in Web of Science")</f>
        <v>View Full Record in Web of Science</v>
      </c>
    </row>
    <row r="539" customFormat="false" ht="12.75" hidden="false" customHeight="false" outlineLevel="0" collapsed="false">
      <c r="A539" s="1" t="s">
        <v>72</v>
      </c>
      <c r="B539" s="1" t="s">
        <v>9653</v>
      </c>
      <c r="C539" s="1"/>
      <c r="D539" s="1"/>
      <c r="E539" s="1" t="s">
        <v>106</v>
      </c>
      <c r="F539" s="1" t="s">
        <v>9654</v>
      </c>
      <c r="G539" s="1"/>
      <c r="H539" s="1"/>
      <c r="I539" s="1" t="s">
        <v>9655</v>
      </c>
      <c r="J539" s="1" t="s">
        <v>9656</v>
      </c>
      <c r="K539" s="1"/>
      <c r="L539" s="1"/>
      <c r="M539" s="1" t="s">
        <v>78</v>
      </c>
      <c r="N539" s="1" t="s">
        <v>79</v>
      </c>
      <c r="O539" s="1" t="s">
        <v>9657</v>
      </c>
      <c r="P539" s="1" t="s">
        <v>9658</v>
      </c>
      <c r="Q539" s="1" t="s">
        <v>82</v>
      </c>
      <c r="R539" s="1" t="s">
        <v>163</v>
      </c>
      <c r="S539" s="1"/>
      <c r="T539" s="1" t="s">
        <v>9659</v>
      </c>
      <c r="U539" s="1"/>
      <c r="V539" s="1" t="s">
        <v>9660</v>
      </c>
      <c r="W539" s="1" t="s">
        <v>9661</v>
      </c>
      <c r="X539" s="1" t="s">
        <v>8367</v>
      </c>
      <c r="Y539" s="1" t="s">
        <v>9662</v>
      </c>
      <c r="Z539" s="1" t="s">
        <v>9663</v>
      </c>
      <c r="AA539" s="1" t="s">
        <v>5020</v>
      </c>
      <c r="AB539" s="1"/>
      <c r="AC539" s="1" t="s">
        <v>9664</v>
      </c>
      <c r="AD539" s="1" t="s">
        <v>9664</v>
      </c>
      <c r="AE539" s="1" t="s">
        <v>9665</v>
      </c>
      <c r="AF539" s="1"/>
      <c r="AG539" s="1" t="n">
        <v>16</v>
      </c>
      <c r="AH539" s="1" t="n">
        <v>0</v>
      </c>
      <c r="AI539" s="1" t="n">
        <v>0</v>
      </c>
      <c r="AJ539" s="1" t="n">
        <v>1</v>
      </c>
      <c r="AK539" s="1" t="n">
        <v>3</v>
      </c>
      <c r="AL539" s="1" t="s">
        <v>172</v>
      </c>
      <c r="AM539" s="1" t="s">
        <v>173</v>
      </c>
      <c r="AN539" s="1" t="s">
        <v>174</v>
      </c>
      <c r="AO539" s="1"/>
      <c r="AP539" s="1"/>
      <c r="AQ539" s="1" t="s">
        <v>9666</v>
      </c>
      <c r="AR539" s="1"/>
      <c r="AS539" s="1"/>
      <c r="AT539" s="1"/>
      <c r="AU539" s="1" t="n">
        <v>2023</v>
      </c>
      <c r="AV539" s="1"/>
      <c r="AW539" s="1"/>
      <c r="AX539" s="1"/>
      <c r="AY539" s="1"/>
      <c r="AZ539" s="1"/>
      <c r="BA539" s="1"/>
      <c r="BB539" s="1" t="n">
        <v>46</v>
      </c>
      <c r="BC539" s="1" t="n">
        <v>53</v>
      </c>
      <c r="BD539" s="1"/>
      <c r="BE539" s="1" t="s">
        <v>9667</v>
      </c>
      <c r="BF539" s="1" t="str">
        <f aca="false">HYPERLINK("http://dx.doi.org/10.1109/SESoS59159.2023.00012","http://dx.doi.org/10.1109/SESoS59159.2023.00012")</f>
        <v>http://dx.doi.org/10.1109/SESoS59159.2023.00012</v>
      </c>
      <c r="BG539" s="1"/>
      <c r="BH539" s="1"/>
      <c r="BI539" s="1" t="n">
        <v>8</v>
      </c>
      <c r="BJ539" s="1" t="s">
        <v>252</v>
      </c>
      <c r="BK539" s="1" t="s">
        <v>100</v>
      </c>
      <c r="BL539" s="1" t="s">
        <v>101</v>
      </c>
      <c r="BM539" s="1" t="s">
        <v>9668</v>
      </c>
      <c r="BN539" s="1"/>
      <c r="BO539" s="1" t="s">
        <v>179</v>
      </c>
      <c r="BP539" s="1"/>
      <c r="BQ539" s="1"/>
      <c r="BR539" s="1" t="s">
        <v>103</v>
      </c>
      <c r="BS539" s="1" t="s">
        <v>9669</v>
      </c>
      <c r="BT539" s="1" t="str">
        <f aca="false">HYPERLINK("https%3A%2F%2Fwww.webofscience.com%2Fwos%2Fwoscc%2Ffull-record%2FWOS:001042226500008","View Full Record in Web of Science")</f>
        <v>View Full Record in Web of Science</v>
      </c>
    </row>
    <row r="540" customFormat="false" ht="12.75" hidden="false" customHeight="false" outlineLevel="0" collapsed="false">
      <c r="A540" s="1" t="s">
        <v>181</v>
      </c>
      <c r="B540" s="1" t="s">
        <v>9670</v>
      </c>
      <c r="C540" s="1"/>
      <c r="D540" s="1"/>
      <c r="E540" s="1"/>
      <c r="F540" s="1" t="s">
        <v>9671</v>
      </c>
      <c r="G540" s="1"/>
      <c r="H540" s="1"/>
      <c r="I540" s="1" t="s">
        <v>9672</v>
      </c>
      <c r="J540" s="1" t="s">
        <v>9673</v>
      </c>
      <c r="K540" s="1"/>
      <c r="L540" s="1"/>
      <c r="M540" s="1" t="s">
        <v>78</v>
      </c>
      <c r="N540" s="1" t="s">
        <v>186</v>
      </c>
      <c r="O540" s="1"/>
      <c r="P540" s="1"/>
      <c r="Q540" s="1"/>
      <c r="R540" s="1"/>
      <c r="S540" s="1"/>
      <c r="T540" s="1" t="s">
        <v>9674</v>
      </c>
      <c r="U540" s="1" t="s">
        <v>9675</v>
      </c>
      <c r="V540" s="1" t="s">
        <v>9676</v>
      </c>
      <c r="W540" s="1" t="s">
        <v>9677</v>
      </c>
      <c r="X540" s="1" t="s">
        <v>9678</v>
      </c>
      <c r="Y540" s="1" t="s">
        <v>9679</v>
      </c>
      <c r="Z540" s="1" t="s">
        <v>9680</v>
      </c>
      <c r="AA540" s="1" t="s">
        <v>936</v>
      </c>
      <c r="AB540" s="1" t="s">
        <v>9681</v>
      </c>
      <c r="AC540" s="1"/>
      <c r="AD540" s="1"/>
      <c r="AE540" s="1"/>
      <c r="AF540" s="1"/>
      <c r="AG540" s="1" t="n">
        <v>49</v>
      </c>
      <c r="AH540" s="1" t="n">
        <v>2</v>
      </c>
      <c r="AI540" s="1" t="n">
        <v>2</v>
      </c>
      <c r="AJ540" s="1" t="n">
        <v>0</v>
      </c>
      <c r="AK540" s="1" t="n">
        <v>5</v>
      </c>
      <c r="AL540" s="1" t="s">
        <v>367</v>
      </c>
      <c r="AM540" s="1" t="s">
        <v>368</v>
      </c>
      <c r="AN540" s="1" t="s">
        <v>369</v>
      </c>
      <c r="AO540" s="1"/>
      <c r="AP540" s="1" t="s">
        <v>9682</v>
      </c>
      <c r="AQ540" s="1"/>
      <c r="AR540" s="1" t="s">
        <v>9683</v>
      </c>
      <c r="AS540" s="1" t="s">
        <v>9684</v>
      </c>
      <c r="AT540" s="1" t="s">
        <v>421</v>
      </c>
      <c r="AU540" s="1" t="n">
        <v>2022</v>
      </c>
      <c r="AV540" s="1" t="n">
        <v>8</v>
      </c>
      <c r="AW540" s="1" t="n">
        <v>4</v>
      </c>
      <c r="AX540" s="1"/>
      <c r="AY540" s="1"/>
      <c r="AZ540" s="1"/>
      <c r="BA540" s="1"/>
      <c r="BB540" s="1"/>
      <c r="BC540" s="1"/>
      <c r="BD540" s="1" t="n">
        <v>104</v>
      </c>
      <c r="BE540" s="1" t="s">
        <v>9685</v>
      </c>
      <c r="BF540" s="1" t="str">
        <f aca="false">HYPERLINK("http://dx.doi.org/10.3390/jimaging8040104","http://dx.doi.org/10.3390/jimaging8040104")</f>
        <v>http://dx.doi.org/10.3390/jimaging8040104</v>
      </c>
      <c r="BG540" s="1"/>
      <c r="BH540" s="1"/>
      <c r="BI540" s="1" t="n">
        <v>24</v>
      </c>
      <c r="BJ540" s="1" t="s">
        <v>9686</v>
      </c>
      <c r="BK540" s="1" t="s">
        <v>253</v>
      </c>
      <c r="BL540" s="1" t="s">
        <v>9686</v>
      </c>
      <c r="BM540" s="1" t="s">
        <v>9687</v>
      </c>
      <c r="BN540" s="1" t="n">
        <v>35448231</v>
      </c>
      <c r="BO540" s="1" t="s">
        <v>542</v>
      </c>
      <c r="BP540" s="1"/>
      <c r="BQ540" s="1"/>
      <c r="BR540" s="1" t="s">
        <v>103</v>
      </c>
      <c r="BS540" s="1" t="s">
        <v>9688</v>
      </c>
      <c r="BT540" s="1" t="str">
        <f aca="false">HYPERLINK("https%3A%2F%2Fwww.webofscience.com%2Fwos%2Fwoscc%2Ffull-record%2FWOS:000785333300001","View Full Record in Web of Science")</f>
        <v>View Full Record in Web of Science</v>
      </c>
    </row>
    <row r="541" customFormat="false" ht="12.75" hidden="false" customHeight="false" outlineLevel="0" collapsed="false">
      <c r="A541" s="1" t="s">
        <v>72</v>
      </c>
      <c r="B541" s="1" t="s">
        <v>9689</v>
      </c>
      <c r="C541" s="1"/>
      <c r="D541" s="1" t="s">
        <v>9690</v>
      </c>
      <c r="E541" s="1"/>
      <c r="F541" s="1" t="s">
        <v>9691</v>
      </c>
      <c r="G541" s="1"/>
      <c r="H541" s="1"/>
      <c r="I541" s="1" t="s">
        <v>9692</v>
      </c>
      <c r="J541" s="1" t="s">
        <v>9693</v>
      </c>
      <c r="K541" s="1" t="s">
        <v>5153</v>
      </c>
      <c r="L541" s="1"/>
      <c r="M541" s="1" t="s">
        <v>78</v>
      </c>
      <c r="N541" s="1" t="s">
        <v>79</v>
      </c>
      <c r="O541" s="1" t="s">
        <v>9694</v>
      </c>
      <c r="P541" s="1" t="s">
        <v>9695</v>
      </c>
      <c r="Q541" s="1" t="s">
        <v>9696</v>
      </c>
      <c r="R541" s="1" t="s">
        <v>9697</v>
      </c>
      <c r="S541" s="1"/>
      <c r="T541" s="1"/>
      <c r="U541" s="1"/>
      <c r="V541" s="1" t="s">
        <v>9698</v>
      </c>
      <c r="W541" s="1" t="s">
        <v>9699</v>
      </c>
      <c r="X541" s="1" t="s">
        <v>5161</v>
      </c>
      <c r="Y541" s="1" t="s">
        <v>5252</v>
      </c>
      <c r="Z541" s="1" t="s">
        <v>5253</v>
      </c>
      <c r="AA541" s="1" t="s">
        <v>9700</v>
      </c>
      <c r="AB541" s="1" t="s">
        <v>9701</v>
      </c>
      <c r="AC541" s="1" t="s">
        <v>9702</v>
      </c>
      <c r="AD541" s="1" t="s">
        <v>9703</v>
      </c>
      <c r="AE541" s="1" t="s">
        <v>9704</v>
      </c>
      <c r="AF541" s="1"/>
      <c r="AG541" s="1" t="n">
        <v>8</v>
      </c>
      <c r="AH541" s="1" t="n">
        <v>5</v>
      </c>
      <c r="AI541" s="1" t="n">
        <v>5</v>
      </c>
      <c r="AJ541" s="1" t="n">
        <v>1</v>
      </c>
      <c r="AK541" s="1" t="n">
        <v>3</v>
      </c>
      <c r="AL541" s="1" t="s">
        <v>5169</v>
      </c>
      <c r="AM541" s="1" t="s">
        <v>5170</v>
      </c>
      <c r="AN541" s="1" t="s">
        <v>5171</v>
      </c>
      <c r="AO541" s="1" t="s">
        <v>5172</v>
      </c>
      <c r="AP541" s="1"/>
      <c r="AQ541" s="1"/>
      <c r="AR541" s="1" t="s">
        <v>5173</v>
      </c>
      <c r="AS541" s="1"/>
      <c r="AT541" s="1"/>
      <c r="AU541" s="1" t="n">
        <v>2022</v>
      </c>
      <c r="AV541" s="1" t="n">
        <v>1238</v>
      </c>
      <c r="AW541" s="1"/>
      <c r="AX541" s="1"/>
      <c r="AY541" s="1"/>
      <c r="AZ541" s="1"/>
      <c r="BA541" s="1"/>
      <c r="BB541" s="1"/>
      <c r="BC541" s="1"/>
      <c r="BD541" s="1"/>
      <c r="BE541" s="1" t="s">
        <v>9705</v>
      </c>
      <c r="BF541" s="1" t="str">
        <f aca="false">HYPERLINK("http://dx.doi.org/10.1088/1757-899X/1238/1/012031","http://dx.doi.org/10.1088/1757-899X/1238/1/012031")</f>
        <v>http://dx.doi.org/10.1088/1757-899X/1238/1/012031</v>
      </c>
      <c r="BG541" s="1"/>
      <c r="BH541" s="1"/>
      <c r="BI541" s="1" t="n">
        <v>8</v>
      </c>
      <c r="BJ541" s="1" t="s">
        <v>9706</v>
      </c>
      <c r="BK541" s="1" t="s">
        <v>100</v>
      </c>
      <c r="BL541" s="1" t="s">
        <v>9707</v>
      </c>
      <c r="BM541" s="1" t="s">
        <v>9708</v>
      </c>
      <c r="BN541" s="1"/>
      <c r="BO541" s="1" t="s">
        <v>1209</v>
      </c>
      <c r="BP541" s="1"/>
      <c r="BQ541" s="1"/>
      <c r="BR541" s="1" t="s">
        <v>103</v>
      </c>
      <c r="BS541" s="1" t="s">
        <v>9709</v>
      </c>
      <c r="BT541" s="1" t="str">
        <f aca="false">HYPERLINK("https%3A%2F%2Fwww.webofscience.com%2Fwos%2Fwoscc%2Ffull-record%2FWOS:000894042400031","View Full Record in Web of Science")</f>
        <v>View Full Record in Web of Science</v>
      </c>
    </row>
    <row r="542" customFormat="false" ht="12.75" hidden="false" customHeight="false" outlineLevel="0" collapsed="false">
      <c r="A542" s="1" t="s">
        <v>72</v>
      </c>
      <c r="B542" s="1" t="s">
        <v>9710</v>
      </c>
      <c r="C542" s="1"/>
      <c r="D542" s="1"/>
      <c r="E542" s="1" t="s">
        <v>106</v>
      </c>
      <c r="F542" s="1" t="s">
        <v>9711</v>
      </c>
      <c r="G542" s="1"/>
      <c r="H542" s="1"/>
      <c r="I542" s="1" t="s">
        <v>9712</v>
      </c>
      <c r="J542" s="1" t="s">
        <v>3107</v>
      </c>
      <c r="K542" s="1" t="s">
        <v>3108</v>
      </c>
      <c r="L542" s="1"/>
      <c r="M542" s="1" t="s">
        <v>78</v>
      </c>
      <c r="N542" s="1" t="s">
        <v>79</v>
      </c>
      <c r="O542" s="1" t="s">
        <v>3109</v>
      </c>
      <c r="P542" s="1" t="s">
        <v>3110</v>
      </c>
      <c r="Q542" s="1" t="s">
        <v>3111</v>
      </c>
      <c r="R542" s="1" t="s">
        <v>106</v>
      </c>
      <c r="S542" s="1"/>
      <c r="T542" s="1" t="s">
        <v>9713</v>
      </c>
      <c r="U542" s="1"/>
      <c r="V542" s="1" t="s">
        <v>9714</v>
      </c>
      <c r="W542" s="1" t="s">
        <v>9715</v>
      </c>
      <c r="X542" s="1" t="s">
        <v>9716</v>
      </c>
      <c r="Y542" s="1" t="s">
        <v>6060</v>
      </c>
      <c r="Z542" s="1"/>
      <c r="AA542" s="1" t="s">
        <v>9717</v>
      </c>
      <c r="AB542" s="1" t="s">
        <v>3118</v>
      </c>
      <c r="AC542" s="1" t="s">
        <v>9718</v>
      </c>
      <c r="AD542" s="1" t="s">
        <v>9719</v>
      </c>
      <c r="AE542" s="1" t="s">
        <v>9720</v>
      </c>
      <c r="AF542" s="1"/>
      <c r="AG542" s="1" t="n">
        <v>14</v>
      </c>
      <c r="AH542" s="1" t="n">
        <v>2</v>
      </c>
      <c r="AI542" s="1" t="n">
        <v>2</v>
      </c>
      <c r="AJ542" s="1" t="n">
        <v>1</v>
      </c>
      <c r="AK542" s="1" t="n">
        <v>1</v>
      </c>
      <c r="AL542" s="1" t="s">
        <v>106</v>
      </c>
      <c r="AM542" s="1" t="s">
        <v>95</v>
      </c>
      <c r="AN542" s="1" t="s">
        <v>122</v>
      </c>
      <c r="AO542" s="1" t="s">
        <v>3119</v>
      </c>
      <c r="AP542" s="1"/>
      <c r="AQ542" s="1" t="s">
        <v>3120</v>
      </c>
      <c r="AR542" s="1" t="s">
        <v>3121</v>
      </c>
      <c r="AS542" s="1"/>
      <c r="AT542" s="1"/>
      <c r="AU542" s="1" t="n">
        <v>2022</v>
      </c>
      <c r="AV542" s="1"/>
      <c r="AW542" s="1"/>
      <c r="AX542" s="1"/>
      <c r="AY542" s="1"/>
      <c r="AZ542" s="1"/>
      <c r="BA542" s="1"/>
      <c r="BB542" s="1" t="n">
        <v>44</v>
      </c>
      <c r="BC542" s="1" t="n">
        <v>47</v>
      </c>
      <c r="BD542" s="1"/>
      <c r="BE542" s="1" t="s">
        <v>9721</v>
      </c>
      <c r="BF542" s="1" t="str">
        <f aca="false">HYPERLINK("http://dx.doi.org/10.1109/IGARSS46834.2022.9883264","http://dx.doi.org/10.1109/IGARSS46834.2022.9883264")</f>
        <v>http://dx.doi.org/10.1109/IGARSS46834.2022.9883264</v>
      </c>
      <c r="BG542" s="1"/>
      <c r="BH542" s="1"/>
      <c r="BI542" s="1" t="n">
        <v>4</v>
      </c>
      <c r="BJ542" s="1" t="s">
        <v>3123</v>
      </c>
      <c r="BK542" s="1" t="s">
        <v>100</v>
      </c>
      <c r="BL542" s="1" t="s">
        <v>3124</v>
      </c>
      <c r="BM542" s="1" t="s">
        <v>3125</v>
      </c>
      <c r="BN542" s="1"/>
      <c r="BO542" s="1" t="s">
        <v>227</v>
      </c>
      <c r="BP542" s="1"/>
      <c r="BQ542" s="1"/>
      <c r="BR542" s="1" t="s">
        <v>103</v>
      </c>
      <c r="BS542" s="1" t="s">
        <v>9722</v>
      </c>
      <c r="BT542" s="1" t="str">
        <f aca="false">HYPERLINK("https%3A%2F%2Fwww.webofscience.com%2Fwos%2Fwoscc%2Ffull-record%2FWOS:000920916600012","View Full Record in Web of Science")</f>
        <v>View Full Record in Web of Science</v>
      </c>
    </row>
    <row r="543" customFormat="false" ht="12.75" hidden="false" customHeight="false" outlineLevel="0" collapsed="false">
      <c r="A543" s="1" t="s">
        <v>181</v>
      </c>
      <c r="B543" s="1" t="s">
        <v>9723</v>
      </c>
      <c r="C543" s="1"/>
      <c r="D543" s="1"/>
      <c r="E543" s="1"/>
      <c r="F543" s="1" t="s">
        <v>9724</v>
      </c>
      <c r="G543" s="1"/>
      <c r="H543" s="1"/>
      <c r="I543" s="1" t="s">
        <v>9725</v>
      </c>
      <c r="J543" s="1" t="s">
        <v>9726</v>
      </c>
      <c r="K543" s="1"/>
      <c r="L543" s="1"/>
      <c r="M543" s="1" t="s">
        <v>78</v>
      </c>
      <c r="N543" s="1" t="s">
        <v>186</v>
      </c>
      <c r="O543" s="1"/>
      <c r="P543" s="1"/>
      <c r="Q543" s="1"/>
      <c r="R543" s="1"/>
      <c r="S543" s="1"/>
      <c r="T543" s="1"/>
      <c r="U543" s="1" t="s">
        <v>9727</v>
      </c>
      <c r="V543" s="1" t="s">
        <v>9728</v>
      </c>
      <c r="W543" s="1" t="s">
        <v>9729</v>
      </c>
      <c r="X543" s="1" t="s">
        <v>5310</v>
      </c>
      <c r="Y543" s="1" t="s">
        <v>9730</v>
      </c>
      <c r="Z543" s="1" t="s">
        <v>9731</v>
      </c>
      <c r="AA543" s="1" t="s">
        <v>6571</v>
      </c>
      <c r="AB543" s="1" t="s">
        <v>9732</v>
      </c>
      <c r="AC543" s="1" t="s">
        <v>9733</v>
      </c>
      <c r="AD543" s="1" t="s">
        <v>9734</v>
      </c>
      <c r="AE543" s="1" t="s">
        <v>9735</v>
      </c>
      <c r="AF543" s="1"/>
      <c r="AG543" s="1" t="n">
        <v>36</v>
      </c>
      <c r="AH543" s="1" t="n">
        <v>2</v>
      </c>
      <c r="AI543" s="1" t="n">
        <v>2</v>
      </c>
      <c r="AJ543" s="1" t="n">
        <v>0</v>
      </c>
      <c r="AK543" s="1" t="n">
        <v>9</v>
      </c>
      <c r="AL543" s="1" t="s">
        <v>9736</v>
      </c>
      <c r="AM543" s="1" t="s">
        <v>1908</v>
      </c>
      <c r="AN543" s="1" t="s">
        <v>9737</v>
      </c>
      <c r="AO543" s="1" t="s">
        <v>9738</v>
      </c>
      <c r="AP543" s="1" t="s">
        <v>9739</v>
      </c>
      <c r="AQ543" s="1"/>
      <c r="AR543" s="1" t="s">
        <v>9740</v>
      </c>
      <c r="AS543" s="1" t="s">
        <v>9741</v>
      </c>
      <c r="AT543" s="1" t="s">
        <v>9742</v>
      </c>
      <c r="AU543" s="1" t="n">
        <v>2021</v>
      </c>
      <c r="AV543" s="1" t="n">
        <v>2021</v>
      </c>
      <c r="AW543" s="1"/>
      <c r="AX543" s="1"/>
      <c r="AY543" s="1"/>
      <c r="AZ543" s="1"/>
      <c r="BA543" s="1"/>
      <c r="BB543" s="1"/>
      <c r="BC543" s="1"/>
      <c r="BD543" s="1" t="n">
        <v>6692390</v>
      </c>
      <c r="BE543" s="1" t="s">
        <v>9743</v>
      </c>
      <c r="BF543" s="1" t="str">
        <f aca="false">HYPERLINK("http://dx.doi.org/10.1155/2021/6692390","http://dx.doi.org/10.1155/2021/6692390")</f>
        <v>http://dx.doi.org/10.1155/2021/6692390</v>
      </c>
      <c r="BG543" s="1"/>
      <c r="BH543" s="1"/>
      <c r="BI543" s="1" t="n">
        <v>11</v>
      </c>
      <c r="BJ543" s="1" t="s">
        <v>1117</v>
      </c>
      <c r="BK543" s="1" t="s">
        <v>204</v>
      </c>
      <c r="BL543" s="1" t="s">
        <v>1118</v>
      </c>
      <c r="BM543" s="1" t="s">
        <v>9744</v>
      </c>
      <c r="BN543" s="1"/>
      <c r="BO543" s="1" t="s">
        <v>612</v>
      </c>
      <c r="BP543" s="1"/>
      <c r="BQ543" s="1"/>
      <c r="BR543" s="1" t="s">
        <v>103</v>
      </c>
      <c r="BS543" s="1" t="s">
        <v>9745</v>
      </c>
      <c r="BT543" s="1" t="str">
        <f aca="false">HYPERLINK("https%3A%2F%2Fwww.webofscience.com%2Fwos%2Fwoscc%2Ffull-record%2FWOS:000691119100005","View Full Record in Web of Science")</f>
        <v>View Full Record in Web of Science</v>
      </c>
    </row>
    <row r="544" customFormat="false" ht="12.75" hidden="false" customHeight="false" outlineLevel="0" collapsed="false">
      <c r="A544" s="1" t="s">
        <v>181</v>
      </c>
      <c r="B544" s="1" t="s">
        <v>9746</v>
      </c>
      <c r="C544" s="1"/>
      <c r="D544" s="1"/>
      <c r="E544" s="1"/>
      <c r="F544" s="1" t="s">
        <v>9747</v>
      </c>
      <c r="G544" s="1"/>
      <c r="H544" s="1"/>
      <c r="I544" s="1" t="s">
        <v>9748</v>
      </c>
      <c r="J544" s="1" t="s">
        <v>9749</v>
      </c>
      <c r="K544" s="1"/>
      <c r="L544" s="1"/>
      <c r="M544" s="1" t="s">
        <v>78</v>
      </c>
      <c r="N544" s="1" t="s">
        <v>186</v>
      </c>
      <c r="O544" s="1"/>
      <c r="P544" s="1"/>
      <c r="Q544" s="1"/>
      <c r="R544" s="1"/>
      <c r="S544" s="1"/>
      <c r="T544" s="1" t="s">
        <v>9750</v>
      </c>
      <c r="U544" s="1" t="s">
        <v>9751</v>
      </c>
      <c r="V544" s="1" t="s">
        <v>9752</v>
      </c>
      <c r="W544" s="1" t="s">
        <v>9753</v>
      </c>
      <c r="X544" s="1" t="s">
        <v>9754</v>
      </c>
      <c r="Y544" s="1" t="s">
        <v>9755</v>
      </c>
      <c r="Z544" s="1" t="s">
        <v>9756</v>
      </c>
      <c r="AA544" s="1" t="s">
        <v>9757</v>
      </c>
      <c r="AB544" s="1" t="s">
        <v>9758</v>
      </c>
      <c r="AC544" s="1"/>
      <c r="AD544" s="1"/>
      <c r="AE544" s="1"/>
      <c r="AF544" s="1"/>
      <c r="AG544" s="1" t="n">
        <v>66</v>
      </c>
      <c r="AH544" s="1" t="n">
        <v>10</v>
      </c>
      <c r="AI544" s="1" t="n">
        <v>10</v>
      </c>
      <c r="AJ544" s="1" t="n">
        <v>2</v>
      </c>
      <c r="AK544" s="1" t="n">
        <v>20</v>
      </c>
      <c r="AL544" s="1" t="s">
        <v>9516</v>
      </c>
      <c r="AM544" s="1" t="s">
        <v>5128</v>
      </c>
      <c r="AN544" s="1" t="s">
        <v>9517</v>
      </c>
      <c r="AO544" s="1" t="s">
        <v>9759</v>
      </c>
      <c r="AP544" s="1" t="s">
        <v>9760</v>
      </c>
      <c r="AQ544" s="1"/>
      <c r="AR544" s="1" t="s">
        <v>9761</v>
      </c>
      <c r="AS544" s="1" t="s">
        <v>9762</v>
      </c>
      <c r="AT544" s="1" t="s">
        <v>754</v>
      </c>
      <c r="AU544" s="1" t="n">
        <v>2021</v>
      </c>
      <c r="AV544" s="1" t="n">
        <v>11</v>
      </c>
      <c r="AW544" s="1" t="n">
        <v>1</v>
      </c>
      <c r="AX544" s="1"/>
      <c r="AY544" s="1"/>
      <c r="AZ544" s="1"/>
      <c r="BA544" s="1"/>
      <c r="BB544" s="1" t="n">
        <v>113</v>
      </c>
      <c r="BC544" s="1" t="n">
        <v>132</v>
      </c>
      <c r="BD544" s="1"/>
      <c r="BE544" s="1" t="s">
        <v>9763</v>
      </c>
      <c r="BF544" s="1" t="str">
        <f aca="false">HYPERLINK("http://dx.doi.org/10.2478/bjes-2021-0008","http://dx.doi.org/10.2478/bjes-2021-0008")</f>
        <v>http://dx.doi.org/10.2478/bjes-2021-0008</v>
      </c>
      <c r="BG544" s="1"/>
      <c r="BH544" s="1"/>
      <c r="BI544" s="1" t="n">
        <v>20</v>
      </c>
      <c r="BJ544" s="1" t="s">
        <v>9764</v>
      </c>
      <c r="BK544" s="1" t="s">
        <v>253</v>
      </c>
      <c r="BL544" s="1" t="s">
        <v>9765</v>
      </c>
      <c r="BM544" s="1" t="s">
        <v>9766</v>
      </c>
      <c r="BN544" s="1"/>
      <c r="BO544" s="1" t="s">
        <v>376</v>
      </c>
      <c r="BP544" s="1"/>
      <c r="BQ544" s="1"/>
      <c r="BR544" s="1" t="s">
        <v>103</v>
      </c>
      <c r="BS544" s="1" t="s">
        <v>9767</v>
      </c>
      <c r="BT544" s="1" t="str">
        <f aca="false">HYPERLINK("https%3A%2F%2Fwww.webofscience.com%2Fwos%2Fwoscc%2Ffull-record%2FWOS:000884551800008","View Full Record in Web of Science")</f>
        <v>View Full Record in Web of Science</v>
      </c>
    </row>
    <row r="545" customFormat="false" ht="12.75" hidden="false" customHeight="false" outlineLevel="0" collapsed="false">
      <c r="A545" s="1" t="s">
        <v>181</v>
      </c>
      <c r="B545" s="1" t="s">
        <v>9768</v>
      </c>
      <c r="C545" s="1"/>
      <c r="D545" s="1"/>
      <c r="E545" s="1"/>
      <c r="F545" s="1" t="s">
        <v>9769</v>
      </c>
      <c r="G545" s="1"/>
      <c r="H545" s="1"/>
      <c r="I545" s="1" t="s">
        <v>9770</v>
      </c>
      <c r="J545" s="1" t="s">
        <v>406</v>
      </c>
      <c r="K545" s="1"/>
      <c r="L545" s="1"/>
      <c r="M545" s="1" t="s">
        <v>78</v>
      </c>
      <c r="N545" s="1" t="s">
        <v>186</v>
      </c>
      <c r="O545" s="1"/>
      <c r="P545" s="1"/>
      <c r="Q545" s="1"/>
      <c r="R545" s="1"/>
      <c r="S545" s="1"/>
      <c r="T545" s="1" t="s">
        <v>9771</v>
      </c>
      <c r="U545" s="1"/>
      <c r="V545" s="1" t="s">
        <v>9772</v>
      </c>
      <c r="W545" s="1" t="s">
        <v>9773</v>
      </c>
      <c r="X545" s="1" t="s">
        <v>6264</v>
      </c>
      <c r="Y545" s="1" t="s">
        <v>9774</v>
      </c>
      <c r="Z545" s="1" t="s">
        <v>9775</v>
      </c>
      <c r="AA545" s="1" t="s">
        <v>9776</v>
      </c>
      <c r="AB545" s="1" t="s">
        <v>9777</v>
      </c>
      <c r="AC545" s="1"/>
      <c r="AD545" s="1"/>
      <c r="AE545" s="1"/>
      <c r="AF545" s="1"/>
      <c r="AG545" s="1" t="n">
        <v>29</v>
      </c>
      <c r="AH545" s="1" t="n">
        <v>12</v>
      </c>
      <c r="AI545" s="1" t="n">
        <v>12</v>
      </c>
      <c r="AJ545" s="1" t="n">
        <v>3</v>
      </c>
      <c r="AK545" s="1" t="n">
        <v>31</v>
      </c>
      <c r="AL545" s="1" t="s">
        <v>367</v>
      </c>
      <c r="AM545" s="1" t="s">
        <v>368</v>
      </c>
      <c r="AN545" s="1" t="s">
        <v>369</v>
      </c>
      <c r="AO545" s="1"/>
      <c r="AP545" s="1" t="s">
        <v>418</v>
      </c>
      <c r="AQ545" s="1"/>
      <c r="AR545" s="1" t="s">
        <v>419</v>
      </c>
      <c r="AS545" s="1" t="s">
        <v>420</v>
      </c>
      <c r="AT545" s="1" t="s">
        <v>372</v>
      </c>
      <c r="AU545" s="1" t="n">
        <v>2020</v>
      </c>
      <c r="AV545" s="1" t="n">
        <v>17</v>
      </c>
      <c r="AW545" s="1" t="n">
        <v>23</v>
      </c>
      <c r="AX545" s="1"/>
      <c r="AY545" s="1"/>
      <c r="AZ545" s="1"/>
      <c r="BA545" s="1"/>
      <c r="BB545" s="1"/>
      <c r="BC545" s="1"/>
      <c r="BD545" s="1" t="n">
        <v>9050</v>
      </c>
      <c r="BE545" s="1" t="s">
        <v>9778</v>
      </c>
      <c r="BF545" s="1" t="str">
        <f aca="false">HYPERLINK("http://dx.doi.org/10.3390/ijerph17239050","http://dx.doi.org/10.3390/ijerph17239050")</f>
        <v>http://dx.doi.org/10.3390/ijerph17239050</v>
      </c>
      <c r="BG545" s="1"/>
      <c r="BH545" s="1"/>
      <c r="BI545" s="1" t="n">
        <v>11</v>
      </c>
      <c r="BJ545" s="1" t="s">
        <v>423</v>
      </c>
      <c r="BK545" s="1" t="s">
        <v>398</v>
      </c>
      <c r="BL545" s="1" t="s">
        <v>424</v>
      </c>
      <c r="BM545" s="1" t="s">
        <v>9779</v>
      </c>
      <c r="BN545" s="1" t="n">
        <v>33291654</v>
      </c>
      <c r="BO545" s="1" t="s">
        <v>401</v>
      </c>
      <c r="BP545" s="1"/>
      <c r="BQ545" s="1"/>
      <c r="BR545" s="1" t="s">
        <v>103</v>
      </c>
      <c r="BS545" s="1" t="s">
        <v>9780</v>
      </c>
      <c r="BT545" s="1" t="str">
        <f aca="false">HYPERLINK("https%3A%2F%2Fwww.webofscience.com%2Fwos%2Fwoscc%2Ffull-record%2FWOS:000597931800001","View Full Record in Web of Science")</f>
        <v>View Full Record in Web of Science</v>
      </c>
    </row>
    <row r="546" customFormat="false" ht="12.75" hidden="false" customHeight="false" outlineLevel="0" collapsed="false">
      <c r="A546" s="1" t="s">
        <v>181</v>
      </c>
      <c r="B546" s="1" t="s">
        <v>9781</v>
      </c>
      <c r="C546" s="1"/>
      <c r="D546" s="1"/>
      <c r="E546" s="1"/>
      <c r="F546" s="1" t="s">
        <v>9782</v>
      </c>
      <c r="G546" s="1"/>
      <c r="H546" s="1"/>
      <c r="I546" s="1" t="s">
        <v>9783</v>
      </c>
      <c r="J546" s="1" t="s">
        <v>9784</v>
      </c>
      <c r="K546" s="1"/>
      <c r="L546" s="1"/>
      <c r="M546" s="1" t="s">
        <v>78</v>
      </c>
      <c r="N546" s="1" t="s">
        <v>618</v>
      </c>
      <c r="O546" s="1"/>
      <c r="P546" s="1"/>
      <c r="Q546" s="1"/>
      <c r="R546" s="1"/>
      <c r="S546" s="1"/>
      <c r="T546" s="1" t="s">
        <v>9785</v>
      </c>
      <c r="U546" s="1" t="s">
        <v>9786</v>
      </c>
      <c r="V546" s="1" t="s">
        <v>9787</v>
      </c>
      <c r="W546" s="1" t="s">
        <v>9788</v>
      </c>
      <c r="X546" s="1" t="s">
        <v>6264</v>
      </c>
      <c r="Y546" s="1" t="s">
        <v>9789</v>
      </c>
      <c r="Z546" s="1" t="s">
        <v>9790</v>
      </c>
      <c r="AA546" s="1" t="s">
        <v>9791</v>
      </c>
      <c r="AB546" s="1" t="s">
        <v>9792</v>
      </c>
      <c r="AC546" s="1" t="s">
        <v>9793</v>
      </c>
      <c r="AD546" s="1" t="s">
        <v>9793</v>
      </c>
      <c r="AE546" s="1" t="s">
        <v>9794</v>
      </c>
      <c r="AF546" s="1"/>
      <c r="AG546" s="1" t="n">
        <v>44</v>
      </c>
      <c r="AH546" s="1" t="n">
        <v>0</v>
      </c>
      <c r="AI546" s="1" t="n">
        <v>0</v>
      </c>
      <c r="AJ546" s="1" t="n">
        <v>1</v>
      </c>
      <c r="AK546" s="1" t="n">
        <v>4</v>
      </c>
      <c r="AL546" s="1" t="s">
        <v>1355</v>
      </c>
      <c r="AM546" s="1" t="s">
        <v>1356</v>
      </c>
      <c r="AN546" s="1" t="s">
        <v>1357</v>
      </c>
      <c r="AO546" s="1" t="s">
        <v>9795</v>
      </c>
      <c r="AP546" s="1" t="s">
        <v>9796</v>
      </c>
      <c r="AQ546" s="1"/>
      <c r="AR546" s="1" t="s">
        <v>9797</v>
      </c>
      <c r="AS546" s="1" t="s">
        <v>9798</v>
      </c>
      <c r="AT546" s="1" t="s">
        <v>537</v>
      </c>
      <c r="AU546" s="1" t="n">
        <v>2025</v>
      </c>
      <c r="AV546" s="1" t="n">
        <v>41</v>
      </c>
      <c r="AW546" s="1" t="n">
        <v>1</v>
      </c>
      <c r="AX546" s="1"/>
      <c r="AY546" s="1"/>
      <c r="AZ546" s="1"/>
      <c r="BA546" s="1"/>
      <c r="BB546" s="1" t="n">
        <v>104</v>
      </c>
      <c r="BC546" s="1" t="n">
        <v>113</v>
      </c>
      <c r="BD546" s="1"/>
      <c r="BE546" s="1" t="s">
        <v>9799</v>
      </c>
      <c r="BF546" s="1" t="str">
        <f aca="false">HYPERLINK("http://dx.doi.org/10.1177/10598405241245029","http://dx.doi.org/10.1177/10598405241245029")</f>
        <v>http://dx.doi.org/10.1177/10598405241245029</v>
      </c>
      <c r="BG546" s="1"/>
      <c r="BH546" s="1" t="s">
        <v>2275</v>
      </c>
      <c r="BI546" s="1" t="n">
        <v>10</v>
      </c>
      <c r="BJ546" s="1" t="s">
        <v>609</v>
      </c>
      <c r="BK546" s="1" t="s">
        <v>398</v>
      </c>
      <c r="BL546" s="1" t="s">
        <v>609</v>
      </c>
      <c r="BM546" s="1" t="s">
        <v>9800</v>
      </c>
      <c r="BN546" s="1" t="n">
        <v>38594954</v>
      </c>
      <c r="BO546" s="1" t="s">
        <v>612</v>
      </c>
      <c r="BP546" s="1"/>
      <c r="BQ546" s="1"/>
      <c r="BR546" s="1" t="s">
        <v>103</v>
      </c>
      <c r="BS546" s="1" t="s">
        <v>9801</v>
      </c>
      <c r="BT546" s="1" t="str">
        <f aca="false">HYPERLINK("https%3A%2F%2Fwww.webofscience.com%2Fwos%2Fwoscc%2Ffull-record%2FWOS:001199578100001","View Full Record in Web of Science")</f>
        <v>View Full Record in Web of Science</v>
      </c>
    </row>
    <row r="547" customFormat="false" ht="12.75" hidden="false" customHeight="false" outlineLevel="0" collapsed="false">
      <c r="A547" s="1" t="s">
        <v>181</v>
      </c>
      <c r="B547" s="1" t="s">
        <v>9802</v>
      </c>
      <c r="C547" s="1"/>
      <c r="D547" s="1"/>
      <c r="E547" s="1"/>
      <c r="F547" s="1" t="s">
        <v>9803</v>
      </c>
      <c r="G547" s="1"/>
      <c r="H547" s="1"/>
      <c r="I547" s="1" t="s">
        <v>9804</v>
      </c>
      <c r="J547" s="1" t="s">
        <v>1124</v>
      </c>
      <c r="K547" s="1"/>
      <c r="L547" s="1"/>
      <c r="M547" s="1" t="s">
        <v>78</v>
      </c>
      <c r="N547" s="1" t="s">
        <v>186</v>
      </c>
      <c r="O547" s="1"/>
      <c r="P547" s="1"/>
      <c r="Q547" s="1"/>
      <c r="R547" s="1"/>
      <c r="S547" s="1"/>
      <c r="T547" s="1" t="s">
        <v>9805</v>
      </c>
      <c r="U547" s="1" t="s">
        <v>9806</v>
      </c>
      <c r="V547" s="1" t="s">
        <v>9807</v>
      </c>
      <c r="W547" s="1" t="s">
        <v>9808</v>
      </c>
      <c r="X547" s="1" t="s">
        <v>86</v>
      </c>
      <c r="Y547" s="1" t="s">
        <v>9809</v>
      </c>
      <c r="Z547" s="1" t="s">
        <v>9810</v>
      </c>
      <c r="AA547" s="1"/>
      <c r="AB547" s="1"/>
      <c r="AC547" s="1" t="s">
        <v>9811</v>
      </c>
      <c r="AD547" s="1" t="s">
        <v>9811</v>
      </c>
      <c r="AE547" s="1" t="s">
        <v>9812</v>
      </c>
      <c r="AF547" s="1"/>
      <c r="AG547" s="1" t="n">
        <v>62</v>
      </c>
      <c r="AH547" s="1" t="n">
        <v>0</v>
      </c>
      <c r="AI547" s="1" t="n">
        <v>0</v>
      </c>
      <c r="AJ547" s="1" t="n">
        <v>1</v>
      </c>
      <c r="AK547" s="1" t="n">
        <v>2</v>
      </c>
      <c r="AL547" s="1" t="s">
        <v>679</v>
      </c>
      <c r="AM547" s="1" t="s">
        <v>680</v>
      </c>
      <c r="AN547" s="1" t="s">
        <v>681</v>
      </c>
      <c r="AO547" s="1" t="s">
        <v>1136</v>
      </c>
      <c r="AP547" s="1" t="s">
        <v>1137</v>
      </c>
      <c r="AQ547" s="1"/>
      <c r="AR547" s="1" t="s">
        <v>1138</v>
      </c>
      <c r="AS547" s="1" t="s">
        <v>1139</v>
      </c>
      <c r="AT547" s="1" t="s">
        <v>372</v>
      </c>
      <c r="AU547" s="1" t="n">
        <v>2023</v>
      </c>
      <c r="AV547" s="1" t="n">
        <v>31</v>
      </c>
      <c r="AW547" s="1" t="n">
        <v>4</v>
      </c>
      <c r="AX547" s="1"/>
      <c r="AY547" s="1"/>
      <c r="AZ547" s="1"/>
      <c r="BA547" s="1"/>
      <c r="BB547" s="1" t="n">
        <v>1527</v>
      </c>
      <c r="BC547" s="1" t="n">
        <v>1559</v>
      </c>
      <c r="BD547" s="1"/>
      <c r="BE547" s="1" t="s">
        <v>9813</v>
      </c>
      <c r="BF547" s="1" t="str">
        <f aca="false">HYPERLINK("http://dx.doi.org/10.1007/s11219-023-09650-4","http://dx.doi.org/10.1007/s11219-023-09650-4")</f>
        <v>http://dx.doi.org/10.1007/s11219-023-09650-4</v>
      </c>
      <c r="BG547" s="1"/>
      <c r="BH547" s="1" t="s">
        <v>2672</v>
      </c>
      <c r="BI547" s="1" t="n">
        <v>33</v>
      </c>
      <c r="BJ547" s="1" t="s">
        <v>252</v>
      </c>
      <c r="BK547" s="1" t="s">
        <v>204</v>
      </c>
      <c r="BL547" s="1" t="s">
        <v>101</v>
      </c>
      <c r="BM547" s="1" t="s">
        <v>9814</v>
      </c>
      <c r="BN547" s="1"/>
      <c r="BO547" s="1" t="s">
        <v>282</v>
      </c>
      <c r="BP547" s="1"/>
      <c r="BQ547" s="1"/>
      <c r="BR547" s="1" t="s">
        <v>103</v>
      </c>
      <c r="BS547" s="1" t="s">
        <v>9815</v>
      </c>
      <c r="BT547" s="1" t="str">
        <f aca="false">HYPERLINK("https%3A%2F%2Fwww.webofscience.com%2Fwos%2Fwoscc%2Ffull-record%2FWOS:001084224100001","View Full Record in Web of Science")</f>
        <v>View Full Record in Web of Science</v>
      </c>
    </row>
    <row r="548" customFormat="false" ht="12.75" hidden="false" customHeight="false" outlineLevel="0" collapsed="false">
      <c r="A548" s="1" t="s">
        <v>181</v>
      </c>
      <c r="B548" s="1" t="s">
        <v>9816</v>
      </c>
      <c r="C548" s="1"/>
      <c r="D548" s="1"/>
      <c r="E548" s="1"/>
      <c r="F548" s="1" t="s">
        <v>9817</v>
      </c>
      <c r="G548" s="1"/>
      <c r="H548" s="1"/>
      <c r="I548" s="1" t="s">
        <v>9818</v>
      </c>
      <c r="J548" s="1" t="s">
        <v>9819</v>
      </c>
      <c r="K548" s="1"/>
      <c r="L548" s="1"/>
      <c r="M548" s="1" t="s">
        <v>78</v>
      </c>
      <c r="N548" s="1" t="s">
        <v>186</v>
      </c>
      <c r="O548" s="1"/>
      <c r="P548" s="1"/>
      <c r="Q548" s="1"/>
      <c r="R548" s="1"/>
      <c r="S548" s="1"/>
      <c r="T548" s="1" t="s">
        <v>9820</v>
      </c>
      <c r="U548" s="1"/>
      <c r="V548" s="1" t="s">
        <v>9821</v>
      </c>
      <c r="W548" s="1" t="s">
        <v>9822</v>
      </c>
      <c r="X548" s="1" t="s">
        <v>4920</v>
      </c>
      <c r="Y548" s="1" t="s">
        <v>9823</v>
      </c>
      <c r="Z548" s="1" t="s">
        <v>9824</v>
      </c>
      <c r="AA548" s="1" t="s">
        <v>5981</v>
      </c>
      <c r="AB548" s="1"/>
      <c r="AC548" s="1"/>
      <c r="AD548" s="1"/>
      <c r="AE548" s="1"/>
      <c r="AF548" s="1"/>
      <c r="AG548" s="1" t="n">
        <v>41</v>
      </c>
      <c r="AH548" s="1" t="n">
        <v>4</v>
      </c>
      <c r="AI548" s="1" t="n">
        <v>4</v>
      </c>
      <c r="AJ548" s="1" t="n">
        <v>1</v>
      </c>
      <c r="AK548" s="1" t="n">
        <v>10</v>
      </c>
      <c r="AL548" s="1" t="s">
        <v>679</v>
      </c>
      <c r="AM548" s="1" t="s">
        <v>95</v>
      </c>
      <c r="AN548" s="1" t="s">
        <v>803</v>
      </c>
      <c r="AO548" s="1" t="s">
        <v>9825</v>
      </c>
      <c r="AP548" s="1" t="s">
        <v>9826</v>
      </c>
      <c r="AQ548" s="1"/>
      <c r="AR548" s="1" t="s">
        <v>9827</v>
      </c>
      <c r="AS548" s="1" t="s">
        <v>9828</v>
      </c>
      <c r="AT548" s="1" t="s">
        <v>2698</v>
      </c>
      <c r="AU548" s="1" t="n">
        <v>2024</v>
      </c>
      <c r="AV548" s="1" t="n">
        <v>27</v>
      </c>
      <c r="AW548" s="1" t="n">
        <v>3</v>
      </c>
      <c r="AX548" s="1"/>
      <c r="AY548" s="1"/>
      <c r="AZ548" s="1"/>
      <c r="BA548" s="1"/>
      <c r="BB548" s="1" t="n">
        <v>3203</v>
      </c>
      <c r="BC548" s="1" t="n">
        <v>3218</v>
      </c>
      <c r="BD548" s="1"/>
      <c r="BE548" s="1" t="s">
        <v>9829</v>
      </c>
      <c r="BF548" s="1" t="str">
        <f aca="false">HYPERLINK("http://dx.doi.org/10.1007/s10586-023-04145-0","http://dx.doi.org/10.1007/s10586-023-04145-0")</f>
        <v>http://dx.doi.org/10.1007/s10586-023-04145-0</v>
      </c>
      <c r="BG548" s="1"/>
      <c r="BH548" s="1" t="s">
        <v>6154</v>
      </c>
      <c r="BI548" s="1" t="n">
        <v>16</v>
      </c>
      <c r="BJ548" s="1" t="s">
        <v>4703</v>
      </c>
      <c r="BK548" s="1" t="s">
        <v>204</v>
      </c>
      <c r="BL548" s="1" t="s">
        <v>101</v>
      </c>
      <c r="BM548" s="1" t="s">
        <v>9830</v>
      </c>
      <c r="BN548" s="1"/>
      <c r="BO548" s="1"/>
      <c r="BP548" s="1"/>
      <c r="BQ548" s="1"/>
      <c r="BR548" s="1" t="s">
        <v>103</v>
      </c>
      <c r="BS548" s="1" t="s">
        <v>9831</v>
      </c>
      <c r="BT548" s="1" t="str">
        <f aca="false">HYPERLINK("https%3A%2F%2Fwww.webofscience.com%2Fwos%2Fwoscc%2Ffull-record%2FWOS:001196291000001","View Full Record in Web of Science")</f>
        <v>View Full Record in Web of Science</v>
      </c>
    </row>
    <row r="549" customFormat="false" ht="12.75" hidden="false" customHeight="false" outlineLevel="0" collapsed="false">
      <c r="A549" s="1" t="s">
        <v>181</v>
      </c>
      <c r="B549" s="1" t="s">
        <v>9832</v>
      </c>
      <c r="C549" s="1"/>
      <c r="D549" s="1"/>
      <c r="E549" s="1"/>
      <c r="F549" s="1" t="s">
        <v>9833</v>
      </c>
      <c r="G549" s="1"/>
      <c r="H549" s="1"/>
      <c r="I549" s="1" t="s">
        <v>9834</v>
      </c>
      <c r="J549" s="1" t="s">
        <v>381</v>
      </c>
      <c r="K549" s="1"/>
      <c r="L549" s="1"/>
      <c r="M549" s="1" t="s">
        <v>78</v>
      </c>
      <c r="N549" s="1" t="s">
        <v>186</v>
      </c>
      <c r="O549" s="1"/>
      <c r="P549" s="1"/>
      <c r="Q549" s="1"/>
      <c r="R549" s="1"/>
      <c r="S549" s="1"/>
      <c r="T549" s="1" t="s">
        <v>9835</v>
      </c>
      <c r="U549" s="1" t="s">
        <v>9836</v>
      </c>
      <c r="V549" s="1" t="s">
        <v>9837</v>
      </c>
      <c r="W549" s="1" t="s">
        <v>9838</v>
      </c>
      <c r="X549" s="1" t="s">
        <v>9839</v>
      </c>
      <c r="Y549" s="1" t="s">
        <v>9840</v>
      </c>
      <c r="Z549" s="1" t="s">
        <v>9841</v>
      </c>
      <c r="AA549" s="1" t="s">
        <v>9842</v>
      </c>
      <c r="AB549" s="1" t="s">
        <v>9843</v>
      </c>
      <c r="AC549" s="1"/>
      <c r="AD549" s="1"/>
      <c r="AE549" s="1"/>
      <c r="AF549" s="1"/>
      <c r="AG549" s="1" t="n">
        <v>80</v>
      </c>
      <c r="AH549" s="1" t="n">
        <v>56</v>
      </c>
      <c r="AI549" s="1" t="n">
        <v>56</v>
      </c>
      <c r="AJ549" s="1" t="n">
        <v>11</v>
      </c>
      <c r="AK549" s="1" t="n">
        <v>67</v>
      </c>
      <c r="AL549" s="1" t="s">
        <v>367</v>
      </c>
      <c r="AM549" s="1" t="s">
        <v>368</v>
      </c>
      <c r="AN549" s="1" t="s">
        <v>369</v>
      </c>
      <c r="AO549" s="1"/>
      <c r="AP549" s="1" t="s">
        <v>393</v>
      </c>
      <c r="AQ549" s="1"/>
      <c r="AR549" s="1" t="s">
        <v>394</v>
      </c>
      <c r="AS549" s="1" t="s">
        <v>395</v>
      </c>
      <c r="AT549" s="1" t="s">
        <v>1453</v>
      </c>
      <c r="AU549" s="1" t="n">
        <v>2021</v>
      </c>
      <c r="AV549" s="1" t="n">
        <v>13</v>
      </c>
      <c r="AW549" s="1" t="n">
        <v>2</v>
      </c>
      <c r="AX549" s="1"/>
      <c r="AY549" s="1"/>
      <c r="AZ549" s="1"/>
      <c r="BA549" s="1"/>
      <c r="BB549" s="1"/>
      <c r="BC549" s="1"/>
      <c r="BD549" s="1" t="n">
        <v>943</v>
      </c>
      <c r="BE549" s="1" t="s">
        <v>9844</v>
      </c>
      <c r="BF549" s="1" t="str">
        <f aca="false">HYPERLINK("http://dx.doi.org/10.3390/su13020943","http://dx.doi.org/10.3390/su13020943")</f>
        <v>http://dx.doi.org/10.3390/su13020943</v>
      </c>
      <c r="BG549" s="1"/>
      <c r="BH549" s="1"/>
      <c r="BI549" s="1" t="n">
        <v>20</v>
      </c>
      <c r="BJ549" s="1" t="s">
        <v>397</v>
      </c>
      <c r="BK549" s="1" t="s">
        <v>398</v>
      </c>
      <c r="BL549" s="1" t="s">
        <v>399</v>
      </c>
      <c r="BM549" s="1" t="s">
        <v>9845</v>
      </c>
      <c r="BN549" s="1"/>
      <c r="BO549" s="1" t="s">
        <v>6278</v>
      </c>
      <c r="BP549" s="1"/>
      <c r="BQ549" s="1"/>
      <c r="BR549" s="1" t="s">
        <v>103</v>
      </c>
      <c r="BS549" s="1" t="s">
        <v>9846</v>
      </c>
      <c r="BT549" s="1" t="str">
        <f aca="false">HYPERLINK("https%3A%2F%2Fwww.webofscience.com%2Fwos%2Fwoscc%2Ffull-record%2FWOS:000611777900001","View Full Record in Web of Science")</f>
        <v>View Full Record in Web of Science</v>
      </c>
    </row>
    <row r="550" customFormat="false" ht="12.75" hidden="false" customHeight="false" outlineLevel="0" collapsed="false">
      <c r="A550" s="1" t="s">
        <v>72</v>
      </c>
      <c r="B550" s="1" t="s">
        <v>9847</v>
      </c>
      <c r="C550" s="1"/>
      <c r="D550" s="1" t="s">
        <v>9848</v>
      </c>
      <c r="E550" s="1"/>
      <c r="F550" s="1" t="s">
        <v>9849</v>
      </c>
      <c r="G550" s="1"/>
      <c r="H550" s="1"/>
      <c r="I550" s="1" t="s">
        <v>9850</v>
      </c>
      <c r="J550" s="1" t="s">
        <v>9851</v>
      </c>
      <c r="K550" s="1" t="s">
        <v>4236</v>
      </c>
      <c r="L550" s="1"/>
      <c r="M550" s="1" t="s">
        <v>78</v>
      </c>
      <c r="N550" s="1" t="s">
        <v>79</v>
      </c>
      <c r="O550" s="1" t="s">
        <v>9852</v>
      </c>
      <c r="P550" s="1" t="s">
        <v>9853</v>
      </c>
      <c r="Q550" s="1" t="s">
        <v>320</v>
      </c>
      <c r="R550" s="1" t="s">
        <v>4239</v>
      </c>
      <c r="S550" s="1"/>
      <c r="T550" s="1" t="s">
        <v>9854</v>
      </c>
      <c r="U550" s="1"/>
      <c r="V550" s="1" t="s">
        <v>9855</v>
      </c>
      <c r="W550" s="1" t="s">
        <v>9856</v>
      </c>
      <c r="X550" s="1" t="s">
        <v>8195</v>
      </c>
      <c r="Y550" s="1" t="s">
        <v>9857</v>
      </c>
      <c r="Z550" s="1" t="s">
        <v>9858</v>
      </c>
      <c r="AA550" s="1" t="s">
        <v>9859</v>
      </c>
      <c r="AB550" s="1" t="s">
        <v>9860</v>
      </c>
      <c r="AC550" s="1" t="s">
        <v>9861</v>
      </c>
      <c r="AD550" s="1" t="s">
        <v>9862</v>
      </c>
      <c r="AE550" s="1" t="s">
        <v>9863</v>
      </c>
      <c r="AF550" s="1"/>
      <c r="AG550" s="1" t="n">
        <v>18</v>
      </c>
      <c r="AH550" s="1" t="n">
        <v>0</v>
      </c>
      <c r="AI550" s="1" t="n">
        <v>0</v>
      </c>
      <c r="AJ550" s="1" t="n">
        <v>0</v>
      </c>
      <c r="AK550" s="1" t="n">
        <v>2</v>
      </c>
      <c r="AL550" s="1" t="s">
        <v>4250</v>
      </c>
      <c r="AM550" s="1" t="s">
        <v>4251</v>
      </c>
      <c r="AN550" s="1" t="s">
        <v>4252</v>
      </c>
      <c r="AO550" s="1" t="s">
        <v>4253</v>
      </c>
      <c r="AP550" s="1" t="s">
        <v>4254</v>
      </c>
      <c r="AQ550" s="1" t="s">
        <v>9864</v>
      </c>
      <c r="AR550" s="1" t="s">
        <v>4256</v>
      </c>
      <c r="AS550" s="1"/>
      <c r="AT550" s="1"/>
      <c r="AU550" s="1" t="n">
        <v>2021</v>
      </c>
      <c r="AV550" s="1" t="n">
        <v>11862</v>
      </c>
      <c r="AW550" s="1"/>
      <c r="AX550" s="1"/>
      <c r="AY550" s="1"/>
      <c r="AZ550" s="1"/>
      <c r="BA550" s="1"/>
      <c r="BB550" s="1"/>
      <c r="BC550" s="1"/>
      <c r="BD550" s="1" t="s">
        <v>9865</v>
      </c>
      <c r="BE550" s="1" t="s">
        <v>9866</v>
      </c>
      <c r="BF550" s="1" t="str">
        <f aca="false">HYPERLINK("http://dx.doi.org/10.1117/12.2599952","http://dx.doi.org/10.1117/12.2599952")</f>
        <v>http://dx.doi.org/10.1117/12.2599952</v>
      </c>
      <c r="BG550" s="1"/>
      <c r="BH550" s="1"/>
      <c r="BI550" s="1" t="n">
        <v>9</v>
      </c>
      <c r="BJ550" s="1" t="s">
        <v>9867</v>
      </c>
      <c r="BK550" s="1" t="s">
        <v>100</v>
      </c>
      <c r="BL550" s="1" t="s">
        <v>9868</v>
      </c>
      <c r="BM550" s="1" t="s">
        <v>9869</v>
      </c>
      <c r="BN550" s="1"/>
      <c r="BO550" s="1" t="s">
        <v>227</v>
      </c>
      <c r="BP550" s="1"/>
      <c r="BQ550" s="1"/>
      <c r="BR550" s="1" t="s">
        <v>103</v>
      </c>
      <c r="BS550" s="1" t="s">
        <v>9870</v>
      </c>
      <c r="BT550" s="1" t="str">
        <f aca="false">HYPERLINK("https%3A%2F%2Fwww.webofscience.com%2Fwos%2Fwoscc%2Ffull-record%2FWOS:000759218100021","View Full Record in Web of Science")</f>
        <v>View Full Record in Web of Science</v>
      </c>
    </row>
    <row r="551" customFormat="false" ht="12.75" hidden="false" customHeight="false" outlineLevel="0" collapsed="false">
      <c r="A551" s="1" t="s">
        <v>181</v>
      </c>
      <c r="B551" s="1" t="s">
        <v>9871</v>
      </c>
      <c r="C551" s="1"/>
      <c r="D551" s="1"/>
      <c r="E551" s="1"/>
      <c r="F551" s="1" t="s">
        <v>9872</v>
      </c>
      <c r="G551" s="1"/>
      <c r="H551" s="1"/>
      <c r="I551" s="1" t="s">
        <v>9873</v>
      </c>
      <c r="J551" s="1" t="s">
        <v>9874</v>
      </c>
      <c r="K551" s="1"/>
      <c r="L551" s="1"/>
      <c r="M551" s="1" t="s">
        <v>78</v>
      </c>
      <c r="N551" s="1" t="s">
        <v>186</v>
      </c>
      <c r="O551" s="1"/>
      <c r="P551" s="1"/>
      <c r="Q551" s="1"/>
      <c r="R551" s="1"/>
      <c r="S551" s="1"/>
      <c r="T551" s="1" t="s">
        <v>9875</v>
      </c>
      <c r="U551" s="1" t="s">
        <v>9876</v>
      </c>
      <c r="V551" s="1" t="s">
        <v>9877</v>
      </c>
      <c r="W551" s="1" t="s">
        <v>9878</v>
      </c>
      <c r="X551" s="1" t="s">
        <v>6382</v>
      </c>
      <c r="Y551" s="1" t="s">
        <v>9879</v>
      </c>
      <c r="Z551" s="1" t="s">
        <v>9880</v>
      </c>
      <c r="AA551" s="1"/>
      <c r="AB551" s="1" t="s">
        <v>9881</v>
      </c>
      <c r="AC551" s="1" t="s">
        <v>9882</v>
      </c>
      <c r="AD551" s="1" t="s">
        <v>9882</v>
      </c>
      <c r="AE551" s="1" t="s">
        <v>9883</v>
      </c>
      <c r="AF551" s="1"/>
      <c r="AG551" s="1" t="n">
        <v>61</v>
      </c>
      <c r="AH551" s="1" t="n">
        <v>27</v>
      </c>
      <c r="AI551" s="1" t="n">
        <v>31</v>
      </c>
      <c r="AJ551" s="1" t="n">
        <v>5</v>
      </c>
      <c r="AK551" s="1" t="n">
        <v>33</v>
      </c>
      <c r="AL551" s="1" t="s">
        <v>893</v>
      </c>
      <c r="AM551" s="1" t="s">
        <v>894</v>
      </c>
      <c r="AN551" s="1" t="s">
        <v>895</v>
      </c>
      <c r="AO551" s="1" t="s">
        <v>9884</v>
      </c>
      <c r="AP551" s="1" t="s">
        <v>9885</v>
      </c>
      <c r="AQ551" s="1"/>
      <c r="AR551" s="1" t="s">
        <v>9886</v>
      </c>
      <c r="AS551" s="1" t="s">
        <v>9887</v>
      </c>
      <c r="AT551" s="1" t="s">
        <v>421</v>
      </c>
      <c r="AU551" s="1" t="n">
        <v>2020</v>
      </c>
      <c r="AV551" s="1" t="n">
        <v>123</v>
      </c>
      <c r="AW551" s="1"/>
      <c r="AX551" s="1"/>
      <c r="AY551" s="1"/>
      <c r="AZ551" s="1"/>
      <c r="BA551" s="1"/>
      <c r="BB551" s="1"/>
      <c r="BC551" s="1"/>
      <c r="BD551" s="1" t="n">
        <v>103386</v>
      </c>
      <c r="BE551" s="1" t="s">
        <v>9888</v>
      </c>
      <c r="BF551" s="1" t="str">
        <f aca="false">HYPERLINK("http://dx.doi.org/10.1016/j.euroecorev.2020.103386","http://dx.doi.org/10.1016/j.euroecorev.2020.103386")</f>
        <v>http://dx.doi.org/10.1016/j.euroecorev.2020.103386</v>
      </c>
      <c r="BG551" s="1"/>
      <c r="BH551" s="1"/>
      <c r="BI551" s="1" t="n">
        <v>16</v>
      </c>
      <c r="BJ551" s="1" t="s">
        <v>3680</v>
      </c>
      <c r="BK551" s="1" t="s">
        <v>610</v>
      </c>
      <c r="BL551" s="1" t="s">
        <v>715</v>
      </c>
      <c r="BM551" s="1" t="s">
        <v>9889</v>
      </c>
      <c r="BN551" s="1"/>
      <c r="BO551" s="1"/>
      <c r="BP551" s="1"/>
      <c r="BQ551" s="1"/>
      <c r="BR551" s="1" t="s">
        <v>103</v>
      </c>
      <c r="BS551" s="1" t="s">
        <v>9890</v>
      </c>
      <c r="BT551" s="1" t="str">
        <f aca="false">HYPERLINK("https%3A%2F%2Fwww.webofscience.com%2Fwos%2Fwoscc%2Ffull-record%2FWOS:000525404000010","View Full Record in Web of Science")</f>
        <v>View Full Record in Web of Science</v>
      </c>
    </row>
    <row r="552" customFormat="false" ht="12.75" hidden="false" customHeight="false" outlineLevel="0" collapsed="false">
      <c r="A552" s="1" t="s">
        <v>72</v>
      </c>
      <c r="B552" s="1" t="s">
        <v>9891</v>
      </c>
      <c r="C552" s="1"/>
      <c r="D552" s="1" t="s">
        <v>5262</v>
      </c>
      <c r="E552" s="1"/>
      <c r="F552" s="1" t="s">
        <v>9892</v>
      </c>
      <c r="G552" s="1"/>
      <c r="H552" s="1"/>
      <c r="I552" s="1" t="s">
        <v>9893</v>
      </c>
      <c r="J552" s="1" t="s">
        <v>5265</v>
      </c>
      <c r="K552" s="1" t="s">
        <v>5266</v>
      </c>
      <c r="L552" s="1"/>
      <c r="M552" s="1" t="s">
        <v>78</v>
      </c>
      <c r="N552" s="1" t="s">
        <v>79</v>
      </c>
      <c r="O552" s="1" t="s">
        <v>5267</v>
      </c>
      <c r="P552" s="1" t="s">
        <v>5268</v>
      </c>
      <c r="Q552" s="1" t="s">
        <v>5269</v>
      </c>
      <c r="R552" s="1" t="s">
        <v>5270</v>
      </c>
      <c r="S552" s="1"/>
      <c r="T552" s="1" t="s">
        <v>9894</v>
      </c>
      <c r="U552" s="1" t="s">
        <v>9895</v>
      </c>
      <c r="V552" s="1" t="s">
        <v>9896</v>
      </c>
      <c r="W552" s="1" t="s">
        <v>9897</v>
      </c>
      <c r="X552" s="1" t="s">
        <v>9898</v>
      </c>
      <c r="Y552" s="1" t="s">
        <v>9899</v>
      </c>
      <c r="Z552" s="1" t="s">
        <v>9900</v>
      </c>
      <c r="AA552" s="1" t="s">
        <v>9901</v>
      </c>
      <c r="AB552" s="1" t="s">
        <v>9902</v>
      </c>
      <c r="AC552" s="1" t="s">
        <v>9903</v>
      </c>
      <c r="AD552" s="1" t="s">
        <v>9904</v>
      </c>
      <c r="AE552" s="1" t="s">
        <v>9905</v>
      </c>
      <c r="AF552" s="1"/>
      <c r="AG552" s="1" t="n">
        <v>74</v>
      </c>
      <c r="AH552" s="1" t="n">
        <v>2</v>
      </c>
      <c r="AI552" s="1" t="n">
        <v>2</v>
      </c>
      <c r="AJ552" s="1" t="n">
        <v>0</v>
      </c>
      <c r="AK552" s="1" t="n">
        <v>0</v>
      </c>
      <c r="AL552" s="1" t="s">
        <v>94</v>
      </c>
      <c r="AM552" s="1" t="s">
        <v>95</v>
      </c>
      <c r="AN552" s="1" t="s">
        <v>96</v>
      </c>
      <c r="AO552" s="1" t="s">
        <v>5282</v>
      </c>
      <c r="AP552" s="1"/>
      <c r="AQ552" s="1" t="s">
        <v>5283</v>
      </c>
      <c r="AR552" s="1" t="s">
        <v>5284</v>
      </c>
      <c r="AS552" s="1"/>
      <c r="AT552" s="1"/>
      <c r="AU552" s="1" t="n">
        <v>2022</v>
      </c>
      <c r="AV552" s="1"/>
      <c r="AW552" s="1"/>
      <c r="AX552" s="1"/>
      <c r="AY552" s="1"/>
      <c r="AZ552" s="1"/>
      <c r="BA552" s="1"/>
      <c r="BB552" s="1" t="n">
        <v>125</v>
      </c>
      <c r="BC552" s="1" t="n">
        <v>136</v>
      </c>
      <c r="BD552" s="1"/>
      <c r="BE552" s="1" t="s">
        <v>9906</v>
      </c>
      <c r="BF552" s="1" t="str">
        <f aca="false">HYPERLINK("http://dx.doi.org/10.1145/3544902.3546243","http://dx.doi.org/10.1145/3544902.3546243")</f>
        <v>http://dx.doi.org/10.1145/3544902.3546243</v>
      </c>
      <c r="BG552" s="1"/>
      <c r="BH552" s="1"/>
      <c r="BI552" s="1" t="n">
        <v>12</v>
      </c>
      <c r="BJ552" s="1" t="s">
        <v>994</v>
      </c>
      <c r="BK552" s="1" t="s">
        <v>100</v>
      </c>
      <c r="BL552" s="1" t="s">
        <v>101</v>
      </c>
      <c r="BM552" s="1" t="s">
        <v>5286</v>
      </c>
      <c r="BN552" s="1"/>
      <c r="BO552" s="1" t="s">
        <v>227</v>
      </c>
      <c r="BP552" s="1"/>
      <c r="BQ552" s="1"/>
      <c r="BR552" s="1" t="s">
        <v>103</v>
      </c>
      <c r="BS552" s="1" t="s">
        <v>9907</v>
      </c>
      <c r="BT552" s="1" t="str">
        <f aca="false">HYPERLINK("https%3A%2F%2Fwww.webofscience.com%2Fwos%2Fwoscc%2Ffull-record%2FWOS:001139214400012","View Full Record in Web of Science")</f>
        <v>View Full Record in Web of Science</v>
      </c>
    </row>
    <row r="553" customFormat="false" ht="12.75" hidden="false" customHeight="false" outlineLevel="0" collapsed="false">
      <c r="A553" s="1" t="s">
        <v>181</v>
      </c>
      <c r="B553" s="1" t="s">
        <v>9908</v>
      </c>
      <c r="C553" s="1"/>
      <c r="D553" s="1"/>
      <c r="E553" s="1"/>
      <c r="F553" s="1" t="s">
        <v>9909</v>
      </c>
      <c r="G553" s="1"/>
      <c r="H553" s="1"/>
      <c r="I553" s="1" t="s">
        <v>9910</v>
      </c>
      <c r="J553" s="1" t="s">
        <v>9911</v>
      </c>
      <c r="K553" s="1"/>
      <c r="L553" s="1"/>
      <c r="M553" s="1" t="s">
        <v>78</v>
      </c>
      <c r="N553" s="1" t="s">
        <v>186</v>
      </c>
      <c r="O553" s="1"/>
      <c r="P553" s="1"/>
      <c r="Q553" s="1"/>
      <c r="R553" s="1"/>
      <c r="S553" s="1"/>
      <c r="T553" s="1" t="s">
        <v>9912</v>
      </c>
      <c r="U553" s="1" t="s">
        <v>9913</v>
      </c>
      <c r="V553" s="1" t="s">
        <v>9914</v>
      </c>
      <c r="W553" s="1" t="s">
        <v>9915</v>
      </c>
      <c r="X553" s="1" t="s">
        <v>9916</v>
      </c>
      <c r="Y553" s="1" t="s">
        <v>9917</v>
      </c>
      <c r="Z553" s="1" t="s">
        <v>9918</v>
      </c>
      <c r="AA553" s="1"/>
      <c r="AB553" s="1" t="s">
        <v>9919</v>
      </c>
      <c r="AC553" s="1" t="s">
        <v>9920</v>
      </c>
      <c r="AD553" s="1" t="s">
        <v>9920</v>
      </c>
      <c r="AE553" s="1" t="s">
        <v>9921</v>
      </c>
      <c r="AF553" s="1"/>
      <c r="AG553" s="1" t="n">
        <v>99</v>
      </c>
      <c r="AH553" s="1" t="n">
        <v>18</v>
      </c>
      <c r="AI553" s="1" t="n">
        <v>19</v>
      </c>
      <c r="AJ553" s="1" t="n">
        <v>8</v>
      </c>
      <c r="AK553" s="1" t="n">
        <v>36</v>
      </c>
      <c r="AL553" s="1" t="s">
        <v>5685</v>
      </c>
      <c r="AM553" s="1" t="s">
        <v>5686</v>
      </c>
      <c r="AN553" s="1" t="s">
        <v>5687</v>
      </c>
      <c r="AO553" s="1" t="s">
        <v>9922</v>
      </c>
      <c r="AP553" s="1" t="s">
        <v>9923</v>
      </c>
      <c r="AQ553" s="1"/>
      <c r="AR553" s="1" t="s">
        <v>9924</v>
      </c>
      <c r="AS553" s="1" t="s">
        <v>9925</v>
      </c>
      <c r="AT553" s="1" t="s">
        <v>9926</v>
      </c>
      <c r="AU553" s="1" t="n">
        <v>2020</v>
      </c>
      <c r="AV553" s="1" t="n">
        <v>17</v>
      </c>
      <c r="AW553" s="1" t="n">
        <v>4</v>
      </c>
      <c r="AX553" s="1"/>
      <c r="AY553" s="1"/>
      <c r="AZ553" s="1"/>
      <c r="BA553" s="1"/>
      <c r="BB553" s="1" t="n">
        <v>497</v>
      </c>
      <c r="BC553" s="1" t="n">
        <v>524</v>
      </c>
      <c r="BD553" s="1"/>
      <c r="BE553" s="1" t="s">
        <v>9927</v>
      </c>
      <c r="BF553" s="1" t="str">
        <f aca="false">HYPERLINK("http://dx.doi.org/10.1108/QRAM-02-2019-0042","http://dx.doi.org/10.1108/QRAM-02-2019-0042")</f>
        <v>http://dx.doi.org/10.1108/QRAM-02-2019-0042</v>
      </c>
      <c r="BG553" s="1"/>
      <c r="BH553" s="1" t="s">
        <v>810</v>
      </c>
      <c r="BI553" s="1" t="n">
        <v>28</v>
      </c>
      <c r="BJ553" s="1" t="s">
        <v>9928</v>
      </c>
      <c r="BK553" s="1" t="s">
        <v>610</v>
      </c>
      <c r="BL553" s="1" t="s">
        <v>715</v>
      </c>
      <c r="BM553" s="1" t="s">
        <v>9929</v>
      </c>
      <c r="BN553" s="1"/>
      <c r="BO553" s="1"/>
      <c r="BP553" s="1"/>
      <c r="BQ553" s="1"/>
      <c r="BR553" s="1" t="s">
        <v>103</v>
      </c>
      <c r="BS553" s="1" t="s">
        <v>9930</v>
      </c>
      <c r="BT553" s="1" t="str">
        <f aca="false">HYPERLINK("https%3A%2F%2Fwww.webofscience.com%2Fwos%2Fwoscc%2Ffull-record%2FWOS:000558247400001","View Full Record in Web of Science")</f>
        <v>View Full Record in Web of Science</v>
      </c>
    </row>
    <row r="554" customFormat="false" ht="12.75" hidden="false" customHeight="false" outlineLevel="0" collapsed="false">
      <c r="A554" s="1" t="s">
        <v>72</v>
      </c>
      <c r="B554" s="1" t="s">
        <v>9931</v>
      </c>
      <c r="C554" s="1"/>
      <c r="D554" s="1" t="s">
        <v>9932</v>
      </c>
      <c r="E554" s="1"/>
      <c r="F554" s="1" t="s">
        <v>9933</v>
      </c>
      <c r="G554" s="1"/>
      <c r="H554" s="1"/>
      <c r="I554" s="1" t="s">
        <v>9934</v>
      </c>
      <c r="J554" s="1" t="s">
        <v>9935</v>
      </c>
      <c r="K554" s="1" t="s">
        <v>976</v>
      </c>
      <c r="L554" s="1"/>
      <c r="M554" s="1" t="s">
        <v>78</v>
      </c>
      <c r="N554" s="1" t="s">
        <v>79</v>
      </c>
      <c r="O554" s="1" t="s">
        <v>9936</v>
      </c>
      <c r="P554" s="1" t="s">
        <v>9937</v>
      </c>
      <c r="Q554" s="1" t="s">
        <v>320</v>
      </c>
      <c r="R554" s="1"/>
      <c r="S554" s="1"/>
      <c r="T554" s="1" t="s">
        <v>9938</v>
      </c>
      <c r="U554" s="1" t="s">
        <v>9939</v>
      </c>
      <c r="V554" s="1" t="s">
        <v>9940</v>
      </c>
      <c r="W554" s="1" t="s">
        <v>9941</v>
      </c>
      <c r="X554" s="1" t="s">
        <v>9942</v>
      </c>
      <c r="Y554" s="1" t="s">
        <v>5395</v>
      </c>
      <c r="Z554" s="1" t="s">
        <v>9943</v>
      </c>
      <c r="AA554" s="1" t="s">
        <v>9944</v>
      </c>
      <c r="AB554" s="1" t="s">
        <v>5340</v>
      </c>
      <c r="AC554" s="1" t="s">
        <v>9945</v>
      </c>
      <c r="AD554" s="1" t="s">
        <v>9946</v>
      </c>
      <c r="AE554" s="1" t="s">
        <v>9947</v>
      </c>
      <c r="AF554" s="1"/>
      <c r="AG554" s="1" t="n">
        <v>38</v>
      </c>
      <c r="AH554" s="1" t="n">
        <v>14</v>
      </c>
      <c r="AI554" s="1" t="n">
        <v>16</v>
      </c>
      <c r="AJ554" s="1" t="n">
        <v>4</v>
      </c>
      <c r="AK554" s="1" t="n">
        <v>5</v>
      </c>
      <c r="AL554" s="1" t="s">
        <v>302</v>
      </c>
      <c r="AM554" s="1" t="s">
        <v>303</v>
      </c>
      <c r="AN554" s="1" t="s">
        <v>304</v>
      </c>
      <c r="AO554" s="1" t="s">
        <v>989</v>
      </c>
      <c r="AP554" s="1" t="s">
        <v>990</v>
      </c>
      <c r="AQ554" s="1" t="s">
        <v>9948</v>
      </c>
      <c r="AR554" s="1" t="s">
        <v>992</v>
      </c>
      <c r="AS554" s="1"/>
      <c r="AT554" s="1"/>
      <c r="AU554" s="1" t="n">
        <v>2020</v>
      </c>
      <c r="AV554" s="1" t="n">
        <v>12562</v>
      </c>
      <c r="AW554" s="1"/>
      <c r="AX554" s="1"/>
      <c r="AY554" s="1"/>
      <c r="AZ554" s="1"/>
      <c r="BA554" s="1"/>
      <c r="BB554" s="1" t="n">
        <v>385</v>
      </c>
      <c r="BC554" s="1" t="n">
        <v>401</v>
      </c>
      <c r="BD554" s="1"/>
      <c r="BE554" s="1" t="s">
        <v>9949</v>
      </c>
      <c r="BF554" s="1" t="str">
        <f aca="false">HYPERLINK("http://dx.doi.org/10.1007/978-3-030-64148-1_24","http://dx.doi.org/10.1007/978-3-030-64148-1_24")</f>
        <v>http://dx.doi.org/10.1007/978-3-030-64148-1_24</v>
      </c>
      <c r="BG554" s="1"/>
      <c r="BH554" s="1"/>
      <c r="BI554" s="1" t="n">
        <v>17</v>
      </c>
      <c r="BJ554" s="1" t="s">
        <v>994</v>
      </c>
      <c r="BK554" s="1" t="s">
        <v>100</v>
      </c>
      <c r="BL554" s="1" t="s">
        <v>101</v>
      </c>
      <c r="BM554" s="1" t="s">
        <v>9950</v>
      </c>
      <c r="BN554" s="1"/>
      <c r="BO554" s="1"/>
      <c r="BP554" s="1"/>
      <c r="BQ554" s="1"/>
      <c r="BR554" s="1" t="s">
        <v>103</v>
      </c>
      <c r="BS554" s="1" t="s">
        <v>9951</v>
      </c>
      <c r="BT554" s="1" t="str">
        <f aca="false">HYPERLINK("https%3A%2F%2Fwww.webofscience.com%2Fwos%2Fwoscc%2Ffull-record%2FWOS:000766320200024","View Full Record in Web of Science")</f>
        <v>View Full Record in Web of Science</v>
      </c>
    </row>
    <row r="555" customFormat="false" ht="12.75" hidden="false" customHeight="false" outlineLevel="0" collapsed="false">
      <c r="A555" s="1" t="s">
        <v>181</v>
      </c>
      <c r="B555" s="1" t="s">
        <v>9952</v>
      </c>
      <c r="C555" s="1"/>
      <c r="D555" s="1"/>
      <c r="E555" s="1"/>
      <c r="F555" s="1" t="s">
        <v>9953</v>
      </c>
      <c r="G555" s="1"/>
      <c r="H555" s="1"/>
      <c r="I555" s="1" t="s">
        <v>9954</v>
      </c>
      <c r="J555" s="1" t="s">
        <v>523</v>
      </c>
      <c r="K555" s="1"/>
      <c r="L555" s="1"/>
      <c r="M555" s="1" t="s">
        <v>78</v>
      </c>
      <c r="N555" s="1" t="s">
        <v>186</v>
      </c>
      <c r="O555" s="1"/>
      <c r="P555" s="1"/>
      <c r="Q555" s="1"/>
      <c r="R555" s="1"/>
      <c r="S555" s="1"/>
      <c r="T555" s="1" t="s">
        <v>9955</v>
      </c>
      <c r="U555" s="1" t="s">
        <v>9956</v>
      </c>
      <c r="V555" s="1" t="s">
        <v>9957</v>
      </c>
      <c r="W555" s="1" t="s">
        <v>9958</v>
      </c>
      <c r="X555" s="1" t="s">
        <v>9959</v>
      </c>
      <c r="Y555" s="1" t="s">
        <v>9960</v>
      </c>
      <c r="Z555" s="1" t="s">
        <v>9961</v>
      </c>
      <c r="AA555" s="1" t="s">
        <v>9962</v>
      </c>
      <c r="AB555" s="1" t="s">
        <v>9963</v>
      </c>
      <c r="AC555" s="1"/>
      <c r="AD555" s="1"/>
      <c r="AE555" s="1"/>
      <c r="AF555" s="1"/>
      <c r="AG555" s="1" t="n">
        <v>35</v>
      </c>
      <c r="AH555" s="1" t="n">
        <v>0</v>
      </c>
      <c r="AI555" s="1" t="n">
        <v>0</v>
      </c>
      <c r="AJ555" s="1" t="n">
        <v>4</v>
      </c>
      <c r="AK555" s="1" t="n">
        <v>4</v>
      </c>
      <c r="AL555" s="1" t="s">
        <v>367</v>
      </c>
      <c r="AM555" s="1" t="s">
        <v>368</v>
      </c>
      <c r="AN555" s="1" t="s">
        <v>8771</v>
      </c>
      <c r="AO555" s="1"/>
      <c r="AP555" s="1" t="s">
        <v>534</v>
      </c>
      <c r="AQ555" s="1"/>
      <c r="AR555" s="1" t="s">
        <v>535</v>
      </c>
      <c r="AS555" s="1" t="s">
        <v>536</v>
      </c>
      <c r="AT555" s="1" t="s">
        <v>1391</v>
      </c>
      <c r="AU555" s="1" t="n">
        <v>2024</v>
      </c>
      <c r="AV555" s="1" t="n">
        <v>14</v>
      </c>
      <c r="AW555" s="1" t="n">
        <v>21</v>
      </c>
      <c r="AX555" s="1"/>
      <c r="AY555" s="1"/>
      <c r="AZ555" s="1"/>
      <c r="BA555" s="1"/>
      <c r="BB555" s="1"/>
      <c r="BC555" s="1"/>
      <c r="BD555" s="1" t="n">
        <v>9909</v>
      </c>
      <c r="BE555" s="1" t="s">
        <v>9964</v>
      </c>
      <c r="BF555" s="1" t="str">
        <f aca="false">HYPERLINK("http://dx.doi.org/10.3390/app14219909","http://dx.doi.org/10.3390/app14219909")</f>
        <v>http://dx.doi.org/10.3390/app14219909</v>
      </c>
      <c r="BG555" s="1"/>
      <c r="BH555" s="1"/>
      <c r="BI555" s="1" t="n">
        <v>18</v>
      </c>
      <c r="BJ555" s="1" t="s">
        <v>539</v>
      </c>
      <c r="BK555" s="1" t="s">
        <v>204</v>
      </c>
      <c r="BL555" s="1" t="s">
        <v>540</v>
      </c>
      <c r="BM555" s="1" t="s">
        <v>9965</v>
      </c>
      <c r="BN555" s="1"/>
      <c r="BO555" s="1" t="s">
        <v>642</v>
      </c>
      <c r="BP555" s="1"/>
      <c r="BQ555" s="1"/>
      <c r="BR555" s="1" t="s">
        <v>103</v>
      </c>
      <c r="BS555" s="1" t="s">
        <v>9966</v>
      </c>
      <c r="BT555" s="1" t="str">
        <f aca="false">HYPERLINK("https%3A%2F%2Fwww.webofscience.com%2Fwos%2Fwoscc%2Ffull-record%2FWOS:001351100500001","View Full Record in Web of Science")</f>
        <v>View Full Record in Web of Science</v>
      </c>
    </row>
    <row r="556" customFormat="false" ht="12.75" hidden="false" customHeight="false" outlineLevel="0" collapsed="false">
      <c r="A556" s="1" t="s">
        <v>181</v>
      </c>
      <c r="B556" s="1" t="s">
        <v>9967</v>
      </c>
      <c r="C556" s="1"/>
      <c r="D556" s="1"/>
      <c r="E556" s="1"/>
      <c r="F556" s="1" t="s">
        <v>9968</v>
      </c>
      <c r="G556" s="1"/>
      <c r="H556" s="1"/>
      <c r="I556" s="1" t="s">
        <v>9969</v>
      </c>
      <c r="J556" s="1" t="s">
        <v>1921</v>
      </c>
      <c r="K556" s="1"/>
      <c r="L556" s="1"/>
      <c r="M556" s="1" t="s">
        <v>78</v>
      </c>
      <c r="N556" s="1" t="s">
        <v>186</v>
      </c>
      <c r="O556" s="1"/>
      <c r="P556" s="1"/>
      <c r="Q556" s="1"/>
      <c r="R556" s="1"/>
      <c r="S556" s="1"/>
      <c r="T556" s="1" t="s">
        <v>9970</v>
      </c>
      <c r="U556" s="1" t="s">
        <v>9971</v>
      </c>
      <c r="V556" s="1" t="s">
        <v>9972</v>
      </c>
      <c r="W556" s="1" t="s">
        <v>9973</v>
      </c>
      <c r="X556" s="1" t="s">
        <v>9974</v>
      </c>
      <c r="Y556" s="1" t="s">
        <v>9975</v>
      </c>
      <c r="Z556" s="1" t="s">
        <v>9976</v>
      </c>
      <c r="AA556" s="1" t="s">
        <v>9977</v>
      </c>
      <c r="AB556" s="1" t="s">
        <v>9978</v>
      </c>
      <c r="AC556" s="1" t="s">
        <v>9979</v>
      </c>
      <c r="AD556" s="1" t="s">
        <v>9979</v>
      </c>
      <c r="AE556" s="1" t="s">
        <v>9980</v>
      </c>
      <c r="AF556" s="1"/>
      <c r="AG556" s="1" t="n">
        <v>83</v>
      </c>
      <c r="AH556" s="1" t="n">
        <v>5</v>
      </c>
      <c r="AI556" s="1" t="n">
        <v>5</v>
      </c>
      <c r="AJ556" s="1" t="n">
        <v>1</v>
      </c>
      <c r="AK556" s="1" t="n">
        <v>4</v>
      </c>
      <c r="AL556" s="1" t="s">
        <v>679</v>
      </c>
      <c r="AM556" s="1" t="s">
        <v>95</v>
      </c>
      <c r="AN556" s="1" t="s">
        <v>803</v>
      </c>
      <c r="AO556" s="1" t="s">
        <v>1929</v>
      </c>
      <c r="AP556" s="1" t="s">
        <v>1930</v>
      </c>
      <c r="AQ556" s="1"/>
      <c r="AR556" s="1" t="s">
        <v>1931</v>
      </c>
      <c r="AS556" s="1" t="s">
        <v>1932</v>
      </c>
      <c r="AT556" s="1" t="s">
        <v>372</v>
      </c>
      <c r="AU556" s="1" t="n">
        <v>2023</v>
      </c>
      <c r="AV556" s="1" t="n">
        <v>28</v>
      </c>
      <c r="AW556" s="1" t="n">
        <v>4</v>
      </c>
      <c r="AX556" s="1"/>
      <c r="AY556" s="1"/>
      <c r="AZ556" s="1"/>
      <c r="BA556" s="1"/>
      <c r="BB556" s="1" t="n">
        <v>507</v>
      </c>
      <c r="BC556" s="1" t="n">
        <v>520</v>
      </c>
      <c r="BD556" s="1"/>
      <c r="BE556" s="1" t="s">
        <v>9981</v>
      </c>
      <c r="BF556" s="1" t="str">
        <f aca="false">HYPERLINK("http://dx.doi.org/10.1007/s00766-023-00405-y","http://dx.doi.org/10.1007/s00766-023-00405-y")</f>
        <v>http://dx.doi.org/10.1007/s00766-023-00405-y</v>
      </c>
      <c r="BG556" s="1"/>
      <c r="BH556" s="1" t="s">
        <v>3898</v>
      </c>
      <c r="BI556" s="1" t="n">
        <v>14</v>
      </c>
      <c r="BJ556" s="1" t="s">
        <v>1394</v>
      </c>
      <c r="BK556" s="1" t="s">
        <v>204</v>
      </c>
      <c r="BL556" s="1" t="s">
        <v>101</v>
      </c>
      <c r="BM556" s="1" t="s">
        <v>9982</v>
      </c>
      <c r="BN556" s="1"/>
      <c r="BO556" s="1" t="s">
        <v>876</v>
      </c>
      <c r="BP556" s="1"/>
      <c r="BQ556" s="1"/>
      <c r="BR556" s="1" t="s">
        <v>103</v>
      </c>
      <c r="BS556" s="1" t="s">
        <v>9983</v>
      </c>
      <c r="BT556" s="1" t="str">
        <f aca="false">HYPERLINK("https%3A%2F%2Fwww.webofscience.com%2Fwos%2Fwoscc%2Ffull-record%2FWOS:001046952900001","View Full Record in Web of Science")</f>
        <v>View Full Record in Web of Science</v>
      </c>
    </row>
    <row r="557" customFormat="false" ht="12.75" hidden="false" customHeight="false" outlineLevel="0" collapsed="false">
      <c r="A557" s="1" t="s">
        <v>181</v>
      </c>
      <c r="B557" s="1" t="s">
        <v>9984</v>
      </c>
      <c r="C557" s="1"/>
      <c r="D557" s="1"/>
      <c r="E557" s="1"/>
      <c r="F557" s="1" t="s">
        <v>9985</v>
      </c>
      <c r="G557" s="1"/>
      <c r="H557" s="1"/>
      <c r="I557" s="1" t="s">
        <v>9986</v>
      </c>
      <c r="J557" s="1" t="s">
        <v>4875</v>
      </c>
      <c r="K557" s="1"/>
      <c r="L557" s="1"/>
      <c r="M557" s="1" t="s">
        <v>78</v>
      </c>
      <c r="N557" s="1" t="s">
        <v>186</v>
      </c>
      <c r="O557" s="1"/>
      <c r="P557" s="1"/>
      <c r="Q557" s="1"/>
      <c r="R557" s="1"/>
      <c r="S557" s="1"/>
      <c r="T557" s="1" t="s">
        <v>9987</v>
      </c>
      <c r="U557" s="1"/>
      <c r="V557" s="1" t="s">
        <v>9988</v>
      </c>
      <c r="W557" s="1" t="s">
        <v>9989</v>
      </c>
      <c r="X557" s="1" t="s">
        <v>9990</v>
      </c>
      <c r="Y557" s="1" t="s">
        <v>9991</v>
      </c>
      <c r="Z557" s="1" t="s">
        <v>9992</v>
      </c>
      <c r="AA557" s="1" t="s">
        <v>9993</v>
      </c>
      <c r="AB557" s="1" t="s">
        <v>9994</v>
      </c>
      <c r="AC557" s="1"/>
      <c r="AD557" s="1"/>
      <c r="AE557" s="1"/>
      <c r="AF557" s="1"/>
      <c r="AG557" s="1" t="n">
        <v>18</v>
      </c>
      <c r="AH557" s="1" t="n">
        <v>17</v>
      </c>
      <c r="AI557" s="1" t="n">
        <v>18</v>
      </c>
      <c r="AJ557" s="1" t="n">
        <v>5</v>
      </c>
      <c r="AK557" s="1" t="n">
        <v>13</v>
      </c>
      <c r="AL557" s="1" t="s">
        <v>172</v>
      </c>
      <c r="AM557" s="1" t="s">
        <v>173</v>
      </c>
      <c r="AN557" s="1" t="s">
        <v>4882</v>
      </c>
      <c r="AO557" s="1" t="s">
        <v>4883</v>
      </c>
      <c r="AP557" s="1" t="s">
        <v>4884</v>
      </c>
      <c r="AQ557" s="1"/>
      <c r="AR557" s="1" t="s">
        <v>4875</v>
      </c>
      <c r="AS557" s="1" t="s">
        <v>4885</v>
      </c>
      <c r="AT557" s="1" t="s">
        <v>9995</v>
      </c>
      <c r="AU557" s="1" t="n">
        <v>2023</v>
      </c>
      <c r="AV557" s="1" t="n">
        <v>40</v>
      </c>
      <c r="AW557" s="1" t="n">
        <v>2</v>
      </c>
      <c r="AX557" s="1"/>
      <c r="AY557" s="1"/>
      <c r="AZ557" s="1"/>
      <c r="BA557" s="1"/>
      <c r="BB557" s="1" t="n">
        <v>34</v>
      </c>
      <c r="BC557" s="1" t="n">
        <v>41</v>
      </c>
      <c r="BD557" s="1"/>
      <c r="BE557" s="1" t="s">
        <v>9996</v>
      </c>
      <c r="BF557" s="1" t="str">
        <f aca="false">HYPERLINK("http://dx.doi.org/10.1109/MS.2022.3230289","http://dx.doi.org/10.1109/MS.2022.3230289")</f>
        <v>http://dx.doi.org/10.1109/MS.2022.3230289</v>
      </c>
      <c r="BG557" s="1"/>
      <c r="BH557" s="1"/>
      <c r="BI557" s="1" t="n">
        <v>8</v>
      </c>
      <c r="BJ557" s="1" t="s">
        <v>252</v>
      </c>
      <c r="BK557" s="1" t="s">
        <v>204</v>
      </c>
      <c r="BL557" s="1" t="s">
        <v>101</v>
      </c>
      <c r="BM557" s="1" t="s">
        <v>9997</v>
      </c>
      <c r="BN557" s="1"/>
      <c r="BO557" s="1" t="s">
        <v>227</v>
      </c>
      <c r="BP557" s="1"/>
      <c r="BQ557" s="1"/>
      <c r="BR557" s="1" t="s">
        <v>103</v>
      </c>
      <c r="BS557" s="1" t="s">
        <v>9998</v>
      </c>
      <c r="BT557" s="1" t="str">
        <f aca="false">HYPERLINK("https%3A%2F%2Fwww.webofscience.com%2Fwos%2Fwoscc%2Ffull-record%2FWOS:000999473600001","View Full Record in Web of Science")</f>
        <v>View Full Record in Web of Science</v>
      </c>
    </row>
    <row r="558" customFormat="false" ht="12.75" hidden="false" customHeight="false" outlineLevel="0" collapsed="false">
      <c r="A558" s="1" t="s">
        <v>72</v>
      </c>
      <c r="B558" s="1" t="s">
        <v>9999</v>
      </c>
      <c r="C558" s="1"/>
      <c r="D558" s="1"/>
      <c r="E558" s="1" t="s">
        <v>1080</v>
      </c>
      <c r="F558" s="1" t="s">
        <v>10000</v>
      </c>
      <c r="G558" s="1"/>
      <c r="H558" s="1"/>
      <c r="I558" s="1" t="s">
        <v>10001</v>
      </c>
      <c r="J558" s="1" t="s">
        <v>10002</v>
      </c>
      <c r="K558" s="1"/>
      <c r="L558" s="1"/>
      <c r="M558" s="1" t="s">
        <v>78</v>
      </c>
      <c r="N558" s="1" t="s">
        <v>79</v>
      </c>
      <c r="O558" s="1" t="s">
        <v>10003</v>
      </c>
      <c r="P558" s="1" t="s">
        <v>10004</v>
      </c>
      <c r="Q558" s="1" t="s">
        <v>320</v>
      </c>
      <c r="R558" s="1" t="s">
        <v>10005</v>
      </c>
      <c r="S558" s="1"/>
      <c r="T558" s="1" t="s">
        <v>10006</v>
      </c>
      <c r="U558" s="1" t="s">
        <v>10007</v>
      </c>
      <c r="V558" s="1" t="s">
        <v>10008</v>
      </c>
      <c r="W558" s="1" t="s">
        <v>10009</v>
      </c>
      <c r="X558" s="1" t="s">
        <v>10010</v>
      </c>
      <c r="Y558" s="1" t="s">
        <v>10011</v>
      </c>
      <c r="Z558" s="1" t="s">
        <v>10012</v>
      </c>
      <c r="AA558" s="1" t="s">
        <v>10013</v>
      </c>
      <c r="AB558" s="1" t="s">
        <v>10014</v>
      </c>
      <c r="AC558" s="1"/>
      <c r="AD558" s="1"/>
      <c r="AE558" s="1"/>
      <c r="AF558" s="1"/>
      <c r="AG558" s="1" t="n">
        <v>32</v>
      </c>
      <c r="AH558" s="1" t="n">
        <v>0</v>
      </c>
      <c r="AI558" s="1" t="n">
        <v>0</v>
      </c>
      <c r="AJ558" s="1" t="n">
        <v>0</v>
      </c>
      <c r="AK558" s="1" t="n">
        <v>2</v>
      </c>
      <c r="AL558" s="1" t="s">
        <v>172</v>
      </c>
      <c r="AM558" s="1" t="s">
        <v>173</v>
      </c>
      <c r="AN558" s="1" t="s">
        <v>174</v>
      </c>
      <c r="AO558" s="1"/>
      <c r="AP558" s="1"/>
      <c r="AQ558" s="1" t="s">
        <v>10015</v>
      </c>
      <c r="AR558" s="1"/>
      <c r="AS558" s="1"/>
      <c r="AT558" s="1"/>
      <c r="AU558" s="1" t="n">
        <v>2021</v>
      </c>
      <c r="AV558" s="1"/>
      <c r="AW558" s="1"/>
      <c r="AX558" s="1"/>
      <c r="AY558" s="1"/>
      <c r="AZ558" s="1"/>
      <c r="BA558" s="1"/>
      <c r="BB558" s="1" t="n">
        <v>590</v>
      </c>
      <c r="BC558" s="1" t="n">
        <v>594</v>
      </c>
      <c r="BD558" s="1"/>
      <c r="BE558" s="1" t="s">
        <v>10016</v>
      </c>
      <c r="BF558" s="1" t="str">
        <f aca="false">HYPERLINK("http://dx.doi.org/10.1109/SANER50967.2021.00071","http://dx.doi.org/10.1109/SANER50967.2021.00071")</f>
        <v>http://dx.doi.org/10.1109/SANER50967.2021.00071</v>
      </c>
      <c r="BG558" s="1"/>
      <c r="BH558" s="1"/>
      <c r="BI558" s="1" t="n">
        <v>5</v>
      </c>
      <c r="BJ558" s="1" t="s">
        <v>252</v>
      </c>
      <c r="BK558" s="1" t="s">
        <v>100</v>
      </c>
      <c r="BL558" s="1" t="s">
        <v>101</v>
      </c>
      <c r="BM558" s="1" t="s">
        <v>10017</v>
      </c>
      <c r="BN558" s="1"/>
      <c r="BO558" s="1" t="s">
        <v>227</v>
      </c>
      <c r="BP558" s="1"/>
      <c r="BQ558" s="1"/>
      <c r="BR558" s="1" t="s">
        <v>103</v>
      </c>
      <c r="BS558" s="1" t="s">
        <v>10018</v>
      </c>
      <c r="BT558" s="1" t="str">
        <f aca="false">HYPERLINK("https%3A%2F%2Fwww.webofscience.com%2Fwos%2Fwoscc%2Ffull-record%2FWOS:000675825200062","View Full Record in Web of Science")</f>
        <v>View Full Record in Web of Science</v>
      </c>
    </row>
    <row r="559" customFormat="false" ht="12.75" hidden="false" customHeight="false" outlineLevel="0" collapsed="false">
      <c r="A559" s="1" t="s">
        <v>181</v>
      </c>
      <c r="B559" s="1" t="s">
        <v>10019</v>
      </c>
      <c r="C559" s="1"/>
      <c r="D559" s="1"/>
      <c r="E559" s="1"/>
      <c r="F559" s="1" t="s">
        <v>10020</v>
      </c>
      <c r="G559" s="1"/>
      <c r="H559" s="1"/>
      <c r="I559" s="1" t="s">
        <v>10021</v>
      </c>
      <c r="J559" s="1" t="s">
        <v>5910</v>
      </c>
      <c r="K559" s="1"/>
      <c r="L559" s="1"/>
      <c r="M559" s="1" t="s">
        <v>78</v>
      </c>
      <c r="N559" s="1" t="s">
        <v>186</v>
      </c>
      <c r="O559" s="1"/>
      <c r="P559" s="1"/>
      <c r="Q559" s="1"/>
      <c r="R559" s="1"/>
      <c r="S559" s="1"/>
      <c r="T559" s="1" t="s">
        <v>10022</v>
      </c>
      <c r="U559" s="1" t="s">
        <v>745</v>
      </c>
      <c r="V559" s="1" t="s">
        <v>10023</v>
      </c>
      <c r="W559" s="1" t="s">
        <v>10024</v>
      </c>
      <c r="X559" s="1" t="s">
        <v>10025</v>
      </c>
      <c r="Y559" s="1" t="s">
        <v>10026</v>
      </c>
      <c r="Z559" s="1" t="s">
        <v>10027</v>
      </c>
      <c r="AA559" s="1" t="s">
        <v>10028</v>
      </c>
      <c r="AB559" s="1" t="s">
        <v>10029</v>
      </c>
      <c r="AC559" s="1" t="s">
        <v>10030</v>
      </c>
      <c r="AD559" s="1" t="s">
        <v>10031</v>
      </c>
      <c r="AE559" s="1" t="s">
        <v>10032</v>
      </c>
      <c r="AF559" s="1"/>
      <c r="AG559" s="1" t="n">
        <v>70</v>
      </c>
      <c r="AH559" s="1" t="n">
        <v>12</v>
      </c>
      <c r="AI559" s="1" t="n">
        <v>12</v>
      </c>
      <c r="AJ559" s="1" t="n">
        <v>1</v>
      </c>
      <c r="AK559" s="1" t="n">
        <v>9</v>
      </c>
      <c r="AL559" s="1" t="s">
        <v>172</v>
      </c>
      <c r="AM559" s="1" t="s">
        <v>173</v>
      </c>
      <c r="AN559" s="1" t="s">
        <v>4882</v>
      </c>
      <c r="AO559" s="1" t="s">
        <v>5922</v>
      </c>
      <c r="AP559" s="1" t="s">
        <v>5923</v>
      </c>
      <c r="AQ559" s="1"/>
      <c r="AR559" s="1" t="s">
        <v>5924</v>
      </c>
      <c r="AS559" s="1" t="s">
        <v>5925</v>
      </c>
      <c r="AT559" s="1" t="s">
        <v>10033</v>
      </c>
      <c r="AU559" s="1" t="n">
        <v>2020</v>
      </c>
      <c r="AV559" s="1" t="n">
        <v>46</v>
      </c>
      <c r="AW559" s="1" t="n">
        <v>12</v>
      </c>
      <c r="AX559" s="1"/>
      <c r="AY559" s="1"/>
      <c r="AZ559" s="1"/>
      <c r="BA559" s="1"/>
      <c r="BB559" s="1" t="n">
        <v>1340</v>
      </c>
      <c r="BC559" s="1" t="n">
        <v>1363</v>
      </c>
      <c r="BD559" s="1"/>
      <c r="BE559" s="1" t="s">
        <v>10034</v>
      </c>
      <c r="BF559" s="1" t="str">
        <f aca="false">HYPERLINK("http://dx.doi.org/10.1109/TSE.2018.2878031","http://dx.doi.org/10.1109/TSE.2018.2878031")</f>
        <v>http://dx.doi.org/10.1109/TSE.2018.2878031</v>
      </c>
      <c r="BG559" s="1"/>
      <c r="BH559" s="1"/>
      <c r="BI559" s="1" t="n">
        <v>24</v>
      </c>
      <c r="BJ559" s="1" t="s">
        <v>5928</v>
      </c>
      <c r="BK559" s="1" t="s">
        <v>398</v>
      </c>
      <c r="BL559" s="1" t="s">
        <v>1255</v>
      </c>
      <c r="BM559" s="1" t="s">
        <v>10035</v>
      </c>
      <c r="BN559" s="1"/>
      <c r="BO559" s="1" t="s">
        <v>10036</v>
      </c>
      <c r="BP559" s="1"/>
      <c r="BQ559" s="1"/>
      <c r="BR559" s="1" t="s">
        <v>103</v>
      </c>
      <c r="BS559" s="1" t="s">
        <v>10037</v>
      </c>
      <c r="BT559" s="1" t="str">
        <f aca="false">HYPERLINK("https%3A%2F%2Fwww.webofscience.com%2Fwos%2Fwoscc%2Ffull-record%2FWOS:000597780900004","View Full Record in Web of Science")</f>
        <v>View Full Record in Web of Science</v>
      </c>
    </row>
    <row r="560" customFormat="false" ht="12.75" hidden="false" customHeight="false" outlineLevel="0" collapsed="false">
      <c r="A560" s="1" t="s">
        <v>181</v>
      </c>
      <c r="B560" s="1" t="s">
        <v>10038</v>
      </c>
      <c r="C560" s="1"/>
      <c r="D560" s="1"/>
      <c r="E560" s="1"/>
      <c r="F560" s="1" t="s">
        <v>10039</v>
      </c>
      <c r="G560" s="1"/>
      <c r="H560" s="1"/>
      <c r="I560" s="1" t="s">
        <v>10040</v>
      </c>
      <c r="J560" s="1" t="s">
        <v>10041</v>
      </c>
      <c r="K560" s="1"/>
      <c r="L560" s="1"/>
      <c r="M560" s="1" t="s">
        <v>78</v>
      </c>
      <c r="N560" s="1" t="s">
        <v>186</v>
      </c>
      <c r="O560" s="1"/>
      <c r="P560" s="1"/>
      <c r="Q560" s="1"/>
      <c r="R560" s="1"/>
      <c r="S560" s="1"/>
      <c r="T560" s="1" t="s">
        <v>10042</v>
      </c>
      <c r="U560" s="1" t="s">
        <v>10043</v>
      </c>
      <c r="V560" s="1" t="s">
        <v>10044</v>
      </c>
      <c r="W560" s="1" t="s">
        <v>10045</v>
      </c>
      <c r="X560" s="1" t="s">
        <v>10046</v>
      </c>
      <c r="Y560" s="1" t="s">
        <v>10047</v>
      </c>
      <c r="Z560" s="1" t="s">
        <v>10048</v>
      </c>
      <c r="AA560" s="1" t="s">
        <v>10049</v>
      </c>
      <c r="AB560" s="1" t="s">
        <v>10050</v>
      </c>
      <c r="AC560" s="1" t="s">
        <v>10051</v>
      </c>
      <c r="AD560" s="1" t="s">
        <v>10051</v>
      </c>
      <c r="AE560" s="1" t="s">
        <v>10052</v>
      </c>
      <c r="AF560" s="1"/>
      <c r="AG560" s="1" t="n">
        <v>34</v>
      </c>
      <c r="AH560" s="1" t="n">
        <v>0</v>
      </c>
      <c r="AI560" s="1" t="n">
        <v>0</v>
      </c>
      <c r="AJ560" s="1" t="n">
        <v>0</v>
      </c>
      <c r="AK560" s="1" t="n">
        <v>0</v>
      </c>
      <c r="AL560" s="1" t="s">
        <v>600</v>
      </c>
      <c r="AM560" s="1" t="s">
        <v>601</v>
      </c>
      <c r="AN560" s="1" t="s">
        <v>602</v>
      </c>
      <c r="AO560" s="1" t="s">
        <v>10053</v>
      </c>
      <c r="AP560" s="1"/>
      <c r="AQ560" s="1"/>
      <c r="AR560" s="1" t="s">
        <v>10054</v>
      </c>
      <c r="AS560" s="1" t="s">
        <v>10055</v>
      </c>
      <c r="AT560" s="1" t="s">
        <v>537</v>
      </c>
      <c r="AU560" s="1" t="n">
        <v>2024</v>
      </c>
      <c r="AV560" s="1" t="n">
        <v>10</v>
      </c>
      <c r="AW560" s="1" t="n">
        <v>1</v>
      </c>
      <c r="AX560" s="1"/>
      <c r="AY560" s="1"/>
      <c r="AZ560" s="1"/>
      <c r="BA560" s="1"/>
      <c r="BB560" s="1"/>
      <c r="BC560" s="1"/>
      <c r="BD560" s="1" t="s">
        <v>10056</v>
      </c>
      <c r="BE560" s="1" t="s">
        <v>10057</v>
      </c>
      <c r="BF560" s="1" t="str">
        <f aca="false">HYPERLINK("http://dx.doi.org/10.1002/cre2.833","http://dx.doi.org/10.1002/cre2.833")</f>
        <v>http://dx.doi.org/10.1002/cre2.833</v>
      </c>
      <c r="BG560" s="1"/>
      <c r="BH560" s="1"/>
      <c r="BI560" s="1" t="n">
        <v>11</v>
      </c>
      <c r="BJ560" s="1" t="s">
        <v>4910</v>
      </c>
      <c r="BK560" s="1" t="s">
        <v>253</v>
      </c>
      <c r="BL560" s="1" t="s">
        <v>4910</v>
      </c>
      <c r="BM560" s="1" t="s">
        <v>10058</v>
      </c>
      <c r="BN560" s="1" t="n">
        <v>38345521</v>
      </c>
      <c r="BO560" s="1" t="s">
        <v>401</v>
      </c>
      <c r="BP560" s="1"/>
      <c r="BQ560" s="1"/>
      <c r="BR560" s="1" t="s">
        <v>103</v>
      </c>
      <c r="BS560" s="1" t="s">
        <v>10059</v>
      </c>
      <c r="BT560" s="1" t="str">
        <f aca="false">HYPERLINK("https%3A%2F%2Fwww.webofscience.com%2Fwos%2Fwoscc%2Ffull-record%2FWOS:001156618200001","View Full Record in Web of Science")</f>
        <v>View Full Record in Web of Science</v>
      </c>
    </row>
    <row r="561" customFormat="false" ht="12.75" hidden="false" customHeight="false" outlineLevel="0" collapsed="false">
      <c r="A561" s="1" t="s">
        <v>181</v>
      </c>
      <c r="B561" s="1" t="s">
        <v>10060</v>
      </c>
      <c r="C561" s="1"/>
      <c r="D561" s="1"/>
      <c r="E561" s="1"/>
      <c r="F561" s="1" t="s">
        <v>10061</v>
      </c>
      <c r="G561" s="1"/>
      <c r="H561" s="1"/>
      <c r="I561" s="1" t="s">
        <v>10062</v>
      </c>
      <c r="J561" s="1" t="s">
        <v>10063</v>
      </c>
      <c r="K561" s="1"/>
      <c r="L561" s="1"/>
      <c r="M561" s="1" t="s">
        <v>78</v>
      </c>
      <c r="N561" s="1" t="s">
        <v>186</v>
      </c>
      <c r="O561" s="1"/>
      <c r="P561" s="1"/>
      <c r="Q561" s="1"/>
      <c r="R561" s="1"/>
      <c r="S561" s="1"/>
      <c r="T561" s="1" t="s">
        <v>10064</v>
      </c>
      <c r="U561" s="1" t="s">
        <v>10065</v>
      </c>
      <c r="V561" s="1" t="s">
        <v>10066</v>
      </c>
      <c r="W561" s="1" t="s">
        <v>10067</v>
      </c>
      <c r="X561" s="1" t="s">
        <v>10068</v>
      </c>
      <c r="Y561" s="1" t="s">
        <v>10069</v>
      </c>
      <c r="Z561" s="1" t="s">
        <v>10070</v>
      </c>
      <c r="AA561" s="1"/>
      <c r="AB561" s="1" t="s">
        <v>10071</v>
      </c>
      <c r="AC561" s="1" t="s">
        <v>10072</v>
      </c>
      <c r="AD561" s="1" t="s">
        <v>10073</v>
      </c>
      <c r="AE561" s="1" t="s">
        <v>10074</v>
      </c>
      <c r="AF561" s="1"/>
      <c r="AG561" s="1" t="n">
        <v>53</v>
      </c>
      <c r="AH561" s="1" t="n">
        <v>2</v>
      </c>
      <c r="AI561" s="1" t="n">
        <v>2</v>
      </c>
      <c r="AJ561" s="1" t="n">
        <v>1</v>
      </c>
      <c r="AK561" s="1" t="n">
        <v>4</v>
      </c>
      <c r="AL561" s="1" t="s">
        <v>1651</v>
      </c>
      <c r="AM561" s="1" t="s">
        <v>1026</v>
      </c>
      <c r="AN561" s="1" t="s">
        <v>1652</v>
      </c>
      <c r="AO561" s="1" t="s">
        <v>10075</v>
      </c>
      <c r="AP561" s="1" t="s">
        <v>10076</v>
      </c>
      <c r="AQ561" s="1"/>
      <c r="AR561" s="1" t="s">
        <v>10077</v>
      </c>
      <c r="AS561" s="1" t="s">
        <v>10078</v>
      </c>
      <c r="AT561" s="1" t="s">
        <v>474</v>
      </c>
      <c r="AU561" s="1" t="n">
        <v>2023</v>
      </c>
      <c r="AV561" s="1" t="n">
        <v>333</v>
      </c>
      <c r="AW561" s="1"/>
      <c r="AX561" s="1"/>
      <c r="AY561" s="1"/>
      <c r="AZ561" s="1"/>
      <c r="BA561" s="1"/>
      <c r="BB561" s="1"/>
      <c r="BC561" s="1"/>
      <c r="BD561" s="1" t="n">
        <v>116137</v>
      </c>
      <c r="BE561" s="1" t="s">
        <v>10079</v>
      </c>
      <c r="BF561" s="1" t="str">
        <f aca="false">HYPERLINK("http://dx.doi.org/10.1016/j.socscimed.2023.116137","http://dx.doi.org/10.1016/j.socscimed.2023.116137")</f>
        <v>http://dx.doi.org/10.1016/j.socscimed.2023.116137</v>
      </c>
      <c r="BG561" s="1"/>
      <c r="BH561" s="1" t="s">
        <v>3898</v>
      </c>
      <c r="BI561" s="1" t="n">
        <v>10</v>
      </c>
      <c r="BJ561" s="1" t="s">
        <v>10080</v>
      </c>
      <c r="BK561" s="1" t="s">
        <v>398</v>
      </c>
      <c r="BL561" s="1" t="s">
        <v>10081</v>
      </c>
      <c r="BM561" s="1" t="s">
        <v>10082</v>
      </c>
      <c r="BN561" s="1" t="n">
        <v>37634427</v>
      </c>
      <c r="BO561" s="1" t="s">
        <v>207</v>
      </c>
      <c r="BP561" s="1"/>
      <c r="BQ561" s="1"/>
      <c r="BR561" s="1" t="s">
        <v>103</v>
      </c>
      <c r="BS561" s="1" t="s">
        <v>10083</v>
      </c>
      <c r="BT561" s="1" t="str">
        <f aca="false">HYPERLINK("https%3A%2F%2Fwww.webofscience.com%2Fwos%2Fwoscc%2Ffull-record%2FWOS:001068408500001","View Full Record in Web of Science")</f>
        <v>View Full Record in Web of Science</v>
      </c>
    </row>
    <row r="562" customFormat="false" ht="12.75" hidden="false" customHeight="false" outlineLevel="0" collapsed="false">
      <c r="A562" s="1" t="s">
        <v>181</v>
      </c>
      <c r="B562" s="1" t="s">
        <v>10084</v>
      </c>
      <c r="C562" s="1"/>
      <c r="D562" s="1"/>
      <c r="E562" s="1"/>
      <c r="F562" s="1" t="s">
        <v>10085</v>
      </c>
      <c r="G562" s="1"/>
      <c r="H562" s="1"/>
      <c r="I562" s="1" t="s">
        <v>10086</v>
      </c>
      <c r="J562" s="1" t="s">
        <v>10087</v>
      </c>
      <c r="K562" s="1"/>
      <c r="L562" s="1"/>
      <c r="M562" s="1" t="s">
        <v>78</v>
      </c>
      <c r="N562" s="1" t="s">
        <v>186</v>
      </c>
      <c r="O562" s="1"/>
      <c r="P562" s="1"/>
      <c r="Q562" s="1"/>
      <c r="R562" s="1"/>
      <c r="S562" s="1"/>
      <c r="T562" s="1" t="s">
        <v>10088</v>
      </c>
      <c r="U562" s="1" t="s">
        <v>10089</v>
      </c>
      <c r="V562" s="1" t="s">
        <v>10090</v>
      </c>
      <c r="W562" s="1" t="s">
        <v>10091</v>
      </c>
      <c r="X562" s="1" t="s">
        <v>10092</v>
      </c>
      <c r="Y562" s="1" t="s">
        <v>7729</v>
      </c>
      <c r="Z562" s="1" t="s">
        <v>10093</v>
      </c>
      <c r="AA562" s="1" t="s">
        <v>6406</v>
      </c>
      <c r="AB562" s="1" t="s">
        <v>10094</v>
      </c>
      <c r="AC562" s="1" t="s">
        <v>10095</v>
      </c>
      <c r="AD562" s="1" t="s">
        <v>10096</v>
      </c>
      <c r="AE562" s="1" t="s">
        <v>10097</v>
      </c>
      <c r="AF562" s="1"/>
      <c r="AG562" s="1" t="n">
        <v>37</v>
      </c>
      <c r="AH562" s="1" t="n">
        <v>2</v>
      </c>
      <c r="AI562" s="1" t="n">
        <v>2</v>
      </c>
      <c r="AJ562" s="1" t="n">
        <v>5</v>
      </c>
      <c r="AK562" s="1" t="n">
        <v>10</v>
      </c>
      <c r="AL562" s="1" t="s">
        <v>10098</v>
      </c>
      <c r="AM562" s="1" t="s">
        <v>10099</v>
      </c>
      <c r="AN562" s="1" t="s">
        <v>10100</v>
      </c>
      <c r="AO562" s="1" t="s">
        <v>10101</v>
      </c>
      <c r="AP562" s="1" t="s">
        <v>10102</v>
      </c>
      <c r="AQ562" s="1"/>
      <c r="AR562" s="1" t="s">
        <v>10103</v>
      </c>
      <c r="AS562" s="1" t="s">
        <v>10104</v>
      </c>
      <c r="AT562" s="1" t="s">
        <v>711</v>
      </c>
      <c r="AU562" s="1" t="n">
        <v>2024</v>
      </c>
      <c r="AV562" s="1" t="n">
        <v>30</v>
      </c>
      <c r="AW562" s="1" t="n">
        <v>8</v>
      </c>
      <c r="AX562" s="1"/>
      <c r="AY562" s="1"/>
      <c r="AZ562" s="1"/>
      <c r="BA562" s="1"/>
      <c r="BB562" s="1" t="n">
        <v>2250</v>
      </c>
      <c r="BC562" s="1" t="n">
        <v>2268</v>
      </c>
      <c r="BD562" s="1"/>
      <c r="BE562" s="1" t="s">
        <v>10105</v>
      </c>
      <c r="BF562" s="1" t="str">
        <f aca="false">HYPERLINK("http://dx.doi.org/10.1007/s12540-024-01646-4","http://dx.doi.org/10.1007/s12540-024-01646-4")</f>
        <v>http://dx.doi.org/10.1007/s12540-024-01646-4</v>
      </c>
      <c r="BG562" s="1"/>
      <c r="BH562" s="1" t="s">
        <v>2019</v>
      </c>
      <c r="BI562" s="1" t="n">
        <v>19</v>
      </c>
      <c r="BJ562" s="1" t="s">
        <v>7777</v>
      </c>
      <c r="BK562" s="1" t="s">
        <v>204</v>
      </c>
      <c r="BL562" s="1" t="s">
        <v>7778</v>
      </c>
      <c r="BM562" s="1" t="s">
        <v>10106</v>
      </c>
      <c r="BN562" s="1"/>
      <c r="BO562" s="1"/>
      <c r="BP562" s="1"/>
      <c r="BQ562" s="1"/>
      <c r="BR562" s="1" t="s">
        <v>103</v>
      </c>
      <c r="BS562" s="1" t="s">
        <v>10107</v>
      </c>
      <c r="BT562" s="1" t="str">
        <f aca="false">HYPERLINK("https%3A%2F%2Fwww.webofscience.com%2Fwos%2Fwoscc%2Ffull-record%2FWOS:001178616600005","View Full Record in Web of Science")</f>
        <v>View Full Record in Web of Science</v>
      </c>
    </row>
    <row r="563" customFormat="false" ht="12.75" hidden="false" customHeight="false" outlineLevel="0" collapsed="false">
      <c r="A563" s="1" t="s">
        <v>72</v>
      </c>
      <c r="B563" s="1" t="s">
        <v>10108</v>
      </c>
      <c r="C563" s="1"/>
      <c r="D563" s="1" t="s">
        <v>10109</v>
      </c>
      <c r="E563" s="1"/>
      <c r="F563" s="1" t="s">
        <v>10110</v>
      </c>
      <c r="G563" s="1"/>
      <c r="H563" s="1"/>
      <c r="I563" s="1" t="s">
        <v>10111</v>
      </c>
      <c r="J563" s="1" t="s">
        <v>10112</v>
      </c>
      <c r="K563" s="1" t="s">
        <v>2842</v>
      </c>
      <c r="L563" s="1"/>
      <c r="M563" s="1" t="s">
        <v>78</v>
      </c>
      <c r="N563" s="1" t="s">
        <v>79</v>
      </c>
      <c r="O563" s="1" t="s">
        <v>10113</v>
      </c>
      <c r="P563" s="1" t="s">
        <v>10114</v>
      </c>
      <c r="Q563" s="1" t="s">
        <v>10115</v>
      </c>
      <c r="R563" s="1"/>
      <c r="S563" s="1" t="s">
        <v>10116</v>
      </c>
      <c r="T563" s="1" t="s">
        <v>10117</v>
      </c>
      <c r="U563" s="1" t="s">
        <v>10118</v>
      </c>
      <c r="V563" s="1" t="s">
        <v>10119</v>
      </c>
      <c r="W563" s="1" t="s">
        <v>10120</v>
      </c>
      <c r="X563" s="1" t="s">
        <v>10121</v>
      </c>
      <c r="Y563" s="1" t="s">
        <v>10122</v>
      </c>
      <c r="Z563" s="1" t="s">
        <v>10123</v>
      </c>
      <c r="AA563" s="1" t="s">
        <v>10124</v>
      </c>
      <c r="AB563" s="1"/>
      <c r="AC563" s="1" t="s">
        <v>10125</v>
      </c>
      <c r="AD563" s="1" t="s">
        <v>10126</v>
      </c>
      <c r="AE563" s="1" t="s">
        <v>10127</v>
      </c>
      <c r="AF563" s="1"/>
      <c r="AG563" s="1" t="n">
        <v>28</v>
      </c>
      <c r="AH563" s="1" t="n">
        <v>2</v>
      </c>
      <c r="AI563" s="1" t="n">
        <v>2</v>
      </c>
      <c r="AJ563" s="1" t="n">
        <v>0</v>
      </c>
      <c r="AK563" s="1" t="n">
        <v>4</v>
      </c>
      <c r="AL563" s="1" t="s">
        <v>302</v>
      </c>
      <c r="AM563" s="1" t="s">
        <v>303</v>
      </c>
      <c r="AN563" s="1" t="s">
        <v>304</v>
      </c>
      <c r="AO563" s="1" t="s">
        <v>2854</v>
      </c>
      <c r="AP563" s="1" t="s">
        <v>2855</v>
      </c>
      <c r="AQ563" s="1" t="s">
        <v>10128</v>
      </c>
      <c r="AR563" s="1" t="s">
        <v>2857</v>
      </c>
      <c r="AS563" s="1"/>
      <c r="AT563" s="1"/>
      <c r="AU563" s="1" t="n">
        <v>2022</v>
      </c>
      <c r="AV563" s="1" t="n">
        <v>1557</v>
      </c>
      <c r="AW563" s="1"/>
      <c r="AX563" s="1"/>
      <c r="AY563" s="1"/>
      <c r="AZ563" s="1"/>
      <c r="BA563" s="1"/>
      <c r="BB563" s="1" t="n">
        <v>214</v>
      </c>
      <c r="BC563" s="1" t="n">
        <v>228</v>
      </c>
      <c r="BD563" s="1"/>
      <c r="BE563" s="1" t="s">
        <v>10129</v>
      </c>
      <c r="BF563" s="1" t="str">
        <f aca="false">HYPERLINK("http://dx.doi.org/10.1007/978-981-19-0468-4_16","http://dx.doi.org/10.1007/978-981-19-0468-4_16")</f>
        <v>http://dx.doi.org/10.1007/978-981-19-0468-4_16</v>
      </c>
      <c r="BG563" s="1"/>
      <c r="BH563" s="1"/>
      <c r="BI563" s="1" t="n">
        <v>15</v>
      </c>
      <c r="BJ563" s="1" t="s">
        <v>4703</v>
      </c>
      <c r="BK563" s="1" t="s">
        <v>100</v>
      </c>
      <c r="BL563" s="1" t="s">
        <v>101</v>
      </c>
      <c r="BM563" s="1" t="s">
        <v>10130</v>
      </c>
      <c r="BN563" s="1"/>
      <c r="BO563" s="1"/>
      <c r="BP563" s="1"/>
      <c r="BQ563" s="1"/>
      <c r="BR563" s="1" t="s">
        <v>103</v>
      </c>
      <c r="BS563" s="1" t="s">
        <v>10131</v>
      </c>
      <c r="BT563" s="1" t="str">
        <f aca="false">HYPERLINK("https%3A%2F%2Fwww.webofscience.com%2Fwos%2Fwoscc%2Ffull-record%2FWOS:000772155500016","View Full Record in Web of Science")</f>
        <v>View Full Record in Web of Science</v>
      </c>
    </row>
    <row r="564" customFormat="false" ht="12.75" hidden="false" customHeight="false" outlineLevel="0" collapsed="false">
      <c r="A564" s="1" t="s">
        <v>181</v>
      </c>
      <c r="B564" s="1" t="s">
        <v>10132</v>
      </c>
      <c r="C564" s="1"/>
      <c r="D564" s="1"/>
      <c r="E564" s="1"/>
      <c r="F564" s="1" t="s">
        <v>10133</v>
      </c>
      <c r="G564" s="1"/>
      <c r="H564" s="1"/>
      <c r="I564" s="1" t="s">
        <v>10134</v>
      </c>
      <c r="J564" s="1" t="s">
        <v>1214</v>
      </c>
      <c r="K564" s="1"/>
      <c r="L564" s="1"/>
      <c r="M564" s="1" t="s">
        <v>78</v>
      </c>
      <c r="N564" s="1" t="s">
        <v>186</v>
      </c>
      <c r="O564" s="1"/>
      <c r="P564" s="1"/>
      <c r="Q564" s="1"/>
      <c r="R564" s="1"/>
      <c r="S564" s="1"/>
      <c r="T564" s="1" t="s">
        <v>10135</v>
      </c>
      <c r="U564" s="1" t="s">
        <v>10136</v>
      </c>
      <c r="V564" s="1" t="s">
        <v>10137</v>
      </c>
      <c r="W564" s="1" t="s">
        <v>10138</v>
      </c>
      <c r="X564" s="1" t="s">
        <v>10139</v>
      </c>
      <c r="Y564" s="1" t="s">
        <v>10140</v>
      </c>
      <c r="Z564" s="1" t="s">
        <v>5955</v>
      </c>
      <c r="AA564" s="1" t="s">
        <v>5956</v>
      </c>
      <c r="AB564" s="1" t="s">
        <v>10141</v>
      </c>
      <c r="AC564" s="1" t="s">
        <v>10142</v>
      </c>
      <c r="AD564" s="1" t="s">
        <v>10143</v>
      </c>
      <c r="AE564" s="1" t="s">
        <v>10144</v>
      </c>
      <c r="AF564" s="1"/>
      <c r="AG564" s="1" t="n">
        <v>57</v>
      </c>
      <c r="AH564" s="1" t="n">
        <v>7</v>
      </c>
      <c r="AI564" s="1" t="n">
        <v>7</v>
      </c>
      <c r="AJ564" s="1" t="n">
        <v>1</v>
      </c>
      <c r="AK564" s="1" t="n">
        <v>7</v>
      </c>
      <c r="AL564" s="1" t="s">
        <v>1220</v>
      </c>
      <c r="AM564" s="1" t="s">
        <v>1221</v>
      </c>
      <c r="AN564" s="1" t="s">
        <v>1222</v>
      </c>
      <c r="AO564" s="1" t="s">
        <v>1223</v>
      </c>
      <c r="AP564" s="1" t="s">
        <v>1224</v>
      </c>
      <c r="AQ564" s="1"/>
      <c r="AR564" s="1" t="s">
        <v>1225</v>
      </c>
      <c r="AS564" s="1" t="s">
        <v>1226</v>
      </c>
      <c r="AT564" s="1" t="s">
        <v>2313</v>
      </c>
      <c r="AU564" s="1" t="n">
        <v>2021</v>
      </c>
      <c r="AV564" s="1" t="n">
        <v>29</v>
      </c>
      <c r="AW564" s="1" t="n">
        <v>5</v>
      </c>
      <c r="AX564" s="1"/>
      <c r="AY564" s="1"/>
      <c r="AZ564" s="1"/>
      <c r="BA564" s="1"/>
      <c r="BB564" s="1" t="n">
        <v>862</v>
      </c>
      <c r="BC564" s="1" t="n">
        <v>882</v>
      </c>
      <c r="BD564" s="1"/>
      <c r="BE564" s="1" t="s">
        <v>10145</v>
      </c>
      <c r="BF564" s="1" t="str">
        <f aca="false">HYPERLINK("http://dx.doi.org/10.1080/09654313.2020.1792416","http://dx.doi.org/10.1080/09654313.2020.1792416")</f>
        <v>http://dx.doi.org/10.1080/09654313.2020.1792416</v>
      </c>
      <c r="BG564" s="1"/>
      <c r="BH564" s="1" t="s">
        <v>10146</v>
      </c>
      <c r="BI564" s="1" t="n">
        <v>21</v>
      </c>
      <c r="BJ564" s="1" t="s">
        <v>1228</v>
      </c>
      <c r="BK564" s="1" t="s">
        <v>610</v>
      </c>
      <c r="BL564" s="1" t="s">
        <v>1229</v>
      </c>
      <c r="BM564" s="1" t="s">
        <v>10147</v>
      </c>
      <c r="BN564" s="1"/>
      <c r="BO564" s="1" t="s">
        <v>207</v>
      </c>
      <c r="BP564" s="1"/>
      <c r="BQ564" s="1"/>
      <c r="BR564" s="1" t="s">
        <v>103</v>
      </c>
      <c r="BS564" s="1" t="s">
        <v>10148</v>
      </c>
      <c r="BT564" s="1" t="str">
        <f aca="false">HYPERLINK("https%3A%2F%2Fwww.webofscience.com%2Fwos%2Fwoscc%2Ffull-record%2FWOS:000549031700001","View Full Record in Web of Science")</f>
        <v>View Full Record in Web of Science</v>
      </c>
    </row>
    <row r="565" customFormat="false" ht="12.75" hidden="false" customHeight="false" outlineLevel="0" collapsed="false">
      <c r="A565" s="1" t="s">
        <v>72</v>
      </c>
      <c r="B565" s="1" t="s">
        <v>10149</v>
      </c>
      <c r="C565" s="1"/>
      <c r="D565" s="1" t="s">
        <v>3061</v>
      </c>
      <c r="E565" s="1"/>
      <c r="F565" s="1" t="s">
        <v>10150</v>
      </c>
      <c r="G565" s="1"/>
      <c r="H565" s="1"/>
      <c r="I565" s="1" t="s">
        <v>10151</v>
      </c>
      <c r="J565" s="1" t="s">
        <v>3064</v>
      </c>
      <c r="K565" s="1" t="s">
        <v>3065</v>
      </c>
      <c r="L565" s="1"/>
      <c r="M565" s="1" t="s">
        <v>78</v>
      </c>
      <c r="N565" s="1" t="s">
        <v>79</v>
      </c>
      <c r="O565" s="1" t="s">
        <v>3066</v>
      </c>
      <c r="P565" s="1" t="s">
        <v>3067</v>
      </c>
      <c r="Q565" s="1" t="s">
        <v>320</v>
      </c>
      <c r="R565" s="1" t="s">
        <v>3068</v>
      </c>
      <c r="S565" s="1"/>
      <c r="T565" s="1" t="s">
        <v>10152</v>
      </c>
      <c r="U565" s="1" t="s">
        <v>10153</v>
      </c>
      <c r="V565" s="1" t="s">
        <v>10154</v>
      </c>
      <c r="W565" s="1" t="s">
        <v>10155</v>
      </c>
      <c r="X565" s="1" t="s">
        <v>10156</v>
      </c>
      <c r="Y565" s="1" t="s">
        <v>10157</v>
      </c>
      <c r="Z565" s="1" t="s">
        <v>10158</v>
      </c>
      <c r="AA565" s="1" t="s">
        <v>10159</v>
      </c>
      <c r="AB565" s="1" t="s">
        <v>10160</v>
      </c>
      <c r="AC565" s="1" t="s">
        <v>10161</v>
      </c>
      <c r="AD565" s="1" t="s">
        <v>10162</v>
      </c>
      <c r="AE565" s="1" t="s">
        <v>10163</v>
      </c>
      <c r="AF565" s="1"/>
      <c r="AG565" s="1" t="n">
        <v>37</v>
      </c>
      <c r="AH565" s="1" t="n">
        <v>0</v>
      </c>
      <c r="AI565" s="1" t="n">
        <v>0</v>
      </c>
      <c r="AJ565" s="1" t="n">
        <v>0</v>
      </c>
      <c r="AK565" s="1" t="n">
        <v>0</v>
      </c>
      <c r="AL565" s="1" t="s">
        <v>172</v>
      </c>
      <c r="AM565" s="1" t="s">
        <v>173</v>
      </c>
      <c r="AN565" s="1" t="s">
        <v>174</v>
      </c>
      <c r="AO565" s="1" t="s">
        <v>3078</v>
      </c>
      <c r="AP565" s="1"/>
      <c r="AQ565" s="1" t="s">
        <v>3079</v>
      </c>
      <c r="AR565" s="1" t="s">
        <v>3080</v>
      </c>
      <c r="AS565" s="1"/>
      <c r="AT565" s="1"/>
      <c r="AU565" s="1" t="n">
        <v>2020</v>
      </c>
      <c r="AV565" s="1"/>
      <c r="AW565" s="1"/>
      <c r="AX565" s="1"/>
      <c r="AY565" s="1"/>
      <c r="AZ565" s="1"/>
      <c r="BA565" s="1"/>
      <c r="BB565" s="1" t="n">
        <v>334</v>
      </c>
      <c r="BC565" s="1" t="n">
        <v>341</v>
      </c>
      <c r="BD565" s="1"/>
      <c r="BE565" s="1" t="s">
        <v>10164</v>
      </c>
      <c r="BF565" s="1" t="str">
        <f aca="false">HYPERLINK("http://dx.doi.org/10.1109/SEAA51224.2020.00062","http://dx.doi.org/10.1109/SEAA51224.2020.00062")</f>
        <v>http://dx.doi.org/10.1109/SEAA51224.2020.00062</v>
      </c>
      <c r="BG565" s="1"/>
      <c r="BH565" s="1"/>
      <c r="BI565" s="1" t="n">
        <v>8</v>
      </c>
      <c r="BJ565" s="1" t="s">
        <v>3082</v>
      </c>
      <c r="BK565" s="1" t="s">
        <v>100</v>
      </c>
      <c r="BL565" s="1" t="s">
        <v>1255</v>
      </c>
      <c r="BM565" s="1" t="s">
        <v>3083</v>
      </c>
      <c r="BN565" s="1"/>
      <c r="BO565" s="1"/>
      <c r="BP565" s="1"/>
      <c r="BQ565" s="1"/>
      <c r="BR565" s="1" t="s">
        <v>103</v>
      </c>
      <c r="BS565" s="1" t="s">
        <v>10165</v>
      </c>
      <c r="BT565" s="1" t="str">
        <f aca="false">HYPERLINK("https%3A%2F%2Fwww.webofscience.com%2Fwos%2Fwoscc%2Ffull-record%2FWOS:000702094100051","View Full Record in Web of Science")</f>
        <v>View Full Record in Web of Science</v>
      </c>
    </row>
    <row r="566" customFormat="false" ht="12.75" hidden="false" customHeight="false" outlineLevel="0" collapsed="false">
      <c r="A566" s="1" t="s">
        <v>72</v>
      </c>
      <c r="B566" s="1" t="s">
        <v>10166</v>
      </c>
      <c r="C566" s="1"/>
      <c r="D566" s="1" t="s">
        <v>5028</v>
      </c>
      <c r="E566" s="1"/>
      <c r="F566" s="1" t="s">
        <v>10167</v>
      </c>
      <c r="G566" s="1"/>
      <c r="H566" s="1"/>
      <c r="I566" s="1" t="s">
        <v>10168</v>
      </c>
      <c r="J566" s="1" t="s">
        <v>5031</v>
      </c>
      <c r="K566" s="1" t="s">
        <v>498</v>
      </c>
      <c r="L566" s="1"/>
      <c r="M566" s="1" t="s">
        <v>78</v>
      </c>
      <c r="N566" s="1" t="s">
        <v>79</v>
      </c>
      <c r="O566" s="1" t="s">
        <v>5032</v>
      </c>
      <c r="P566" s="1" t="s">
        <v>5033</v>
      </c>
      <c r="Q566" s="1" t="s">
        <v>4310</v>
      </c>
      <c r="R566" s="1"/>
      <c r="S566" s="1"/>
      <c r="T566" s="1" t="s">
        <v>10169</v>
      </c>
      <c r="U566" s="1"/>
      <c r="V566" s="1" t="s">
        <v>10170</v>
      </c>
      <c r="W566" s="1" t="s">
        <v>10171</v>
      </c>
      <c r="X566" s="1" t="s">
        <v>10172</v>
      </c>
      <c r="Y566" s="1" t="s">
        <v>6626</v>
      </c>
      <c r="Z566" s="1" t="s">
        <v>10173</v>
      </c>
      <c r="AA566" s="1"/>
      <c r="AB566" s="1"/>
      <c r="AC566" s="1"/>
      <c r="AD566" s="1"/>
      <c r="AE566" s="1"/>
      <c r="AF566" s="1"/>
      <c r="AG566" s="1" t="n">
        <v>22</v>
      </c>
      <c r="AH566" s="1" t="n">
        <v>0</v>
      </c>
      <c r="AI566" s="1" t="n">
        <v>0</v>
      </c>
      <c r="AJ566" s="1" t="n">
        <v>0</v>
      </c>
      <c r="AK566" s="1" t="n">
        <v>0</v>
      </c>
      <c r="AL566" s="1" t="s">
        <v>302</v>
      </c>
      <c r="AM566" s="1" t="s">
        <v>303</v>
      </c>
      <c r="AN566" s="1" t="s">
        <v>304</v>
      </c>
      <c r="AO566" s="1" t="s">
        <v>512</v>
      </c>
      <c r="AP566" s="1" t="s">
        <v>513</v>
      </c>
      <c r="AQ566" s="1" t="s">
        <v>5043</v>
      </c>
      <c r="AR566" s="1" t="s">
        <v>515</v>
      </c>
      <c r="AS566" s="1"/>
      <c r="AT566" s="1"/>
      <c r="AU566" s="1" t="n">
        <v>2023</v>
      </c>
      <c r="AV566" s="1" t="n">
        <v>475</v>
      </c>
      <c r="AW566" s="1"/>
      <c r="AX566" s="1"/>
      <c r="AY566" s="1"/>
      <c r="AZ566" s="1"/>
      <c r="BA566" s="1"/>
      <c r="BB566" s="1" t="n">
        <v>149</v>
      </c>
      <c r="BC566" s="1" t="n">
        <v>164</v>
      </c>
      <c r="BD566" s="1"/>
      <c r="BE566" s="1" t="s">
        <v>10174</v>
      </c>
      <c r="BF566" s="1" t="str">
        <f aca="false">HYPERLINK("http://dx.doi.org/10.1007/978-3-031-33976-9_10","http://dx.doi.org/10.1007/978-3-031-33976-9_10")</f>
        <v>http://dx.doi.org/10.1007/978-3-031-33976-9_10</v>
      </c>
      <c r="BG566" s="1"/>
      <c r="BH566" s="1"/>
      <c r="BI566" s="1" t="n">
        <v>16</v>
      </c>
      <c r="BJ566" s="1" t="s">
        <v>517</v>
      </c>
      <c r="BK566" s="1" t="s">
        <v>100</v>
      </c>
      <c r="BL566" s="1" t="s">
        <v>101</v>
      </c>
      <c r="BM566" s="1" t="s">
        <v>5045</v>
      </c>
      <c r="BN566" s="1"/>
      <c r="BO566" s="1"/>
      <c r="BP566" s="1"/>
      <c r="BQ566" s="1"/>
      <c r="BR566" s="1" t="s">
        <v>103</v>
      </c>
      <c r="BS566" s="1" t="s">
        <v>10175</v>
      </c>
      <c r="BT566" s="1" t="str">
        <f aca="false">HYPERLINK("https%3A%2F%2Fwww.webofscience.com%2Fwos%2Fwoscc%2Ffull-record%2FWOS:001267753700010","View Full Record in Web of Science")</f>
        <v>View Full Record in Web of Science</v>
      </c>
    </row>
    <row r="567" customFormat="false" ht="12.75" hidden="false" customHeight="false" outlineLevel="0" collapsed="false">
      <c r="A567" s="1" t="s">
        <v>181</v>
      </c>
      <c r="B567" s="1" t="s">
        <v>10176</v>
      </c>
      <c r="C567" s="1"/>
      <c r="D567" s="1"/>
      <c r="E567" s="1"/>
      <c r="F567" s="1" t="s">
        <v>10177</v>
      </c>
      <c r="G567" s="1"/>
      <c r="H567" s="1"/>
      <c r="I567" s="1" t="s">
        <v>10178</v>
      </c>
      <c r="J567" s="1" t="s">
        <v>1921</v>
      </c>
      <c r="K567" s="1"/>
      <c r="L567" s="1"/>
      <c r="M567" s="1" t="s">
        <v>78</v>
      </c>
      <c r="N567" s="1" t="s">
        <v>186</v>
      </c>
      <c r="O567" s="1"/>
      <c r="P567" s="1"/>
      <c r="Q567" s="1"/>
      <c r="R567" s="1"/>
      <c r="S567" s="1"/>
      <c r="T567" s="1" t="s">
        <v>10179</v>
      </c>
      <c r="U567" s="1" t="s">
        <v>10180</v>
      </c>
      <c r="V567" s="1" t="s">
        <v>10181</v>
      </c>
      <c r="W567" s="1" t="s">
        <v>10182</v>
      </c>
      <c r="X567" s="1" t="s">
        <v>10183</v>
      </c>
      <c r="Y567" s="1" t="s">
        <v>7220</v>
      </c>
      <c r="Z567" s="1" t="s">
        <v>10184</v>
      </c>
      <c r="AA567" s="1" t="s">
        <v>10185</v>
      </c>
      <c r="AB567" s="1" t="s">
        <v>10186</v>
      </c>
      <c r="AC567" s="1" t="s">
        <v>10187</v>
      </c>
      <c r="AD567" s="1" t="s">
        <v>10188</v>
      </c>
      <c r="AE567" s="1" t="s">
        <v>10189</v>
      </c>
      <c r="AF567" s="1"/>
      <c r="AG567" s="1" t="n">
        <v>76</v>
      </c>
      <c r="AH567" s="1" t="n">
        <v>1</v>
      </c>
      <c r="AI567" s="1" t="n">
        <v>1</v>
      </c>
      <c r="AJ567" s="1" t="n">
        <v>1</v>
      </c>
      <c r="AK567" s="1" t="n">
        <v>5</v>
      </c>
      <c r="AL567" s="1" t="s">
        <v>679</v>
      </c>
      <c r="AM567" s="1" t="s">
        <v>95</v>
      </c>
      <c r="AN567" s="1" t="s">
        <v>803</v>
      </c>
      <c r="AO567" s="1" t="s">
        <v>1929</v>
      </c>
      <c r="AP567" s="1" t="s">
        <v>1930</v>
      </c>
      <c r="AQ567" s="1"/>
      <c r="AR567" s="1" t="s">
        <v>1931</v>
      </c>
      <c r="AS567" s="1" t="s">
        <v>1932</v>
      </c>
      <c r="AT567" s="1" t="s">
        <v>2698</v>
      </c>
      <c r="AU567" s="1" t="n">
        <v>2023</v>
      </c>
      <c r="AV567" s="1" t="n">
        <v>28</v>
      </c>
      <c r="AW567" s="1" t="n">
        <v>2</v>
      </c>
      <c r="AX567" s="1"/>
      <c r="AY567" s="1"/>
      <c r="AZ567" s="1"/>
      <c r="BA567" s="1"/>
      <c r="BB567" s="1" t="n">
        <v>229</v>
      </c>
      <c r="BC567" s="1" t="n">
        <v>255</v>
      </c>
      <c r="BD567" s="1"/>
      <c r="BE567" s="1" t="s">
        <v>10190</v>
      </c>
      <c r="BF567" s="1" t="str">
        <f aca="false">HYPERLINK("http://dx.doi.org/10.1007/s00766-022-00388-2","http://dx.doi.org/10.1007/s00766-022-00388-2")</f>
        <v>http://dx.doi.org/10.1007/s00766-022-00388-2</v>
      </c>
      <c r="BG567" s="1"/>
      <c r="BH567" s="1" t="s">
        <v>3679</v>
      </c>
      <c r="BI567" s="1" t="n">
        <v>27</v>
      </c>
      <c r="BJ567" s="1" t="s">
        <v>1394</v>
      </c>
      <c r="BK567" s="1" t="s">
        <v>204</v>
      </c>
      <c r="BL567" s="1" t="s">
        <v>101</v>
      </c>
      <c r="BM567" s="1" t="s">
        <v>10191</v>
      </c>
      <c r="BN567" s="1"/>
      <c r="BO567" s="1"/>
      <c r="BP567" s="1"/>
      <c r="BQ567" s="1"/>
      <c r="BR567" s="1" t="s">
        <v>103</v>
      </c>
      <c r="BS567" s="1" t="s">
        <v>10192</v>
      </c>
      <c r="BT567" s="1" t="str">
        <f aca="false">HYPERLINK("https%3A%2F%2Fwww.webofscience.com%2Fwos%2Fwoscc%2Ffull-record%2FWOS:000857797700001","View Full Record in Web of Science")</f>
        <v>View Full Record in Web of Science</v>
      </c>
    </row>
    <row r="568" customFormat="false" ht="12.75" hidden="false" customHeight="false" outlineLevel="0" collapsed="false">
      <c r="A568" s="1" t="s">
        <v>181</v>
      </c>
      <c r="B568" s="1" t="s">
        <v>10193</v>
      </c>
      <c r="C568" s="1"/>
      <c r="D568" s="1"/>
      <c r="E568" s="1"/>
      <c r="F568" s="1" t="s">
        <v>10194</v>
      </c>
      <c r="G568" s="1"/>
      <c r="H568" s="1"/>
      <c r="I568" s="1" t="s">
        <v>10195</v>
      </c>
      <c r="J568" s="1" t="s">
        <v>1378</v>
      </c>
      <c r="K568" s="1"/>
      <c r="L568" s="1"/>
      <c r="M568" s="1" t="s">
        <v>78</v>
      </c>
      <c r="N568" s="1" t="s">
        <v>186</v>
      </c>
      <c r="O568" s="1"/>
      <c r="P568" s="1"/>
      <c r="Q568" s="1"/>
      <c r="R568" s="1"/>
      <c r="S568" s="1"/>
      <c r="T568" s="1" t="s">
        <v>10196</v>
      </c>
      <c r="U568" s="1" t="s">
        <v>10197</v>
      </c>
      <c r="V568" s="1" t="s">
        <v>10198</v>
      </c>
      <c r="W568" s="1" t="s">
        <v>10199</v>
      </c>
      <c r="X568" s="1" t="s">
        <v>10200</v>
      </c>
      <c r="Y568" s="1" t="s">
        <v>10201</v>
      </c>
      <c r="Z568" s="1" t="s">
        <v>10202</v>
      </c>
      <c r="AA568" s="1" t="s">
        <v>10203</v>
      </c>
      <c r="AB568" s="1" t="s">
        <v>10204</v>
      </c>
      <c r="AC568" s="1" t="s">
        <v>10205</v>
      </c>
      <c r="AD568" s="1" t="s">
        <v>10206</v>
      </c>
      <c r="AE568" s="1" t="s">
        <v>10207</v>
      </c>
      <c r="AF568" s="1"/>
      <c r="AG568" s="1" t="n">
        <v>160</v>
      </c>
      <c r="AH568" s="1" t="n">
        <v>16</v>
      </c>
      <c r="AI568" s="1" t="n">
        <v>18</v>
      </c>
      <c r="AJ568" s="1" t="n">
        <v>1</v>
      </c>
      <c r="AK568" s="1" t="n">
        <v>10</v>
      </c>
      <c r="AL568" s="1" t="s">
        <v>893</v>
      </c>
      <c r="AM568" s="1" t="s">
        <v>894</v>
      </c>
      <c r="AN568" s="1" t="s">
        <v>895</v>
      </c>
      <c r="AO568" s="1" t="s">
        <v>1387</v>
      </c>
      <c r="AP568" s="1" t="s">
        <v>1388</v>
      </c>
      <c r="AQ568" s="1"/>
      <c r="AR568" s="1" t="s">
        <v>1389</v>
      </c>
      <c r="AS568" s="1" t="s">
        <v>1390</v>
      </c>
      <c r="AT568" s="1" t="s">
        <v>2698</v>
      </c>
      <c r="AU568" s="1" t="n">
        <v>2021</v>
      </c>
      <c r="AV568" s="1" t="n">
        <v>134</v>
      </c>
      <c r="AW568" s="1"/>
      <c r="AX568" s="1"/>
      <c r="AY568" s="1"/>
      <c r="AZ568" s="1"/>
      <c r="BA568" s="1"/>
      <c r="BB568" s="1"/>
      <c r="BC568" s="1"/>
      <c r="BD568" s="1" t="n">
        <v>106551</v>
      </c>
      <c r="BE568" s="1" t="s">
        <v>10208</v>
      </c>
      <c r="BF568" s="1" t="str">
        <f aca="false">HYPERLINK("http://dx.doi.org/10.1016/j.infsof.2021.106551","http://dx.doi.org/10.1016/j.infsof.2021.106551")</f>
        <v>http://dx.doi.org/10.1016/j.infsof.2021.106551</v>
      </c>
      <c r="BG568" s="1"/>
      <c r="BH568" s="1" t="s">
        <v>2718</v>
      </c>
      <c r="BI568" s="1" t="n">
        <v>16</v>
      </c>
      <c r="BJ568" s="1" t="s">
        <v>1394</v>
      </c>
      <c r="BK568" s="1" t="s">
        <v>204</v>
      </c>
      <c r="BL568" s="1" t="s">
        <v>101</v>
      </c>
      <c r="BM568" s="1" t="s">
        <v>7597</v>
      </c>
      <c r="BN568" s="1"/>
      <c r="BO568" s="1" t="s">
        <v>876</v>
      </c>
      <c r="BP568" s="1"/>
      <c r="BQ568" s="1"/>
      <c r="BR568" s="1" t="s">
        <v>103</v>
      </c>
      <c r="BS568" s="1" t="s">
        <v>10209</v>
      </c>
      <c r="BT568" s="1" t="str">
        <f aca="false">HYPERLINK("https%3A%2F%2Fwww.webofscience.com%2Fwos%2Fwoscc%2Ffull-record%2FWOS:000634797600004","View Full Record in Web of Science")</f>
        <v>View Full Record in Web of Science</v>
      </c>
    </row>
    <row r="569" customFormat="false" ht="12.75" hidden="false" customHeight="false" outlineLevel="0" collapsed="false">
      <c r="A569" s="1" t="s">
        <v>181</v>
      </c>
      <c r="B569" s="1" t="s">
        <v>10210</v>
      </c>
      <c r="C569" s="1"/>
      <c r="D569" s="1"/>
      <c r="E569" s="1"/>
      <c r="F569" s="1" t="s">
        <v>10211</v>
      </c>
      <c r="G569" s="1"/>
      <c r="H569" s="1"/>
      <c r="I569" s="1" t="s">
        <v>10212</v>
      </c>
      <c r="J569" s="1" t="s">
        <v>3481</v>
      </c>
      <c r="K569" s="1"/>
      <c r="L569" s="1"/>
      <c r="M569" s="1" t="s">
        <v>78</v>
      </c>
      <c r="N569" s="1" t="s">
        <v>186</v>
      </c>
      <c r="O569" s="1"/>
      <c r="P569" s="1"/>
      <c r="Q569" s="1"/>
      <c r="R569" s="1"/>
      <c r="S569" s="1"/>
      <c r="T569" s="1" t="s">
        <v>10213</v>
      </c>
      <c r="U569" s="1" t="s">
        <v>10214</v>
      </c>
      <c r="V569" s="1" t="s">
        <v>10215</v>
      </c>
      <c r="W569" s="1" t="s">
        <v>10216</v>
      </c>
      <c r="X569" s="1" t="s">
        <v>10217</v>
      </c>
      <c r="Y569" s="1" t="s">
        <v>8183</v>
      </c>
      <c r="Z569" s="1" t="s">
        <v>10218</v>
      </c>
      <c r="AA569" s="1" t="s">
        <v>7092</v>
      </c>
      <c r="AB569" s="1" t="s">
        <v>7093</v>
      </c>
      <c r="AC569" s="1" t="s">
        <v>10219</v>
      </c>
      <c r="AD569" s="1" t="s">
        <v>7095</v>
      </c>
      <c r="AE569" s="1" t="s">
        <v>10220</v>
      </c>
      <c r="AF569" s="1"/>
      <c r="AG569" s="1" t="n">
        <v>54</v>
      </c>
      <c r="AH569" s="1" t="n">
        <v>19</v>
      </c>
      <c r="AI569" s="1" t="n">
        <v>19</v>
      </c>
      <c r="AJ569" s="1" t="n">
        <v>3</v>
      </c>
      <c r="AK569" s="1" t="n">
        <v>33</v>
      </c>
      <c r="AL569" s="1" t="s">
        <v>367</v>
      </c>
      <c r="AM569" s="1" t="s">
        <v>368</v>
      </c>
      <c r="AN569" s="1" t="s">
        <v>369</v>
      </c>
      <c r="AO569" s="1"/>
      <c r="AP569" s="1" t="s">
        <v>3492</v>
      </c>
      <c r="AQ569" s="1"/>
      <c r="AR569" s="1" t="s">
        <v>3493</v>
      </c>
      <c r="AS569" s="1" t="s">
        <v>3494</v>
      </c>
      <c r="AT569" s="1" t="s">
        <v>1453</v>
      </c>
      <c r="AU569" s="1" t="n">
        <v>2021</v>
      </c>
      <c r="AV569" s="1" t="n">
        <v>21</v>
      </c>
      <c r="AW569" s="1" t="n">
        <v>1</v>
      </c>
      <c r="AX569" s="1"/>
      <c r="AY569" s="1"/>
      <c r="AZ569" s="1"/>
      <c r="BA569" s="1"/>
      <c r="BB569" s="1"/>
      <c r="BC569" s="1"/>
      <c r="BD569" s="1" t="n">
        <v>267</v>
      </c>
      <c r="BE569" s="1" t="s">
        <v>10221</v>
      </c>
      <c r="BF569" s="1" t="str">
        <f aca="false">HYPERLINK("http://dx.doi.org/10.3390/s21010267","http://dx.doi.org/10.3390/s21010267")</f>
        <v>http://dx.doi.org/10.3390/s21010267</v>
      </c>
      <c r="BG569" s="1"/>
      <c r="BH569" s="1"/>
      <c r="BI569" s="1" t="n">
        <v>35</v>
      </c>
      <c r="BJ569" s="1" t="s">
        <v>3496</v>
      </c>
      <c r="BK569" s="1" t="s">
        <v>204</v>
      </c>
      <c r="BL569" s="1" t="s">
        <v>3497</v>
      </c>
      <c r="BM569" s="1" t="s">
        <v>10222</v>
      </c>
      <c r="BN569" s="1" t="n">
        <v>33401575</v>
      </c>
      <c r="BO569" s="1" t="s">
        <v>401</v>
      </c>
      <c r="BP569" s="1"/>
      <c r="BQ569" s="1"/>
      <c r="BR569" s="1" t="s">
        <v>103</v>
      </c>
      <c r="BS569" s="1" t="s">
        <v>10223</v>
      </c>
      <c r="BT569" s="1" t="str">
        <f aca="false">HYPERLINK("https%3A%2F%2Fwww.webofscience.com%2Fwos%2Fwoscc%2Ffull-record%2FWOS:000606059700001","View Full Record in Web of Science")</f>
        <v>View Full Record in Web of Science</v>
      </c>
    </row>
    <row r="570" customFormat="false" ht="12.75" hidden="false" customHeight="false" outlineLevel="0" collapsed="false">
      <c r="A570" s="1" t="s">
        <v>72</v>
      </c>
      <c r="B570" s="1" t="s">
        <v>10224</v>
      </c>
      <c r="C570" s="1"/>
      <c r="D570" s="1" t="s">
        <v>5243</v>
      </c>
      <c r="E570" s="1"/>
      <c r="F570" s="1" t="s">
        <v>10225</v>
      </c>
      <c r="G570" s="1"/>
      <c r="H570" s="1"/>
      <c r="I570" s="1" t="s">
        <v>10226</v>
      </c>
      <c r="J570" s="1" t="s">
        <v>5246</v>
      </c>
      <c r="K570" s="1" t="s">
        <v>5153</v>
      </c>
      <c r="L570" s="1"/>
      <c r="M570" s="1" t="s">
        <v>78</v>
      </c>
      <c r="N570" s="1" t="s">
        <v>79</v>
      </c>
      <c r="O570" s="1" t="s">
        <v>5247</v>
      </c>
      <c r="P570" s="1" t="s">
        <v>5248</v>
      </c>
      <c r="Q570" s="1" t="s">
        <v>82</v>
      </c>
      <c r="R570" s="1" t="s">
        <v>5249</v>
      </c>
      <c r="S570" s="1"/>
      <c r="T570" s="1"/>
      <c r="U570" s="1"/>
      <c r="V570" s="1" t="s">
        <v>10227</v>
      </c>
      <c r="W570" s="1" t="s">
        <v>10228</v>
      </c>
      <c r="X570" s="1" t="s">
        <v>10229</v>
      </c>
      <c r="Y570" s="1" t="s">
        <v>10230</v>
      </c>
      <c r="Z570" s="1" t="s">
        <v>10231</v>
      </c>
      <c r="AA570" s="1" t="s">
        <v>5254</v>
      </c>
      <c r="AB570" s="1"/>
      <c r="AC570" s="1"/>
      <c r="AD570" s="1"/>
      <c r="AE570" s="1"/>
      <c r="AF570" s="1"/>
      <c r="AG570" s="1" t="n">
        <v>11</v>
      </c>
      <c r="AH570" s="1" t="n">
        <v>0</v>
      </c>
      <c r="AI570" s="1" t="n">
        <v>0</v>
      </c>
      <c r="AJ570" s="1" t="n">
        <v>1</v>
      </c>
      <c r="AK570" s="1" t="n">
        <v>1</v>
      </c>
      <c r="AL570" s="1" t="s">
        <v>5169</v>
      </c>
      <c r="AM570" s="1" t="s">
        <v>5170</v>
      </c>
      <c r="AN570" s="1" t="s">
        <v>5171</v>
      </c>
      <c r="AO570" s="1" t="s">
        <v>5172</v>
      </c>
      <c r="AP570" s="1"/>
      <c r="AQ570" s="1"/>
      <c r="AR570" s="1" t="s">
        <v>5173</v>
      </c>
      <c r="AS570" s="1"/>
      <c r="AT570" s="1"/>
      <c r="AU570" s="1" t="n">
        <v>2024</v>
      </c>
      <c r="AV570" s="1" t="n">
        <v>1307</v>
      </c>
      <c r="AW570" s="1"/>
      <c r="AX570" s="1"/>
      <c r="AY570" s="1"/>
      <c r="AZ570" s="1"/>
      <c r="BA570" s="1"/>
      <c r="BB570" s="1"/>
      <c r="BC570" s="1"/>
      <c r="BD570" s="1" t="n">
        <v>12040</v>
      </c>
      <c r="BE570" s="1" t="s">
        <v>10232</v>
      </c>
      <c r="BF570" s="1" t="str">
        <f aca="false">HYPERLINK("http://dx.doi.org/10.1088/1757-899X/1307/1/012040","http://dx.doi.org/10.1088/1757-899X/1307/1/012040")</f>
        <v>http://dx.doi.org/10.1088/1757-899X/1307/1/012040</v>
      </c>
      <c r="BG570" s="1"/>
      <c r="BH570" s="1"/>
      <c r="BI570" s="1" t="n">
        <v>8</v>
      </c>
      <c r="BJ570" s="1" t="s">
        <v>5175</v>
      </c>
      <c r="BK570" s="1" t="s">
        <v>100</v>
      </c>
      <c r="BL570" s="1" t="s">
        <v>5176</v>
      </c>
      <c r="BM570" s="1" t="s">
        <v>5259</v>
      </c>
      <c r="BN570" s="1"/>
      <c r="BO570" s="1" t="s">
        <v>642</v>
      </c>
      <c r="BP570" s="1"/>
      <c r="BQ570" s="1"/>
      <c r="BR570" s="1" t="s">
        <v>103</v>
      </c>
      <c r="BS570" s="1" t="s">
        <v>10233</v>
      </c>
      <c r="BT570" s="1" t="str">
        <f aca="false">HYPERLINK("https%3A%2F%2Fwww.webofscience.com%2Fwos%2Fwoscc%2Ffull-record%2FWOS:001245186500040","View Full Record in Web of Science")</f>
        <v>View Full Record in Web of Science</v>
      </c>
    </row>
    <row r="571" customFormat="false" ht="12.75" hidden="false" customHeight="false" outlineLevel="0" collapsed="false">
      <c r="A571" s="1" t="s">
        <v>181</v>
      </c>
      <c r="B571" s="1" t="s">
        <v>10234</v>
      </c>
      <c r="C571" s="1"/>
      <c r="D571" s="1"/>
      <c r="E571" s="1"/>
      <c r="F571" s="1" t="s">
        <v>10235</v>
      </c>
      <c r="G571" s="1"/>
      <c r="H571" s="1"/>
      <c r="I571" s="1" t="s">
        <v>10236</v>
      </c>
      <c r="J571" s="1" t="s">
        <v>10237</v>
      </c>
      <c r="K571" s="1"/>
      <c r="L571" s="1"/>
      <c r="M571" s="1" t="s">
        <v>78</v>
      </c>
      <c r="N571" s="1" t="s">
        <v>186</v>
      </c>
      <c r="O571" s="1"/>
      <c r="P571" s="1"/>
      <c r="Q571" s="1"/>
      <c r="R571" s="1"/>
      <c r="S571" s="1"/>
      <c r="T571" s="1" t="s">
        <v>10238</v>
      </c>
      <c r="U571" s="1" t="s">
        <v>10239</v>
      </c>
      <c r="V571" s="1" t="s">
        <v>10240</v>
      </c>
      <c r="W571" s="1" t="s">
        <v>10241</v>
      </c>
      <c r="X571" s="1" t="s">
        <v>10242</v>
      </c>
      <c r="Y571" s="1" t="s">
        <v>10243</v>
      </c>
      <c r="Z571" s="1" t="s">
        <v>10244</v>
      </c>
      <c r="AA571" s="1" t="s">
        <v>10245</v>
      </c>
      <c r="AB571" s="1" t="s">
        <v>10246</v>
      </c>
      <c r="AC571" s="1" t="s">
        <v>10247</v>
      </c>
      <c r="AD571" s="1" t="s">
        <v>10247</v>
      </c>
      <c r="AE571" s="1" t="s">
        <v>10248</v>
      </c>
      <c r="AF571" s="1"/>
      <c r="AG571" s="1" t="n">
        <v>61</v>
      </c>
      <c r="AH571" s="1" t="n">
        <v>1</v>
      </c>
      <c r="AI571" s="1" t="n">
        <v>1</v>
      </c>
      <c r="AJ571" s="1" t="n">
        <v>0</v>
      </c>
      <c r="AK571" s="1" t="n">
        <v>2</v>
      </c>
      <c r="AL571" s="1" t="s">
        <v>600</v>
      </c>
      <c r="AM571" s="1" t="s">
        <v>601</v>
      </c>
      <c r="AN571" s="1" t="s">
        <v>602</v>
      </c>
      <c r="AO571" s="1" t="s">
        <v>10249</v>
      </c>
      <c r="AP571" s="1" t="s">
        <v>10250</v>
      </c>
      <c r="AQ571" s="1"/>
      <c r="AR571" s="1" t="s">
        <v>10251</v>
      </c>
      <c r="AS571" s="1" t="s">
        <v>10252</v>
      </c>
      <c r="AT571" s="1" t="s">
        <v>711</v>
      </c>
      <c r="AU571" s="1" t="n">
        <v>2024</v>
      </c>
      <c r="AV571" s="1" t="n">
        <v>22</v>
      </c>
      <c r="AW571" s="1" t="n">
        <v>3</v>
      </c>
      <c r="AX571" s="1"/>
      <c r="AY571" s="1"/>
      <c r="AZ571" s="1"/>
      <c r="BA571" s="1"/>
      <c r="BB571" s="1" t="n">
        <v>575</v>
      </c>
      <c r="BC571" s="1" t="n">
        <v>587</v>
      </c>
      <c r="BD571" s="1"/>
      <c r="BE571" s="1" t="s">
        <v>10253</v>
      </c>
      <c r="BF571" s="1" t="str">
        <f aca="false">HYPERLINK("http://dx.doi.org/10.1111/idh.12711","http://dx.doi.org/10.1111/idh.12711")</f>
        <v>http://dx.doi.org/10.1111/idh.12711</v>
      </c>
      <c r="BG571" s="1"/>
      <c r="BH571" s="1" t="s">
        <v>10254</v>
      </c>
      <c r="BI571" s="1" t="n">
        <v>13</v>
      </c>
      <c r="BJ571" s="1" t="s">
        <v>4910</v>
      </c>
      <c r="BK571" s="1" t="s">
        <v>204</v>
      </c>
      <c r="BL571" s="1" t="s">
        <v>4910</v>
      </c>
      <c r="BM571" s="1" t="s">
        <v>10255</v>
      </c>
      <c r="BN571" s="1" t="n">
        <v>37369990</v>
      </c>
      <c r="BO571" s="1" t="s">
        <v>207</v>
      </c>
      <c r="BP571" s="1"/>
      <c r="BQ571" s="1"/>
      <c r="BR571" s="1" t="s">
        <v>103</v>
      </c>
      <c r="BS571" s="1" t="s">
        <v>10256</v>
      </c>
      <c r="BT571" s="1" t="str">
        <f aca="false">HYPERLINK("https%3A%2F%2Fwww.webofscience.com%2Fwos%2Fwoscc%2Ffull-record%2FWOS:001020957000001","View Full Record in Web of Science")</f>
        <v>View Full Record in Web of Science</v>
      </c>
    </row>
    <row r="572" customFormat="false" ht="12.75" hidden="false" customHeight="false" outlineLevel="0" collapsed="false">
      <c r="A572" s="1" t="s">
        <v>181</v>
      </c>
      <c r="B572" s="1" t="s">
        <v>10257</v>
      </c>
      <c r="C572" s="1"/>
      <c r="D572" s="1"/>
      <c r="E572" s="1"/>
      <c r="F572" s="1" t="s">
        <v>10258</v>
      </c>
      <c r="G572" s="1"/>
      <c r="H572" s="1"/>
      <c r="I572" s="1" t="s">
        <v>10259</v>
      </c>
      <c r="J572" s="1" t="s">
        <v>10260</v>
      </c>
      <c r="K572" s="1"/>
      <c r="L572" s="1"/>
      <c r="M572" s="1" t="s">
        <v>78</v>
      </c>
      <c r="N572" s="1" t="s">
        <v>5066</v>
      </c>
      <c r="O572" s="1"/>
      <c r="P572" s="1"/>
      <c r="Q572" s="1"/>
      <c r="R572" s="1"/>
      <c r="S572" s="1"/>
      <c r="T572" s="1"/>
      <c r="U572" s="1"/>
      <c r="V572" s="1"/>
      <c r="W572" s="1" t="s">
        <v>10261</v>
      </c>
      <c r="X572" s="1" t="s">
        <v>10262</v>
      </c>
      <c r="Y572" s="1"/>
      <c r="Z572" s="1"/>
      <c r="AA572" s="1" t="s">
        <v>10263</v>
      </c>
      <c r="AB572" s="1"/>
      <c r="AC572" s="1"/>
      <c r="AD572" s="1"/>
      <c r="AE572" s="1"/>
      <c r="AF572" s="1"/>
      <c r="AG572" s="1" t="n">
        <v>1</v>
      </c>
      <c r="AH572" s="1" t="n">
        <v>0</v>
      </c>
      <c r="AI572" s="1" t="n">
        <v>0</v>
      </c>
      <c r="AJ572" s="1" t="n">
        <v>0</v>
      </c>
      <c r="AK572" s="1" t="n">
        <v>2</v>
      </c>
      <c r="AL572" s="1" t="s">
        <v>5232</v>
      </c>
      <c r="AM572" s="1" t="s">
        <v>894</v>
      </c>
      <c r="AN572" s="1" t="s">
        <v>5233</v>
      </c>
      <c r="AO572" s="1" t="s">
        <v>10264</v>
      </c>
      <c r="AP572" s="1" t="s">
        <v>10265</v>
      </c>
      <c r="AQ572" s="1"/>
      <c r="AR572" s="1" t="s">
        <v>10266</v>
      </c>
      <c r="AS572" s="1" t="s">
        <v>10267</v>
      </c>
      <c r="AT572" s="1"/>
      <c r="AU572" s="1" t="n">
        <v>2023</v>
      </c>
      <c r="AV572" s="1" t="n">
        <v>27</v>
      </c>
      <c r="AW572" s="1" t="n">
        <v>3</v>
      </c>
      <c r="AX572" s="1"/>
      <c r="AY572" s="1"/>
      <c r="AZ572" s="1"/>
      <c r="BA572" s="1"/>
      <c r="BB572" s="1" t="n">
        <v>885</v>
      </c>
      <c r="BC572" s="1" t="n">
        <v>885</v>
      </c>
      <c r="BD572" s="1"/>
      <c r="BE572" s="1" t="s">
        <v>10268</v>
      </c>
      <c r="BF572" s="1" t="str">
        <f aca="false">HYPERLINK("http://dx.doi.org/10.3233/IDA-230950","http://dx.doi.org/10.3233/IDA-230950")</f>
        <v>http://dx.doi.org/10.3233/IDA-230950</v>
      </c>
      <c r="BG572" s="1"/>
      <c r="BH572" s="1"/>
      <c r="BI572" s="1" t="n">
        <v>1</v>
      </c>
      <c r="BJ572" s="1" t="s">
        <v>1625</v>
      </c>
      <c r="BK572" s="1" t="s">
        <v>204</v>
      </c>
      <c r="BL572" s="1" t="s">
        <v>101</v>
      </c>
      <c r="BM572" s="1" t="s">
        <v>10269</v>
      </c>
      <c r="BN572" s="1"/>
      <c r="BO572" s="1" t="s">
        <v>444</v>
      </c>
      <c r="BP572" s="1"/>
      <c r="BQ572" s="1"/>
      <c r="BR572" s="1" t="s">
        <v>103</v>
      </c>
      <c r="BS572" s="1" t="s">
        <v>10270</v>
      </c>
      <c r="BT572" s="1" t="str">
        <f aca="false">HYPERLINK("https%3A%2F%2Fwww.webofscience.com%2Fwos%2Fwoscc%2Ffull-record%2FWOS:000987274200017","View Full Record in Web of Science")</f>
        <v>View Full Record in Web of Science</v>
      </c>
    </row>
    <row r="573" customFormat="false" ht="12.75" hidden="false" customHeight="false" outlineLevel="0" collapsed="false">
      <c r="A573" s="1" t="s">
        <v>181</v>
      </c>
      <c r="B573" s="1" t="s">
        <v>10271</v>
      </c>
      <c r="C573" s="1"/>
      <c r="D573" s="1"/>
      <c r="E573" s="1"/>
      <c r="F573" s="1" t="s">
        <v>586</v>
      </c>
      <c r="G573" s="1"/>
      <c r="H573" s="1"/>
      <c r="I573" s="1" t="s">
        <v>10272</v>
      </c>
      <c r="J573" s="1" t="s">
        <v>406</v>
      </c>
      <c r="K573" s="1"/>
      <c r="L573" s="1"/>
      <c r="M573" s="1" t="s">
        <v>78</v>
      </c>
      <c r="N573" s="1" t="s">
        <v>186</v>
      </c>
      <c r="O573" s="1"/>
      <c r="P573" s="1"/>
      <c r="Q573" s="1"/>
      <c r="R573" s="1"/>
      <c r="S573" s="1"/>
      <c r="T573" s="1" t="s">
        <v>10273</v>
      </c>
      <c r="U573" s="1" t="s">
        <v>10274</v>
      </c>
      <c r="V573" s="1" t="s">
        <v>10275</v>
      </c>
      <c r="W573" s="1" t="s">
        <v>10276</v>
      </c>
      <c r="X573" s="1" t="s">
        <v>10277</v>
      </c>
      <c r="Y573" s="1" t="s">
        <v>10278</v>
      </c>
      <c r="Z573" s="1" t="s">
        <v>10279</v>
      </c>
      <c r="AA573" s="1" t="s">
        <v>595</v>
      </c>
      <c r="AB573" s="1" t="s">
        <v>10280</v>
      </c>
      <c r="AC573" s="1" t="s">
        <v>10281</v>
      </c>
      <c r="AD573" s="1" t="s">
        <v>10282</v>
      </c>
      <c r="AE573" s="1" t="s">
        <v>10283</v>
      </c>
      <c r="AF573" s="1"/>
      <c r="AG573" s="1" t="n">
        <v>68</v>
      </c>
      <c r="AH573" s="1" t="n">
        <v>8</v>
      </c>
      <c r="AI573" s="1" t="n">
        <v>8</v>
      </c>
      <c r="AJ573" s="1" t="n">
        <v>1</v>
      </c>
      <c r="AK573" s="1" t="n">
        <v>16</v>
      </c>
      <c r="AL573" s="1" t="s">
        <v>367</v>
      </c>
      <c r="AM573" s="1" t="s">
        <v>368</v>
      </c>
      <c r="AN573" s="1" t="s">
        <v>369</v>
      </c>
      <c r="AO573" s="1"/>
      <c r="AP573" s="1" t="s">
        <v>418</v>
      </c>
      <c r="AQ573" s="1"/>
      <c r="AR573" s="1" t="s">
        <v>419</v>
      </c>
      <c r="AS573" s="1" t="s">
        <v>420</v>
      </c>
      <c r="AT573" s="1" t="s">
        <v>1391</v>
      </c>
      <c r="AU573" s="1" t="n">
        <v>2021</v>
      </c>
      <c r="AV573" s="1" t="n">
        <v>18</v>
      </c>
      <c r="AW573" s="1" t="n">
        <v>21</v>
      </c>
      <c r="AX573" s="1"/>
      <c r="AY573" s="1"/>
      <c r="AZ573" s="1"/>
      <c r="BA573" s="1"/>
      <c r="BB573" s="1"/>
      <c r="BC573" s="1"/>
      <c r="BD573" s="1" t="n">
        <v>11332</v>
      </c>
      <c r="BE573" s="1" t="s">
        <v>10284</v>
      </c>
      <c r="BF573" s="1" t="str">
        <f aca="false">HYPERLINK("http://dx.doi.org/10.3390/ijerph182111332","http://dx.doi.org/10.3390/ijerph182111332")</f>
        <v>http://dx.doi.org/10.3390/ijerph182111332</v>
      </c>
      <c r="BG573" s="1"/>
      <c r="BH573" s="1"/>
      <c r="BI573" s="1" t="n">
        <v>16</v>
      </c>
      <c r="BJ573" s="1" t="s">
        <v>423</v>
      </c>
      <c r="BK573" s="1" t="s">
        <v>398</v>
      </c>
      <c r="BL573" s="1" t="s">
        <v>424</v>
      </c>
      <c r="BM573" s="1" t="s">
        <v>10285</v>
      </c>
      <c r="BN573" s="1" t="n">
        <v>34769845</v>
      </c>
      <c r="BO573" s="1" t="s">
        <v>542</v>
      </c>
      <c r="BP573" s="1"/>
      <c r="BQ573" s="1"/>
      <c r="BR573" s="1" t="s">
        <v>103</v>
      </c>
      <c r="BS573" s="1" t="s">
        <v>10286</v>
      </c>
      <c r="BT573" s="1" t="str">
        <f aca="false">HYPERLINK("https%3A%2F%2Fwww.webofscience.com%2Fwos%2Fwoscc%2Ffull-record%2FWOS:000722372700001","View Full Record in Web of Science")</f>
        <v>View Full Record in Web of Science</v>
      </c>
    </row>
    <row r="574" customFormat="false" ht="12.75" hidden="false" customHeight="false" outlineLevel="0" collapsed="false">
      <c r="A574" s="1" t="s">
        <v>181</v>
      </c>
      <c r="B574" s="1" t="s">
        <v>10287</v>
      </c>
      <c r="C574" s="1"/>
      <c r="D574" s="1"/>
      <c r="E574" s="1"/>
      <c r="F574" s="1" t="s">
        <v>10288</v>
      </c>
      <c r="G574" s="1"/>
      <c r="H574" s="1"/>
      <c r="I574" s="1" t="s">
        <v>10289</v>
      </c>
      <c r="J574" s="1" t="s">
        <v>1921</v>
      </c>
      <c r="K574" s="1"/>
      <c r="L574" s="1"/>
      <c r="M574" s="1" t="s">
        <v>78</v>
      </c>
      <c r="N574" s="1" t="s">
        <v>186</v>
      </c>
      <c r="O574" s="1"/>
      <c r="P574" s="1"/>
      <c r="Q574" s="1"/>
      <c r="R574" s="1"/>
      <c r="S574" s="1"/>
      <c r="T574" s="1" t="s">
        <v>10290</v>
      </c>
      <c r="U574" s="1"/>
      <c r="V574" s="1" t="s">
        <v>10291</v>
      </c>
      <c r="W574" s="1" t="s">
        <v>10292</v>
      </c>
      <c r="X574" s="1" t="s">
        <v>10293</v>
      </c>
      <c r="Y574" s="1" t="s">
        <v>10294</v>
      </c>
      <c r="Z574" s="1" t="s">
        <v>10295</v>
      </c>
      <c r="AA574" s="1"/>
      <c r="AB574" s="1" t="s">
        <v>10296</v>
      </c>
      <c r="AC574" s="1" t="s">
        <v>268</v>
      </c>
      <c r="AD574" s="1" t="s">
        <v>268</v>
      </c>
      <c r="AE574" s="1" t="s">
        <v>269</v>
      </c>
      <c r="AF574" s="1"/>
      <c r="AG574" s="1" t="n">
        <v>31</v>
      </c>
      <c r="AH574" s="1" t="n">
        <v>3</v>
      </c>
      <c r="AI574" s="1" t="n">
        <v>3</v>
      </c>
      <c r="AJ574" s="1" t="n">
        <v>0</v>
      </c>
      <c r="AK574" s="1" t="n">
        <v>7</v>
      </c>
      <c r="AL574" s="1" t="s">
        <v>679</v>
      </c>
      <c r="AM574" s="1" t="s">
        <v>95</v>
      </c>
      <c r="AN574" s="1" t="s">
        <v>803</v>
      </c>
      <c r="AO574" s="1" t="s">
        <v>1929</v>
      </c>
      <c r="AP574" s="1" t="s">
        <v>1930</v>
      </c>
      <c r="AQ574" s="1"/>
      <c r="AR574" s="1" t="s">
        <v>1931</v>
      </c>
      <c r="AS574" s="1" t="s">
        <v>1932</v>
      </c>
      <c r="AT574" s="1" t="s">
        <v>474</v>
      </c>
      <c r="AU574" s="1" t="n">
        <v>2021</v>
      </c>
      <c r="AV574" s="1" t="n">
        <v>26</v>
      </c>
      <c r="AW574" s="1" t="n">
        <v>3</v>
      </c>
      <c r="AX574" s="1"/>
      <c r="AY574" s="1"/>
      <c r="AZ574" s="1"/>
      <c r="BA574" s="1"/>
      <c r="BB574" s="1" t="n">
        <v>459</v>
      </c>
      <c r="BC574" s="1" t="n">
        <v>480</v>
      </c>
      <c r="BD574" s="1"/>
      <c r="BE574" s="1" t="s">
        <v>10297</v>
      </c>
      <c r="BF574" s="1" t="str">
        <f aca="false">HYPERLINK("http://dx.doi.org/10.1007/s00766-021-00351-7","http://dx.doi.org/10.1007/s00766-021-00351-7")</f>
        <v>http://dx.doi.org/10.1007/s00766-021-00351-7</v>
      </c>
      <c r="BG574" s="1"/>
      <c r="BH574" s="1" t="s">
        <v>8640</v>
      </c>
      <c r="BI574" s="1" t="n">
        <v>22</v>
      </c>
      <c r="BJ574" s="1" t="s">
        <v>1394</v>
      </c>
      <c r="BK574" s="1" t="s">
        <v>398</v>
      </c>
      <c r="BL574" s="1" t="s">
        <v>101</v>
      </c>
      <c r="BM574" s="1" t="s">
        <v>10298</v>
      </c>
      <c r="BN574" s="1"/>
      <c r="BO574" s="1" t="s">
        <v>282</v>
      </c>
      <c r="BP574" s="1"/>
      <c r="BQ574" s="1"/>
      <c r="BR574" s="1" t="s">
        <v>103</v>
      </c>
      <c r="BS574" s="1" t="s">
        <v>10299</v>
      </c>
      <c r="BT574" s="1" t="str">
        <f aca="false">HYPERLINK("https%3A%2F%2Fwww.webofscience.com%2Fwos%2Fwoscc%2Ffull-record%2FWOS:000639369700001","View Full Record in Web of Science")</f>
        <v>View Full Record in Web of Science</v>
      </c>
    </row>
    <row r="575" customFormat="false" ht="12.75" hidden="false" customHeight="false" outlineLevel="0" collapsed="false">
      <c r="A575" s="1" t="s">
        <v>181</v>
      </c>
      <c r="B575" s="1" t="s">
        <v>10300</v>
      </c>
      <c r="C575" s="1"/>
      <c r="D575" s="1"/>
      <c r="E575" s="1"/>
      <c r="F575" s="1" t="s">
        <v>10301</v>
      </c>
      <c r="G575" s="1"/>
      <c r="H575" s="1"/>
      <c r="I575" s="1" t="s">
        <v>10302</v>
      </c>
      <c r="J575" s="1" t="s">
        <v>3700</v>
      </c>
      <c r="K575" s="1"/>
      <c r="L575" s="1"/>
      <c r="M575" s="1" t="s">
        <v>78</v>
      </c>
      <c r="N575" s="1" t="s">
        <v>186</v>
      </c>
      <c r="O575" s="1"/>
      <c r="P575" s="1"/>
      <c r="Q575" s="1"/>
      <c r="R575" s="1"/>
      <c r="S575" s="1"/>
      <c r="T575" s="1" t="s">
        <v>10303</v>
      </c>
      <c r="U575" s="1"/>
      <c r="V575" s="1" t="s">
        <v>10304</v>
      </c>
      <c r="W575" s="1" t="s">
        <v>10305</v>
      </c>
      <c r="X575" s="1" t="s">
        <v>10306</v>
      </c>
      <c r="Y575" s="1" t="s">
        <v>7787</v>
      </c>
      <c r="Z575" s="1" t="s">
        <v>10307</v>
      </c>
      <c r="AA575" s="1"/>
      <c r="AB575" s="1" t="s">
        <v>10308</v>
      </c>
      <c r="AC575" s="1" t="s">
        <v>10309</v>
      </c>
      <c r="AD575" s="1" t="s">
        <v>10310</v>
      </c>
      <c r="AE575" s="1" t="s">
        <v>10311</v>
      </c>
      <c r="AF575" s="1"/>
      <c r="AG575" s="1" t="n">
        <v>54</v>
      </c>
      <c r="AH575" s="1" t="n">
        <v>0</v>
      </c>
      <c r="AI575" s="1" t="n">
        <v>0</v>
      </c>
      <c r="AJ575" s="1" t="n">
        <v>2</v>
      </c>
      <c r="AK575" s="1" t="n">
        <v>2</v>
      </c>
      <c r="AL575" s="1" t="s">
        <v>3711</v>
      </c>
      <c r="AM575" s="1" t="s">
        <v>95</v>
      </c>
      <c r="AN575" s="1" t="s">
        <v>3712</v>
      </c>
      <c r="AO575" s="1" t="s">
        <v>3713</v>
      </c>
      <c r="AP575" s="1" t="s">
        <v>3714</v>
      </c>
      <c r="AQ575" s="1"/>
      <c r="AR575" s="1" t="s">
        <v>3715</v>
      </c>
      <c r="AS575" s="1" t="s">
        <v>3716</v>
      </c>
      <c r="AT575" s="1" t="s">
        <v>421</v>
      </c>
      <c r="AU575" s="1" t="n">
        <v>2025</v>
      </c>
      <c r="AV575" s="1" t="n">
        <v>222</v>
      </c>
      <c r="AW575" s="1"/>
      <c r="AX575" s="1"/>
      <c r="AY575" s="1"/>
      <c r="AZ575" s="1"/>
      <c r="BA575" s="1"/>
      <c r="BB575" s="1"/>
      <c r="BC575" s="1"/>
      <c r="BD575" s="1" t="n">
        <v>112286</v>
      </c>
      <c r="BE575" s="1" t="s">
        <v>10312</v>
      </c>
      <c r="BF575" s="1" t="str">
        <f aca="false">HYPERLINK("http://dx.doi.org/10.1016/j.jss.2024.112286","http://dx.doi.org/10.1016/j.jss.2024.112286")</f>
        <v>http://dx.doi.org/10.1016/j.jss.2024.112286</v>
      </c>
      <c r="BG575" s="1"/>
      <c r="BH575" s="1" t="s">
        <v>9347</v>
      </c>
      <c r="BI575" s="1" t="n">
        <v>15</v>
      </c>
      <c r="BJ575" s="1" t="s">
        <v>994</v>
      </c>
      <c r="BK575" s="1" t="s">
        <v>204</v>
      </c>
      <c r="BL575" s="1" t="s">
        <v>101</v>
      </c>
      <c r="BM575" s="1" t="s">
        <v>10313</v>
      </c>
      <c r="BN575" s="1"/>
      <c r="BO575" s="1" t="s">
        <v>282</v>
      </c>
      <c r="BP575" s="1"/>
      <c r="BQ575" s="1"/>
      <c r="BR575" s="1" t="s">
        <v>103</v>
      </c>
      <c r="BS575" s="1" t="s">
        <v>10314</v>
      </c>
      <c r="BT575" s="1" t="str">
        <f aca="false">HYPERLINK("https%3A%2F%2Fwww.webofscience.com%2Fwos%2Fwoscc%2Ffull-record%2FWOS:001375573600001","View Full Record in Web of Science")</f>
        <v>View Full Record in Web of Science</v>
      </c>
    </row>
    <row r="576" customFormat="false" ht="12.75" hidden="false" customHeight="false" outlineLevel="0" collapsed="false">
      <c r="A576" s="1" t="s">
        <v>181</v>
      </c>
      <c r="B576" s="1" t="s">
        <v>10315</v>
      </c>
      <c r="C576" s="1"/>
      <c r="D576" s="1"/>
      <c r="E576" s="1"/>
      <c r="F576" s="1" t="s">
        <v>10316</v>
      </c>
      <c r="G576" s="1"/>
      <c r="H576" s="1"/>
      <c r="I576" s="1" t="s">
        <v>10317</v>
      </c>
      <c r="J576" s="1" t="s">
        <v>3700</v>
      </c>
      <c r="K576" s="1"/>
      <c r="L576" s="1"/>
      <c r="M576" s="1" t="s">
        <v>78</v>
      </c>
      <c r="N576" s="1" t="s">
        <v>186</v>
      </c>
      <c r="O576" s="1"/>
      <c r="P576" s="1"/>
      <c r="Q576" s="1"/>
      <c r="R576" s="1"/>
      <c r="S576" s="1"/>
      <c r="T576" s="1" t="s">
        <v>10318</v>
      </c>
      <c r="U576" s="1" t="s">
        <v>10319</v>
      </c>
      <c r="V576" s="1" t="s">
        <v>10320</v>
      </c>
      <c r="W576" s="1" t="s">
        <v>10321</v>
      </c>
      <c r="X576" s="1" t="s">
        <v>10322</v>
      </c>
      <c r="Y576" s="1" t="s">
        <v>10323</v>
      </c>
      <c r="Z576" s="1" t="s">
        <v>10324</v>
      </c>
      <c r="AA576" s="1" t="s">
        <v>6797</v>
      </c>
      <c r="AB576" s="1" t="s">
        <v>10325</v>
      </c>
      <c r="AC576" s="1" t="s">
        <v>10326</v>
      </c>
      <c r="AD576" s="1" t="s">
        <v>10327</v>
      </c>
      <c r="AE576" s="1" t="s">
        <v>10328</v>
      </c>
      <c r="AF576" s="1"/>
      <c r="AG576" s="1" t="n">
        <v>200</v>
      </c>
      <c r="AH576" s="1" t="n">
        <v>16</v>
      </c>
      <c r="AI576" s="1" t="n">
        <v>16</v>
      </c>
      <c r="AJ576" s="1" t="n">
        <v>5</v>
      </c>
      <c r="AK576" s="1" t="n">
        <v>30</v>
      </c>
      <c r="AL576" s="1" t="s">
        <v>3711</v>
      </c>
      <c r="AM576" s="1" t="s">
        <v>95</v>
      </c>
      <c r="AN576" s="1" t="s">
        <v>3712</v>
      </c>
      <c r="AO576" s="1" t="s">
        <v>3713</v>
      </c>
      <c r="AP576" s="1" t="s">
        <v>3714</v>
      </c>
      <c r="AQ576" s="1"/>
      <c r="AR576" s="1" t="s">
        <v>3715</v>
      </c>
      <c r="AS576" s="1" t="s">
        <v>3716</v>
      </c>
      <c r="AT576" s="1" t="s">
        <v>754</v>
      </c>
      <c r="AU576" s="1" t="n">
        <v>2023</v>
      </c>
      <c r="AV576" s="1" t="n">
        <v>199</v>
      </c>
      <c r="AW576" s="1"/>
      <c r="AX576" s="1"/>
      <c r="AY576" s="1"/>
      <c r="AZ576" s="1"/>
      <c r="BA576" s="1"/>
      <c r="BB576" s="1"/>
      <c r="BC576" s="1"/>
      <c r="BD576" s="1" t="n">
        <v>111615</v>
      </c>
      <c r="BE576" s="1" t="s">
        <v>10329</v>
      </c>
      <c r="BF576" s="1" t="str">
        <f aca="false">HYPERLINK("http://dx.doi.org/10.1016/j.jss.2023.111615","http://dx.doi.org/10.1016/j.jss.2023.111615")</f>
        <v>http://dx.doi.org/10.1016/j.jss.2023.111615</v>
      </c>
      <c r="BG576" s="1"/>
      <c r="BH576" s="1" t="s">
        <v>3946</v>
      </c>
      <c r="BI576" s="1" t="n">
        <v>26</v>
      </c>
      <c r="BJ576" s="1" t="s">
        <v>994</v>
      </c>
      <c r="BK576" s="1" t="s">
        <v>204</v>
      </c>
      <c r="BL576" s="1" t="s">
        <v>101</v>
      </c>
      <c r="BM576" s="1" t="s">
        <v>10330</v>
      </c>
      <c r="BN576" s="1"/>
      <c r="BO576" s="1" t="s">
        <v>3326</v>
      </c>
      <c r="BP576" s="1"/>
      <c r="BQ576" s="1"/>
      <c r="BR576" s="1" t="s">
        <v>103</v>
      </c>
      <c r="BS576" s="1" t="s">
        <v>10331</v>
      </c>
      <c r="BT576" s="1" t="str">
        <f aca="false">HYPERLINK("https%3A%2F%2Fwww.webofscience.com%2Fwos%2Fwoscc%2Ffull-record%2FWOS:000967982100001","View Full Record in Web of Science")</f>
        <v>View Full Record in Web of Science</v>
      </c>
    </row>
    <row r="577" customFormat="false" ht="12.75" hidden="false" customHeight="false" outlineLevel="0" collapsed="false">
      <c r="A577" s="1" t="s">
        <v>72</v>
      </c>
      <c r="B577" s="1" t="s">
        <v>10332</v>
      </c>
      <c r="C577" s="1"/>
      <c r="D577" s="1" t="s">
        <v>5149</v>
      </c>
      <c r="E577" s="1"/>
      <c r="F577" s="1" t="s">
        <v>10333</v>
      </c>
      <c r="G577" s="1"/>
      <c r="H577" s="1"/>
      <c r="I577" s="1" t="s">
        <v>10334</v>
      </c>
      <c r="J577" s="1" t="s">
        <v>5152</v>
      </c>
      <c r="K577" s="1" t="s">
        <v>5153</v>
      </c>
      <c r="L577" s="1"/>
      <c r="M577" s="1" t="s">
        <v>78</v>
      </c>
      <c r="N577" s="1" t="s">
        <v>79</v>
      </c>
      <c r="O577" s="1" t="s">
        <v>5154</v>
      </c>
      <c r="P577" s="1" t="s">
        <v>5155</v>
      </c>
      <c r="Q577" s="1" t="s">
        <v>5156</v>
      </c>
      <c r="R577" s="1" t="s">
        <v>5157</v>
      </c>
      <c r="S577" s="1"/>
      <c r="T577" s="1"/>
      <c r="U577" s="1"/>
      <c r="V577" s="1" t="s">
        <v>10335</v>
      </c>
      <c r="W577" s="1" t="s">
        <v>10336</v>
      </c>
      <c r="X577" s="1" t="s">
        <v>10337</v>
      </c>
      <c r="Y577" s="1" t="s">
        <v>5252</v>
      </c>
      <c r="Z577" s="1" t="s">
        <v>5253</v>
      </c>
      <c r="AA577" s="1" t="s">
        <v>10338</v>
      </c>
      <c r="AB577" s="1" t="s">
        <v>10339</v>
      </c>
      <c r="AC577" s="1" t="s">
        <v>9702</v>
      </c>
      <c r="AD577" s="1" t="s">
        <v>10340</v>
      </c>
      <c r="AE577" s="1" t="s">
        <v>9704</v>
      </c>
      <c r="AF577" s="1"/>
      <c r="AG577" s="1" t="n">
        <v>8</v>
      </c>
      <c r="AH577" s="1" t="n">
        <v>0</v>
      </c>
      <c r="AI577" s="1" t="n">
        <v>0</v>
      </c>
      <c r="AJ577" s="1" t="n">
        <v>1</v>
      </c>
      <c r="AK577" s="1" t="n">
        <v>2</v>
      </c>
      <c r="AL577" s="1" t="s">
        <v>5169</v>
      </c>
      <c r="AM577" s="1" t="s">
        <v>5170</v>
      </c>
      <c r="AN577" s="1" t="s">
        <v>5171</v>
      </c>
      <c r="AO577" s="1" t="s">
        <v>5172</v>
      </c>
      <c r="AP577" s="1"/>
      <c r="AQ577" s="1"/>
      <c r="AR577" s="1" t="s">
        <v>5173</v>
      </c>
      <c r="AS577" s="1"/>
      <c r="AT577" s="1"/>
      <c r="AU577" s="1" t="n">
        <v>2023</v>
      </c>
      <c r="AV577" s="1" t="n">
        <v>1284</v>
      </c>
      <c r="AW577" s="1"/>
      <c r="AX577" s="1"/>
      <c r="AY577" s="1"/>
      <c r="AZ577" s="1"/>
      <c r="BA577" s="1"/>
      <c r="BB577" s="1"/>
      <c r="BC577" s="1"/>
      <c r="BD577" s="1" t="n">
        <v>12027</v>
      </c>
      <c r="BE577" s="1" t="s">
        <v>10341</v>
      </c>
      <c r="BF577" s="1" t="str">
        <f aca="false">HYPERLINK("http://dx.doi.org/10.1088/1757-899X/1284/1/012027","http://dx.doi.org/10.1088/1757-899X/1284/1/012027")</f>
        <v>http://dx.doi.org/10.1088/1757-899X/1284/1/012027</v>
      </c>
      <c r="BG577" s="1"/>
      <c r="BH577" s="1"/>
      <c r="BI577" s="1" t="n">
        <v>9</v>
      </c>
      <c r="BJ577" s="1" t="s">
        <v>5175</v>
      </c>
      <c r="BK577" s="1" t="s">
        <v>100</v>
      </c>
      <c r="BL577" s="1" t="s">
        <v>5176</v>
      </c>
      <c r="BM577" s="1" t="s">
        <v>5177</v>
      </c>
      <c r="BN577" s="1"/>
      <c r="BO577" s="1" t="s">
        <v>1209</v>
      </c>
      <c r="BP577" s="1"/>
      <c r="BQ577" s="1"/>
      <c r="BR577" s="1" t="s">
        <v>103</v>
      </c>
      <c r="BS577" s="1" t="s">
        <v>10342</v>
      </c>
      <c r="BT577" s="1" t="str">
        <f aca="false">HYPERLINK("https%3A%2F%2Fwww.webofscience.com%2Fwos%2Fwoscc%2Ffull-record%2FWOS:001017824300027","View Full Record in Web of Science")</f>
        <v>View Full Record in Web of Science</v>
      </c>
    </row>
    <row r="578" customFormat="false" ht="12.75" hidden="false" customHeight="false" outlineLevel="0" collapsed="false">
      <c r="A578" s="1" t="s">
        <v>72</v>
      </c>
      <c r="B578" s="1" t="s">
        <v>10343</v>
      </c>
      <c r="C578" s="1"/>
      <c r="D578" s="1"/>
      <c r="E578" s="1" t="s">
        <v>106</v>
      </c>
      <c r="F578" s="1" t="s">
        <v>10344</v>
      </c>
      <c r="G578" s="1"/>
      <c r="H578" s="1"/>
      <c r="I578" s="1" t="s">
        <v>10345</v>
      </c>
      <c r="J578" s="1" t="s">
        <v>10346</v>
      </c>
      <c r="K578" s="1" t="s">
        <v>1148</v>
      </c>
      <c r="L578" s="1"/>
      <c r="M578" s="1" t="s">
        <v>78</v>
      </c>
      <c r="N578" s="1" t="s">
        <v>79</v>
      </c>
      <c r="O578" s="1" t="s">
        <v>10347</v>
      </c>
      <c r="P578" s="1" t="s">
        <v>10348</v>
      </c>
      <c r="Q578" s="1" t="s">
        <v>10349</v>
      </c>
      <c r="R578" s="1" t="s">
        <v>10350</v>
      </c>
      <c r="S578" s="1"/>
      <c r="T578" s="1" t="s">
        <v>10351</v>
      </c>
      <c r="U578" s="1"/>
      <c r="V578" s="1" t="s">
        <v>10352</v>
      </c>
      <c r="W578" s="1" t="s">
        <v>10353</v>
      </c>
      <c r="X578" s="1" t="s">
        <v>10354</v>
      </c>
      <c r="Y578" s="1" t="s">
        <v>10355</v>
      </c>
      <c r="Z578" s="1" t="s">
        <v>10356</v>
      </c>
      <c r="AA578" s="1" t="s">
        <v>10357</v>
      </c>
      <c r="AB578" s="1" t="s">
        <v>10358</v>
      </c>
      <c r="AC578" s="1" t="s">
        <v>10359</v>
      </c>
      <c r="AD578" s="1" t="s">
        <v>10359</v>
      </c>
      <c r="AE578" s="1" t="s">
        <v>10360</v>
      </c>
      <c r="AF578" s="1"/>
      <c r="AG578" s="1" t="n">
        <v>24</v>
      </c>
      <c r="AH578" s="1" t="n">
        <v>10</v>
      </c>
      <c r="AI578" s="1" t="n">
        <v>10</v>
      </c>
      <c r="AJ578" s="1" t="n">
        <v>0</v>
      </c>
      <c r="AK578" s="1" t="n">
        <v>4</v>
      </c>
      <c r="AL578" s="1" t="s">
        <v>106</v>
      </c>
      <c r="AM578" s="1" t="s">
        <v>95</v>
      </c>
      <c r="AN578" s="1" t="s">
        <v>122</v>
      </c>
      <c r="AO578" s="1" t="s">
        <v>1162</v>
      </c>
      <c r="AP578" s="1"/>
      <c r="AQ578" s="1" t="s">
        <v>10361</v>
      </c>
      <c r="AR578" s="1" t="s">
        <v>1164</v>
      </c>
      <c r="AS578" s="1"/>
      <c r="AT578" s="1"/>
      <c r="AU578" s="1" t="n">
        <v>2021</v>
      </c>
      <c r="AV578" s="1"/>
      <c r="AW578" s="1"/>
      <c r="AX578" s="1"/>
      <c r="AY578" s="1"/>
      <c r="AZ578" s="1"/>
      <c r="BA578" s="1"/>
      <c r="BB578" s="1"/>
      <c r="BC578" s="1"/>
      <c r="BD578" s="1"/>
      <c r="BE578" s="1" t="s">
        <v>10362</v>
      </c>
      <c r="BF578" s="1" t="str">
        <f aca="false">HYPERLINK("http://dx.doi.org/10.1109/ISCC53001.2021.9631391","http://dx.doi.org/10.1109/ISCC53001.2021.9631391")</f>
        <v>http://dx.doi.org/10.1109/ISCC53001.2021.9631391</v>
      </c>
      <c r="BG578" s="1"/>
      <c r="BH578" s="1"/>
      <c r="BI578" s="1" t="n">
        <v>7</v>
      </c>
      <c r="BJ578" s="1" t="s">
        <v>10363</v>
      </c>
      <c r="BK578" s="1" t="s">
        <v>100</v>
      </c>
      <c r="BL578" s="1" t="s">
        <v>1118</v>
      </c>
      <c r="BM578" s="1" t="s">
        <v>10364</v>
      </c>
      <c r="BN578" s="1"/>
      <c r="BO578" s="1" t="s">
        <v>179</v>
      </c>
      <c r="BP578" s="1"/>
      <c r="BQ578" s="1"/>
      <c r="BR578" s="1" t="s">
        <v>103</v>
      </c>
      <c r="BS578" s="1" t="s">
        <v>10365</v>
      </c>
      <c r="BT578" s="1" t="str">
        <f aca="false">HYPERLINK("https%3A%2F%2Fwww.webofscience.com%2Fwos%2Fwoscc%2Ffull-record%2FWOS:000936276000023","View Full Record in Web of Science")</f>
        <v>View Full Record in Web of Science</v>
      </c>
    </row>
    <row r="579" customFormat="false" ht="12.75" hidden="false" customHeight="false" outlineLevel="0" collapsed="false">
      <c r="A579" s="1" t="s">
        <v>181</v>
      </c>
      <c r="B579" s="1" t="s">
        <v>10366</v>
      </c>
      <c r="C579" s="1"/>
      <c r="D579" s="1"/>
      <c r="E579" s="1"/>
      <c r="F579" s="1" t="s">
        <v>10367</v>
      </c>
      <c r="G579" s="1"/>
      <c r="H579" s="1"/>
      <c r="I579" s="1" t="s">
        <v>10368</v>
      </c>
      <c r="J579" s="1" t="s">
        <v>232</v>
      </c>
      <c r="K579" s="1"/>
      <c r="L579" s="1"/>
      <c r="M579" s="1" t="s">
        <v>78</v>
      </c>
      <c r="N579" s="1" t="s">
        <v>186</v>
      </c>
      <c r="O579" s="1"/>
      <c r="P579" s="1"/>
      <c r="Q579" s="1"/>
      <c r="R579" s="1"/>
      <c r="S579" s="1"/>
      <c r="T579" s="1" t="s">
        <v>10369</v>
      </c>
      <c r="U579" s="1" t="s">
        <v>10370</v>
      </c>
      <c r="V579" s="1" t="s">
        <v>10371</v>
      </c>
      <c r="W579" s="1" t="s">
        <v>10372</v>
      </c>
      <c r="X579" s="1" t="s">
        <v>10373</v>
      </c>
      <c r="Y579" s="1" t="s">
        <v>10374</v>
      </c>
      <c r="Z579" s="1" t="s">
        <v>10375</v>
      </c>
      <c r="AA579" s="1" t="s">
        <v>10376</v>
      </c>
      <c r="AB579" s="1" t="s">
        <v>10377</v>
      </c>
      <c r="AC579" s="1" t="s">
        <v>10378</v>
      </c>
      <c r="AD579" s="1" t="s">
        <v>10379</v>
      </c>
      <c r="AE579" s="1" t="s">
        <v>10380</v>
      </c>
      <c r="AF579" s="1"/>
      <c r="AG579" s="1" t="n">
        <v>32</v>
      </c>
      <c r="AH579" s="1" t="n">
        <v>3</v>
      </c>
      <c r="AI579" s="1" t="n">
        <v>10</v>
      </c>
      <c r="AJ579" s="1" t="n">
        <v>0</v>
      </c>
      <c r="AK579" s="1" t="n">
        <v>4</v>
      </c>
      <c r="AL579" s="1" t="s">
        <v>244</v>
      </c>
      <c r="AM579" s="1" t="s">
        <v>245</v>
      </c>
      <c r="AN579" s="1" t="s">
        <v>246</v>
      </c>
      <c r="AO579" s="1" t="s">
        <v>247</v>
      </c>
      <c r="AP579" s="1" t="s">
        <v>248</v>
      </c>
      <c r="AQ579" s="1"/>
      <c r="AR579" s="1" t="s">
        <v>249</v>
      </c>
      <c r="AS579" s="1" t="s">
        <v>250</v>
      </c>
      <c r="AT579" s="1"/>
      <c r="AU579" s="1" t="n">
        <v>2022</v>
      </c>
      <c r="AV579" s="1" t="n">
        <v>16</v>
      </c>
      <c r="AW579" s="1" t="n">
        <v>1</v>
      </c>
      <c r="AX579" s="1"/>
      <c r="AY579" s="1"/>
      <c r="AZ579" s="1"/>
      <c r="BA579" s="1"/>
      <c r="BB579" s="1"/>
      <c r="BC579" s="1"/>
      <c r="BD579" s="1" t="n">
        <v>220109</v>
      </c>
      <c r="BE579" s="1" t="s">
        <v>10381</v>
      </c>
      <c r="BF579" s="1" t="str">
        <f aca="false">HYPERLINK("http://dx.doi.org/10.37190/e-Inf220109","http://dx.doi.org/10.37190/e-Inf220109")</f>
        <v>http://dx.doi.org/10.37190/e-Inf220109</v>
      </c>
      <c r="BG579" s="1"/>
      <c r="BH579" s="1"/>
      <c r="BI579" s="1" t="n">
        <v>23</v>
      </c>
      <c r="BJ579" s="1" t="s">
        <v>252</v>
      </c>
      <c r="BK579" s="1" t="s">
        <v>253</v>
      </c>
      <c r="BL579" s="1" t="s">
        <v>101</v>
      </c>
      <c r="BM579" s="1" t="s">
        <v>10382</v>
      </c>
      <c r="BN579" s="1"/>
      <c r="BO579" s="1" t="s">
        <v>542</v>
      </c>
      <c r="BP579" s="1"/>
      <c r="BQ579" s="1"/>
      <c r="BR579" s="1" t="s">
        <v>103</v>
      </c>
      <c r="BS579" s="1" t="s">
        <v>10383</v>
      </c>
      <c r="BT579" s="1" t="str">
        <f aca="false">HYPERLINK("https%3A%2F%2Fwww.webofscience.com%2Fwos%2Fwoscc%2Ffull-record%2FWOS:000816574300001","View Full Record in Web of Science")</f>
        <v>View Full Record in Web of Science</v>
      </c>
    </row>
    <row r="580" customFormat="false" ht="12.75" hidden="false" customHeight="false" outlineLevel="0" collapsed="false">
      <c r="A580" s="1" t="s">
        <v>181</v>
      </c>
      <c r="B580" s="1" t="s">
        <v>10384</v>
      </c>
      <c r="C580" s="1"/>
      <c r="D580" s="1"/>
      <c r="E580" s="1"/>
      <c r="F580" s="1" t="s">
        <v>10385</v>
      </c>
      <c r="G580" s="1"/>
      <c r="H580" s="1"/>
      <c r="I580" s="1" t="s">
        <v>10386</v>
      </c>
      <c r="J580" s="1" t="s">
        <v>10387</v>
      </c>
      <c r="K580" s="1"/>
      <c r="L580" s="1"/>
      <c r="M580" s="1" t="s">
        <v>78</v>
      </c>
      <c r="N580" s="1" t="s">
        <v>907</v>
      </c>
      <c r="O580" s="1"/>
      <c r="P580" s="1"/>
      <c r="Q580" s="1"/>
      <c r="R580" s="1"/>
      <c r="S580" s="1"/>
      <c r="T580" s="1" t="s">
        <v>10388</v>
      </c>
      <c r="U580" s="1" t="s">
        <v>10389</v>
      </c>
      <c r="V580" s="1" t="s">
        <v>10390</v>
      </c>
      <c r="W580" s="1" t="s">
        <v>10391</v>
      </c>
      <c r="X580" s="1" t="s">
        <v>8111</v>
      </c>
      <c r="Y580" s="1" t="s">
        <v>10392</v>
      </c>
      <c r="Z580" s="1" t="s">
        <v>10393</v>
      </c>
      <c r="AA580" s="1" t="s">
        <v>10394</v>
      </c>
      <c r="AB580" s="1"/>
      <c r="AC580" s="1" t="s">
        <v>10395</v>
      </c>
      <c r="AD580" s="1" t="s">
        <v>10396</v>
      </c>
      <c r="AE580" s="1" t="s">
        <v>10397</v>
      </c>
      <c r="AF580" s="1"/>
      <c r="AG580" s="1" t="n">
        <v>26</v>
      </c>
      <c r="AH580" s="1" t="n">
        <v>0</v>
      </c>
      <c r="AI580" s="1" t="n">
        <v>0</v>
      </c>
      <c r="AJ580" s="1" t="n">
        <v>8</v>
      </c>
      <c r="AK580" s="1" t="n">
        <v>8</v>
      </c>
      <c r="AL580" s="1" t="s">
        <v>3316</v>
      </c>
      <c r="AM580" s="1" t="s">
        <v>3317</v>
      </c>
      <c r="AN580" s="1" t="s">
        <v>3318</v>
      </c>
      <c r="AO580" s="1" t="s">
        <v>10398</v>
      </c>
      <c r="AP580" s="1" t="s">
        <v>10399</v>
      </c>
      <c r="AQ580" s="1"/>
      <c r="AR580" s="1" t="s">
        <v>10400</v>
      </c>
      <c r="AS580" s="1" t="s">
        <v>10401</v>
      </c>
      <c r="AT580" s="1" t="s">
        <v>10402</v>
      </c>
      <c r="AU580" s="1" t="n">
        <v>2024</v>
      </c>
      <c r="AV580" s="1"/>
      <c r="AW580" s="1"/>
      <c r="AX580" s="1"/>
      <c r="AY580" s="1"/>
      <c r="AZ580" s="1"/>
      <c r="BA580" s="1"/>
      <c r="BB580" s="1"/>
      <c r="BC580" s="1"/>
      <c r="BD580" s="1"/>
      <c r="BE580" s="1" t="s">
        <v>10403</v>
      </c>
      <c r="BF580" s="1" t="str">
        <f aca="false">HYPERLINK("http://dx.doi.org/10.1515/tjj-2024-0078","http://dx.doi.org/10.1515/tjj-2024-0078")</f>
        <v>http://dx.doi.org/10.1515/tjj-2024-0078</v>
      </c>
      <c r="BG580" s="1"/>
      <c r="BH580" s="1" t="s">
        <v>4047</v>
      </c>
      <c r="BI580" s="1" t="n">
        <v>13</v>
      </c>
      <c r="BJ580" s="1" t="s">
        <v>10404</v>
      </c>
      <c r="BK580" s="1" t="s">
        <v>204</v>
      </c>
      <c r="BL580" s="1" t="s">
        <v>640</v>
      </c>
      <c r="BM580" s="1" t="s">
        <v>10405</v>
      </c>
      <c r="BN580" s="1"/>
      <c r="BO580" s="1"/>
      <c r="BP580" s="1"/>
      <c r="BQ580" s="1"/>
      <c r="BR580" s="1" t="s">
        <v>103</v>
      </c>
      <c r="BS580" s="1" t="s">
        <v>10406</v>
      </c>
      <c r="BT580" s="1" t="str">
        <f aca="false">HYPERLINK("https%3A%2F%2Fwww.webofscience.com%2Fwos%2Fwoscc%2Ffull-record%2FWOS:001360102600001","View Full Record in Web of Science")</f>
        <v>View Full Record in Web of Science</v>
      </c>
    </row>
    <row r="581" customFormat="false" ht="12.75" hidden="false" customHeight="false" outlineLevel="0" collapsed="false">
      <c r="A581" s="1" t="s">
        <v>72</v>
      </c>
      <c r="B581" s="1" t="s">
        <v>10407</v>
      </c>
      <c r="C581" s="1"/>
      <c r="D581" s="1" t="s">
        <v>10408</v>
      </c>
      <c r="E581" s="1"/>
      <c r="F581" s="1" t="s">
        <v>10409</v>
      </c>
      <c r="G581" s="1"/>
      <c r="H581" s="1"/>
      <c r="I581" s="1" t="s">
        <v>10410</v>
      </c>
      <c r="J581" s="1" t="s">
        <v>10411</v>
      </c>
      <c r="K581" s="1" t="s">
        <v>498</v>
      </c>
      <c r="L581" s="1"/>
      <c r="M581" s="1" t="s">
        <v>78</v>
      </c>
      <c r="N581" s="1" t="s">
        <v>79</v>
      </c>
      <c r="O581" s="1" t="s">
        <v>10412</v>
      </c>
      <c r="P581" s="1" t="s">
        <v>10413</v>
      </c>
      <c r="Q581" s="1" t="s">
        <v>10414</v>
      </c>
      <c r="R581" s="1"/>
      <c r="S581" s="1" t="s">
        <v>10415</v>
      </c>
      <c r="T581" s="1" t="s">
        <v>10416</v>
      </c>
      <c r="U581" s="1"/>
      <c r="V581" s="1" t="s">
        <v>10417</v>
      </c>
      <c r="W581" s="1" t="s">
        <v>10418</v>
      </c>
      <c r="X581" s="1" t="s">
        <v>10419</v>
      </c>
      <c r="Y581" s="1" t="s">
        <v>10420</v>
      </c>
      <c r="Z581" s="1" t="s">
        <v>10421</v>
      </c>
      <c r="AA581" s="1" t="s">
        <v>10422</v>
      </c>
      <c r="AB581" s="1" t="s">
        <v>10423</v>
      </c>
      <c r="AC581" s="1" t="s">
        <v>5210</v>
      </c>
      <c r="AD581" s="1" t="s">
        <v>5210</v>
      </c>
      <c r="AE581" s="1" t="s">
        <v>5211</v>
      </c>
      <c r="AF581" s="1"/>
      <c r="AG581" s="1" t="n">
        <v>17</v>
      </c>
      <c r="AH581" s="1" t="n">
        <v>0</v>
      </c>
      <c r="AI581" s="1" t="n">
        <v>0</v>
      </c>
      <c r="AJ581" s="1" t="n">
        <v>2</v>
      </c>
      <c r="AK581" s="1" t="n">
        <v>2</v>
      </c>
      <c r="AL581" s="1" t="s">
        <v>302</v>
      </c>
      <c r="AM581" s="1" t="s">
        <v>303</v>
      </c>
      <c r="AN581" s="1" t="s">
        <v>304</v>
      </c>
      <c r="AO581" s="1" t="s">
        <v>512</v>
      </c>
      <c r="AP581" s="1" t="s">
        <v>513</v>
      </c>
      <c r="AQ581" s="1" t="s">
        <v>10424</v>
      </c>
      <c r="AR581" s="1" t="s">
        <v>515</v>
      </c>
      <c r="AS581" s="1"/>
      <c r="AT581" s="1"/>
      <c r="AU581" s="1" t="n">
        <v>2024</v>
      </c>
      <c r="AV581" s="1" t="n">
        <v>500</v>
      </c>
      <c r="AW581" s="1"/>
      <c r="AX581" s="1"/>
      <c r="AY581" s="1"/>
      <c r="AZ581" s="1"/>
      <c r="BA581" s="1"/>
      <c r="BB581" s="1" t="n">
        <v>360</v>
      </c>
      <c r="BC581" s="1" t="n">
        <v>366</v>
      </c>
      <c r="BD581" s="1"/>
      <c r="BE581" s="1" t="s">
        <v>10425</v>
      </c>
      <c r="BF581" s="1" t="str">
        <f aca="false">HYPERLINK("http://dx.doi.org/10.1007/978-3-031-53227-6_25","http://dx.doi.org/10.1007/978-3-031-53227-6_25")</f>
        <v>http://dx.doi.org/10.1007/978-3-031-53227-6_25</v>
      </c>
      <c r="BG581" s="1"/>
      <c r="BH581" s="1"/>
      <c r="BI581" s="1" t="n">
        <v>7</v>
      </c>
      <c r="BJ581" s="1" t="s">
        <v>10426</v>
      </c>
      <c r="BK581" s="1" t="s">
        <v>1254</v>
      </c>
      <c r="BL581" s="1" t="s">
        <v>1853</v>
      </c>
      <c r="BM581" s="1" t="s">
        <v>10427</v>
      </c>
      <c r="BN581" s="1"/>
      <c r="BO581" s="1"/>
      <c r="BP581" s="1"/>
      <c r="BQ581" s="1"/>
      <c r="BR581" s="1" t="s">
        <v>103</v>
      </c>
      <c r="BS581" s="1" t="s">
        <v>10428</v>
      </c>
      <c r="BT581" s="1" t="str">
        <f aca="false">HYPERLINK("https%3A%2F%2Fwww.webofscience.com%2Fwos%2Fwoscc%2Ffull-record%2FWOS:001264471100025","View Full Record in Web of Science")</f>
        <v>View Full Record in Web of Science</v>
      </c>
    </row>
    <row r="582" customFormat="false" ht="12.75" hidden="false" customHeight="false" outlineLevel="0" collapsed="false">
      <c r="A582" s="1" t="s">
        <v>181</v>
      </c>
      <c r="B582" s="1" t="s">
        <v>10429</v>
      </c>
      <c r="C582" s="1"/>
      <c r="D582" s="1"/>
      <c r="E582" s="1"/>
      <c r="F582" s="1" t="s">
        <v>10430</v>
      </c>
      <c r="G582" s="1"/>
      <c r="H582" s="1"/>
      <c r="I582" s="1" t="s">
        <v>10431</v>
      </c>
      <c r="J582" s="1" t="s">
        <v>1378</v>
      </c>
      <c r="K582" s="1"/>
      <c r="L582" s="1"/>
      <c r="M582" s="1" t="s">
        <v>78</v>
      </c>
      <c r="N582" s="1" t="s">
        <v>186</v>
      </c>
      <c r="O582" s="1"/>
      <c r="P582" s="1"/>
      <c r="Q582" s="1"/>
      <c r="R582" s="1"/>
      <c r="S582" s="1"/>
      <c r="T582" s="1" t="s">
        <v>10432</v>
      </c>
      <c r="U582" s="1" t="s">
        <v>10433</v>
      </c>
      <c r="V582" s="1" t="s">
        <v>10434</v>
      </c>
      <c r="W582" s="1" t="s">
        <v>10435</v>
      </c>
      <c r="X582" s="1" t="s">
        <v>10436</v>
      </c>
      <c r="Y582" s="1" t="s">
        <v>10437</v>
      </c>
      <c r="Z582" s="1" t="s">
        <v>10438</v>
      </c>
      <c r="AA582" s="1" t="s">
        <v>10439</v>
      </c>
      <c r="AB582" s="1" t="s">
        <v>3708</v>
      </c>
      <c r="AC582" s="1" t="s">
        <v>10440</v>
      </c>
      <c r="AD582" s="1" t="s">
        <v>10441</v>
      </c>
      <c r="AE582" s="1" t="s">
        <v>10442</v>
      </c>
      <c r="AF582" s="1"/>
      <c r="AG582" s="1" t="n">
        <v>61</v>
      </c>
      <c r="AH582" s="1" t="n">
        <v>52</v>
      </c>
      <c r="AI582" s="1" t="n">
        <v>56</v>
      </c>
      <c r="AJ582" s="1" t="n">
        <v>4</v>
      </c>
      <c r="AK582" s="1" t="n">
        <v>55</v>
      </c>
      <c r="AL582" s="1" t="s">
        <v>893</v>
      </c>
      <c r="AM582" s="1" t="s">
        <v>894</v>
      </c>
      <c r="AN582" s="1" t="s">
        <v>895</v>
      </c>
      <c r="AO582" s="1" t="s">
        <v>1387</v>
      </c>
      <c r="AP582" s="1" t="s">
        <v>1388</v>
      </c>
      <c r="AQ582" s="1"/>
      <c r="AR582" s="1" t="s">
        <v>1389</v>
      </c>
      <c r="AS582" s="1" t="s">
        <v>1390</v>
      </c>
      <c r="AT582" s="1" t="s">
        <v>1391</v>
      </c>
      <c r="AU582" s="1" t="n">
        <v>2020</v>
      </c>
      <c r="AV582" s="1" t="n">
        <v>127</v>
      </c>
      <c r="AW582" s="1"/>
      <c r="AX582" s="1"/>
      <c r="AY582" s="1"/>
      <c r="AZ582" s="1"/>
      <c r="BA582" s="1"/>
      <c r="BB582" s="1"/>
      <c r="BC582" s="1"/>
      <c r="BD582" s="1" t="n">
        <v>106366</v>
      </c>
      <c r="BE582" s="1" t="s">
        <v>10443</v>
      </c>
      <c r="BF582" s="1" t="str">
        <f aca="false">HYPERLINK("http://dx.doi.org/10.1016/j.infsof.2020.106366","http://dx.doi.org/10.1016/j.infsof.2020.106366")</f>
        <v>http://dx.doi.org/10.1016/j.infsof.2020.106366</v>
      </c>
      <c r="BG582" s="1"/>
      <c r="BH582" s="1"/>
      <c r="BI582" s="1" t="n">
        <v>12</v>
      </c>
      <c r="BJ582" s="1" t="s">
        <v>1394</v>
      </c>
      <c r="BK582" s="1" t="s">
        <v>204</v>
      </c>
      <c r="BL582" s="1" t="s">
        <v>101</v>
      </c>
      <c r="BM582" s="1" t="s">
        <v>10444</v>
      </c>
      <c r="BN582" s="1"/>
      <c r="BO582" s="1" t="s">
        <v>3326</v>
      </c>
      <c r="BP582" s="1"/>
      <c r="BQ582" s="1"/>
      <c r="BR582" s="1" t="s">
        <v>103</v>
      </c>
      <c r="BS582" s="1" t="s">
        <v>10445</v>
      </c>
      <c r="BT582" s="1" t="str">
        <f aca="false">HYPERLINK("https%3A%2F%2Fwww.webofscience.com%2Fwos%2Fwoscc%2Ffull-record%2FWOS:000571236700010","View Full Record in Web of Science")</f>
        <v>View Full Record in Web of Science</v>
      </c>
    </row>
    <row r="583" customFormat="false" ht="12.75" hidden="false" customHeight="false" outlineLevel="0" collapsed="false">
      <c r="A583" s="1" t="s">
        <v>181</v>
      </c>
      <c r="B583" s="1" t="s">
        <v>10446</v>
      </c>
      <c r="C583" s="1"/>
      <c r="D583" s="1"/>
      <c r="E583" s="1"/>
      <c r="F583" s="1" t="s">
        <v>10447</v>
      </c>
      <c r="G583" s="1"/>
      <c r="H583" s="1"/>
      <c r="I583" s="1" t="s">
        <v>10448</v>
      </c>
      <c r="J583" s="1" t="s">
        <v>10449</v>
      </c>
      <c r="K583" s="1"/>
      <c r="L583" s="1"/>
      <c r="M583" s="1" t="s">
        <v>78</v>
      </c>
      <c r="N583" s="1" t="s">
        <v>10450</v>
      </c>
      <c r="O583" s="1" t="s">
        <v>10451</v>
      </c>
      <c r="P583" s="1" t="s">
        <v>10452</v>
      </c>
      <c r="Q583" s="1" t="s">
        <v>10453</v>
      </c>
      <c r="R583" s="1" t="s">
        <v>10454</v>
      </c>
      <c r="S583" s="1" t="s">
        <v>10455</v>
      </c>
      <c r="T583" s="1" t="s">
        <v>10456</v>
      </c>
      <c r="U583" s="1" t="s">
        <v>10457</v>
      </c>
      <c r="V583" s="1" t="s">
        <v>10458</v>
      </c>
      <c r="W583" s="1" t="s">
        <v>10459</v>
      </c>
      <c r="X583" s="1" t="s">
        <v>10460</v>
      </c>
      <c r="Y583" s="1" t="s">
        <v>10461</v>
      </c>
      <c r="Z583" s="1" t="s">
        <v>10462</v>
      </c>
      <c r="AA583" s="1" t="s">
        <v>3813</v>
      </c>
      <c r="AB583" s="1"/>
      <c r="AC583" s="1"/>
      <c r="AD583" s="1"/>
      <c r="AE583" s="1"/>
      <c r="AF583" s="1"/>
      <c r="AG583" s="1" t="n">
        <v>47</v>
      </c>
      <c r="AH583" s="1" t="n">
        <v>2</v>
      </c>
      <c r="AI583" s="1" t="n">
        <v>2</v>
      </c>
      <c r="AJ583" s="1" t="n">
        <v>3</v>
      </c>
      <c r="AK583" s="1" t="n">
        <v>7</v>
      </c>
      <c r="AL583" s="1" t="s">
        <v>10463</v>
      </c>
      <c r="AM583" s="1" t="s">
        <v>10464</v>
      </c>
      <c r="AN583" s="1" t="s">
        <v>10465</v>
      </c>
      <c r="AO583" s="1" t="s">
        <v>10466</v>
      </c>
      <c r="AP583" s="1"/>
      <c r="AQ583" s="1"/>
      <c r="AR583" s="1" t="s">
        <v>10449</v>
      </c>
      <c r="AS583" s="1" t="s">
        <v>10467</v>
      </c>
      <c r="AT583" s="1"/>
      <c r="AU583" s="1" t="n">
        <v>2020</v>
      </c>
      <c r="AV583" s="1" t="n">
        <v>34</v>
      </c>
      <c r="AW583" s="1" t="n">
        <v>1</v>
      </c>
      <c r="AX583" s="1"/>
      <c r="AY583" s="1"/>
      <c r="AZ583" s="1"/>
      <c r="BA583" s="1"/>
      <c r="BB583" s="1" t="n">
        <v>143</v>
      </c>
      <c r="BC583" s="1" t="n">
        <v>152</v>
      </c>
      <c r="BD583" s="1"/>
      <c r="BE583" s="1" t="s">
        <v>10468</v>
      </c>
      <c r="BF583" s="1" t="str">
        <f aca="false">HYPERLINK("http://dx.doi.org/10.2298/FIL2001143Q","http://dx.doi.org/10.2298/FIL2001143Q")</f>
        <v>http://dx.doi.org/10.2298/FIL2001143Q</v>
      </c>
      <c r="BG583" s="1"/>
      <c r="BH583" s="1"/>
      <c r="BI583" s="1" t="n">
        <v>10</v>
      </c>
      <c r="BJ583" s="1" t="s">
        <v>1007</v>
      </c>
      <c r="BK583" s="1" t="s">
        <v>10469</v>
      </c>
      <c r="BL583" s="1" t="s">
        <v>280</v>
      </c>
      <c r="BM583" s="1" t="s">
        <v>10470</v>
      </c>
      <c r="BN583" s="1"/>
      <c r="BO583" s="1" t="s">
        <v>376</v>
      </c>
      <c r="BP583" s="1"/>
      <c r="BQ583" s="1"/>
      <c r="BR583" s="1" t="s">
        <v>103</v>
      </c>
      <c r="BS583" s="1" t="s">
        <v>10471</v>
      </c>
      <c r="BT583" s="1" t="str">
        <f aca="false">HYPERLINK("https%3A%2F%2Fwww.webofscience.com%2Fwos%2Fwoscc%2Ffull-record%2FWOS:000587752800012","View Full Record in Web of Science")</f>
        <v>View Full Record in Web of Science</v>
      </c>
    </row>
    <row r="584" customFormat="false" ht="12.75" hidden="false" customHeight="false" outlineLevel="0" collapsed="false">
      <c r="A584" s="1" t="s">
        <v>72</v>
      </c>
      <c r="B584" s="1" t="s">
        <v>10472</v>
      </c>
      <c r="C584" s="1"/>
      <c r="D584" s="1" t="s">
        <v>4598</v>
      </c>
      <c r="E584" s="1"/>
      <c r="F584" s="1" t="s">
        <v>10473</v>
      </c>
      <c r="G584" s="1"/>
      <c r="H584" s="1"/>
      <c r="I584" s="1" t="s">
        <v>10474</v>
      </c>
      <c r="J584" s="1" t="s">
        <v>9183</v>
      </c>
      <c r="K584" s="1" t="s">
        <v>9184</v>
      </c>
      <c r="L584" s="1"/>
      <c r="M584" s="1" t="s">
        <v>78</v>
      </c>
      <c r="N584" s="1" t="s">
        <v>79</v>
      </c>
      <c r="O584" s="1" t="s">
        <v>4602</v>
      </c>
      <c r="P584" s="1" t="s">
        <v>4603</v>
      </c>
      <c r="Q584" s="1" t="s">
        <v>4604</v>
      </c>
      <c r="R584" s="1" t="s">
        <v>1086</v>
      </c>
      <c r="S584" s="1"/>
      <c r="T584" s="1"/>
      <c r="U584" s="1"/>
      <c r="V584" s="1" t="s">
        <v>10475</v>
      </c>
      <c r="W584" s="1" t="s">
        <v>10476</v>
      </c>
      <c r="X584" s="1" t="s">
        <v>10477</v>
      </c>
      <c r="Y584" s="1" t="s">
        <v>10478</v>
      </c>
      <c r="Z584" s="1" t="s">
        <v>10479</v>
      </c>
      <c r="AA584" s="1" t="s">
        <v>10480</v>
      </c>
      <c r="AB584" s="1" t="s">
        <v>10481</v>
      </c>
      <c r="AC584" s="1"/>
      <c r="AD584" s="1"/>
      <c r="AE584" s="1"/>
      <c r="AF584" s="1"/>
      <c r="AG584" s="1" t="n">
        <v>4</v>
      </c>
      <c r="AH584" s="1" t="n">
        <v>0</v>
      </c>
      <c r="AI584" s="1" t="n">
        <v>0</v>
      </c>
      <c r="AJ584" s="1" t="n">
        <v>2</v>
      </c>
      <c r="AK584" s="1" t="n">
        <v>2</v>
      </c>
      <c r="AL584" s="1" t="s">
        <v>172</v>
      </c>
      <c r="AM584" s="1" t="s">
        <v>173</v>
      </c>
      <c r="AN584" s="1" t="s">
        <v>174</v>
      </c>
      <c r="AO584" s="1" t="s">
        <v>9193</v>
      </c>
      <c r="AP584" s="1"/>
      <c r="AQ584" s="1" t="s">
        <v>9194</v>
      </c>
      <c r="AR584" s="1" t="s">
        <v>9195</v>
      </c>
      <c r="AS584" s="1"/>
      <c r="AT584" s="1"/>
      <c r="AU584" s="1" t="n">
        <v>2024</v>
      </c>
      <c r="AV584" s="1"/>
      <c r="AW584" s="1"/>
      <c r="AX584" s="1"/>
      <c r="AY584" s="1"/>
      <c r="AZ584" s="1"/>
      <c r="BA584" s="1"/>
      <c r="BB584" s="1" t="n">
        <v>1</v>
      </c>
      <c r="BC584" s="1" t="n">
        <v>2</v>
      </c>
      <c r="BD584" s="1"/>
      <c r="BE584" s="1" t="s">
        <v>10482</v>
      </c>
      <c r="BF584" s="1" t="str">
        <f aca="false">HYPERLINK("http://dx.doi.org/10.1109/REW61692.2024.00005","http://dx.doi.org/10.1109/REW61692.2024.00005")</f>
        <v>http://dx.doi.org/10.1109/REW61692.2024.00005</v>
      </c>
      <c r="BG584" s="1"/>
      <c r="BH584" s="1"/>
      <c r="BI584" s="1" t="n">
        <v>2</v>
      </c>
      <c r="BJ584" s="1" t="s">
        <v>9197</v>
      </c>
      <c r="BK584" s="1" t="s">
        <v>100</v>
      </c>
      <c r="BL584" s="1" t="s">
        <v>1255</v>
      </c>
      <c r="BM584" s="1" t="s">
        <v>9198</v>
      </c>
      <c r="BN584" s="1"/>
      <c r="BO584" s="1"/>
      <c r="BP584" s="1"/>
      <c r="BQ584" s="1"/>
      <c r="BR584" s="1" t="s">
        <v>103</v>
      </c>
      <c r="BS584" s="1" t="s">
        <v>10483</v>
      </c>
      <c r="BT584" s="1" t="str">
        <f aca="false">HYPERLINK("https%3A%2F%2Fwww.webofscience.com%2Fwos%2Fwoscc%2Ffull-record%2FWOS:001304537500001","View Full Record in Web of Science")</f>
        <v>View Full Record in Web of Science</v>
      </c>
    </row>
    <row r="585" customFormat="false" ht="12.75" hidden="false" customHeight="false" outlineLevel="0" collapsed="false">
      <c r="A585" s="1" t="s">
        <v>72</v>
      </c>
      <c r="B585" s="1" t="s">
        <v>10484</v>
      </c>
      <c r="C585" s="1"/>
      <c r="D585" s="1" t="s">
        <v>1874</v>
      </c>
      <c r="E585" s="1"/>
      <c r="F585" s="1" t="s">
        <v>10485</v>
      </c>
      <c r="G585" s="1"/>
      <c r="H585" s="1"/>
      <c r="I585" s="1" t="s">
        <v>10486</v>
      </c>
      <c r="J585" s="1" t="s">
        <v>1877</v>
      </c>
      <c r="K585" s="1" t="s">
        <v>976</v>
      </c>
      <c r="L585" s="1"/>
      <c r="M585" s="1" t="s">
        <v>78</v>
      </c>
      <c r="N585" s="1" t="s">
        <v>79</v>
      </c>
      <c r="O585" s="1" t="s">
        <v>1878</v>
      </c>
      <c r="P585" s="1" t="s">
        <v>1879</v>
      </c>
      <c r="Q585" s="1" t="s">
        <v>1880</v>
      </c>
      <c r="R585" s="1" t="s">
        <v>1881</v>
      </c>
      <c r="S585" s="1"/>
      <c r="T585" s="1" t="s">
        <v>10487</v>
      </c>
      <c r="U585" s="1"/>
      <c r="V585" s="1" t="s">
        <v>10488</v>
      </c>
      <c r="W585" s="1" t="s">
        <v>10489</v>
      </c>
      <c r="X585" s="1" t="s">
        <v>5274</v>
      </c>
      <c r="Y585" s="1" t="s">
        <v>10490</v>
      </c>
      <c r="Z585" s="1" t="s">
        <v>5145</v>
      </c>
      <c r="AA585" s="1" t="s">
        <v>2491</v>
      </c>
      <c r="AB585" s="1" t="s">
        <v>10491</v>
      </c>
      <c r="AC585" s="1" t="s">
        <v>1186</v>
      </c>
      <c r="AD585" s="1" t="s">
        <v>1186</v>
      </c>
      <c r="AE585" s="1" t="s">
        <v>10492</v>
      </c>
      <c r="AF585" s="1"/>
      <c r="AG585" s="1" t="n">
        <v>21</v>
      </c>
      <c r="AH585" s="1" t="n">
        <v>0</v>
      </c>
      <c r="AI585" s="1" t="n">
        <v>0</v>
      </c>
      <c r="AJ585" s="1" t="n">
        <v>0</v>
      </c>
      <c r="AK585" s="1" t="n">
        <v>0</v>
      </c>
      <c r="AL585" s="1" t="s">
        <v>302</v>
      </c>
      <c r="AM585" s="1" t="s">
        <v>303</v>
      </c>
      <c r="AN585" s="1" t="s">
        <v>304</v>
      </c>
      <c r="AO585" s="1" t="s">
        <v>989</v>
      </c>
      <c r="AP585" s="1" t="s">
        <v>990</v>
      </c>
      <c r="AQ585" s="1" t="s">
        <v>1890</v>
      </c>
      <c r="AR585" s="1" t="s">
        <v>992</v>
      </c>
      <c r="AS585" s="1"/>
      <c r="AT585" s="1"/>
      <c r="AU585" s="1" t="n">
        <v>2024</v>
      </c>
      <c r="AV585" s="1" t="n">
        <v>14588</v>
      </c>
      <c r="AW585" s="1"/>
      <c r="AX585" s="1"/>
      <c r="AY585" s="1"/>
      <c r="AZ585" s="1"/>
      <c r="BA585" s="1"/>
      <c r="BB585" s="1" t="n">
        <v>191</v>
      </c>
      <c r="BC585" s="1" t="n">
        <v>204</v>
      </c>
      <c r="BD585" s="1"/>
      <c r="BE585" s="1" t="s">
        <v>10493</v>
      </c>
      <c r="BF585" s="1" t="str">
        <f aca="false">HYPERLINK("http://dx.doi.org/10.1007/978-3-031-57327-9_12","http://dx.doi.org/10.1007/978-3-031-57327-9_12")</f>
        <v>http://dx.doi.org/10.1007/978-3-031-57327-9_12</v>
      </c>
      <c r="BG585" s="1"/>
      <c r="BH585" s="1"/>
      <c r="BI585" s="1" t="n">
        <v>14</v>
      </c>
      <c r="BJ585" s="1" t="s">
        <v>994</v>
      </c>
      <c r="BK585" s="1" t="s">
        <v>100</v>
      </c>
      <c r="BL585" s="1" t="s">
        <v>101</v>
      </c>
      <c r="BM585" s="1" t="s">
        <v>1892</v>
      </c>
      <c r="BN585" s="1"/>
      <c r="BO585" s="1"/>
      <c r="BP585" s="1"/>
      <c r="BQ585" s="1"/>
      <c r="BR585" s="1" t="s">
        <v>103</v>
      </c>
      <c r="BS585" s="1" t="s">
        <v>10494</v>
      </c>
      <c r="BT585" s="1" t="str">
        <f aca="false">HYPERLINK("https%3A%2F%2Fwww.webofscience.com%2Fwos%2Fwoscc%2Ffull-record%2FWOS:001209314200012","View Full Record in Web of Science")</f>
        <v>View Full Record in Web of Science</v>
      </c>
    </row>
    <row r="586" customFormat="false" ht="12.75" hidden="false" customHeight="false" outlineLevel="0" collapsed="false">
      <c r="A586" s="1" t="s">
        <v>181</v>
      </c>
      <c r="B586" s="1" t="s">
        <v>10495</v>
      </c>
      <c r="C586" s="1"/>
      <c r="D586" s="1"/>
      <c r="E586" s="1"/>
      <c r="F586" s="1" t="s">
        <v>10496</v>
      </c>
      <c r="G586" s="1"/>
      <c r="H586" s="1"/>
      <c r="I586" s="1" t="s">
        <v>10497</v>
      </c>
      <c r="J586" s="1" t="s">
        <v>10498</v>
      </c>
      <c r="K586" s="1"/>
      <c r="L586" s="1"/>
      <c r="M586" s="1" t="s">
        <v>78</v>
      </c>
      <c r="N586" s="1" t="s">
        <v>186</v>
      </c>
      <c r="O586" s="1"/>
      <c r="P586" s="1"/>
      <c r="Q586" s="1"/>
      <c r="R586" s="1"/>
      <c r="S586" s="1"/>
      <c r="T586" s="1" t="s">
        <v>10499</v>
      </c>
      <c r="U586" s="1" t="s">
        <v>10500</v>
      </c>
      <c r="V586" s="1" t="s">
        <v>10501</v>
      </c>
      <c r="W586" s="1" t="s">
        <v>10502</v>
      </c>
      <c r="X586" s="1" t="s">
        <v>10503</v>
      </c>
      <c r="Y586" s="1" t="s">
        <v>10504</v>
      </c>
      <c r="Z586" s="1" t="s">
        <v>10505</v>
      </c>
      <c r="AA586" s="1"/>
      <c r="AB586" s="1"/>
      <c r="AC586" s="1"/>
      <c r="AD586" s="1"/>
      <c r="AE586" s="1"/>
      <c r="AF586" s="1"/>
      <c r="AG586" s="1" t="n">
        <v>55</v>
      </c>
      <c r="AH586" s="1" t="n">
        <v>4</v>
      </c>
      <c r="AI586" s="1" t="n">
        <v>4</v>
      </c>
      <c r="AJ586" s="1" t="n">
        <v>0</v>
      </c>
      <c r="AK586" s="1" t="n">
        <v>3</v>
      </c>
      <c r="AL586" s="1" t="s">
        <v>1220</v>
      </c>
      <c r="AM586" s="1" t="s">
        <v>1221</v>
      </c>
      <c r="AN586" s="1" t="s">
        <v>1222</v>
      </c>
      <c r="AO586" s="1" t="s">
        <v>10506</v>
      </c>
      <c r="AP586" s="1" t="s">
        <v>10507</v>
      </c>
      <c r="AQ586" s="1"/>
      <c r="AR586" s="1" t="s">
        <v>10508</v>
      </c>
      <c r="AS586" s="1" t="s">
        <v>10509</v>
      </c>
      <c r="AT586" s="1" t="s">
        <v>2554</v>
      </c>
      <c r="AU586" s="1" t="n">
        <v>2020</v>
      </c>
      <c r="AV586" s="1" t="n">
        <v>46</v>
      </c>
      <c r="AW586" s="1" t="n">
        <v>1</v>
      </c>
      <c r="AX586" s="1"/>
      <c r="AY586" s="1"/>
      <c r="AZ586" s="1"/>
      <c r="BA586" s="1"/>
      <c r="BB586" s="1" t="n">
        <v>109</v>
      </c>
      <c r="BC586" s="1" t="n">
        <v>127</v>
      </c>
      <c r="BD586" s="1"/>
      <c r="BE586" s="1" t="s">
        <v>10510</v>
      </c>
      <c r="BF586" s="1" t="str">
        <f aca="false">HYPERLINK("http://dx.doi.org/10.1080/03057070.2020.1718382","http://dx.doi.org/10.1080/03057070.2020.1718382")</f>
        <v>http://dx.doi.org/10.1080/03057070.2020.1718382</v>
      </c>
      <c r="BG586" s="1"/>
      <c r="BH586" s="1"/>
      <c r="BI586" s="1" t="n">
        <v>19</v>
      </c>
      <c r="BJ586" s="1" t="s">
        <v>2316</v>
      </c>
      <c r="BK586" s="1" t="s">
        <v>610</v>
      </c>
      <c r="BL586" s="1" t="s">
        <v>2316</v>
      </c>
      <c r="BM586" s="1" t="s">
        <v>10511</v>
      </c>
      <c r="BN586" s="1"/>
      <c r="BO586" s="1" t="s">
        <v>207</v>
      </c>
      <c r="BP586" s="1"/>
      <c r="BQ586" s="1"/>
      <c r="BR586" s="1" t="s">
        <v>103</v>
      </c>
      <c r="BS586" s="1" t="s">
        <v>10512</v>
      </c>
      <c r="BT586" s="1" t="str">
        <f aca="false">HYPERLINK("https%3A%2F%2Fwww.webofscience.com%2Fwos%2Fwoscc%2Ffull-record%2FWOS:000534377700008","View Full Record in Web of Science")</f>
        <v>View Full Record in Web of Science</v>
      </c>
    </row>
    <row r="587" customFormat="false" ht="12.75" hidden="false" customHeight="false" outlineLevel="0" collapsed="false">
      <c r="A587" s="1" t="s">
        <v>72</v>
      </c>
      <c r="B587" s="1" t="s">
        <v>10513</v>
      </c>
      <c r="C587" s="1"/>
      <c r="D587" s="1"/>
      <c r="E587" s="1" t="s">
        <v>106</v>
      </c>
      <c r="F587" s="1" t="s">
        <v>10514</v>
      </c>
      <c r="G587" s="1"/>
      <c r="H587" s="1"/>
      <c r="I587" s="1" t="s">
        <v>10515</v>
      </c>
      <c r="J587" s="1" t="s">
        <v>10516</v>
      </c>
      <c r="K587" s="1" t="s">
        <v>10517</v>
      </c>
      <c r="L587" s="1"/>
      <c r="M587" s="1" t="s">
        <v>78</v>
      </c>
      <c r="N587" s="1" t="s">
        <v>79</v>
      </c>
      <c r="O587" s="1" t="s">
        <v>10518</v>
      </c>
      <c r="P587" s="1" t="s">
        <v>10519</v>
      </c>
      <c r="Q587" s="1" t="s">
        <v>320</v>
      </c>
      <c r="R587" s="1" t="s">
        <v>10520</v>
      </c>
      <c r="S587" s="1"/>
      <c r="T587" s="1" t="s">
        <v>10521</v>
      </c>
      <c r="U587" s="1"/>
      <c r="V587" s="1" t="s">
        <v>10522</v>
      </c>
      <c r="W587" s="1" t="s">
        <v>10523</v>
      </c>
      <c r="X587" s="1" t="s">
        <v>10524</v>
      </c>
      <c r="Y587" s="1" t="s">
        <v>10525</v>
      </c>
      <c r="Z587" s="1" t="s">
        <v>10526</v>
      </c>
      <c r="AA587" s="1" t="s">
        <v>10527</v>
      </c>
      <c r="AB587" s="1" t="s">
        <v>10528</v>
      </c>
      <c r="AC587" s="1" t="s">
        <v>10529</v>
      </c>
      <c r="AD587" s="1" t="s">
        <v>10530</v>
      </c>
      <c r="AE587" s="1" t="s">
        <v>10531</v>
      </c>
      <c r="AF587" s="1"/>
      <c r="AG587" s="1" t="n">
        <v>5</v>
      </c>
      <c r="AH587" s="1" t="n">
        <v>10</v>
      </c>
      <c r="AI587" s="1" t="n">
        <v>10</v>
      </c>
      <c r="AJ587" s="1" t="n">
        <v>0</v>
      </c>
      <c r="AK587" s="1" t="n">
        <v>0</v>
      </c>
      <c r="AL587" s="1" t="s">
        <v>106</v>
      </c>
      <c r="AM587" s="1" t="s">
        <v>95</v>
      </c>
      <c r="AN587" s="1" t="s">
        <v>122</v>
      </c>
      <c r="AO587" s="1" t="s">
        <v>10532</v>
      </c>
      <c r="AP587" s="1" t="s">
        <v>10533</v>
      </c>
      <c r="AQ587" s="1" t="s">
        <v>10534</v>
      </c>
      <c r="AR587" s="1" t="s">
        <v>10535</v>
      </c>
      <c r="AS587" s="1"/>
      <c r="AT587" s="1"/>
      <c r="AU587" s="1" t="n">
        <v>2020</v>
      </c>
      <c r="AV587" s="1"/>
      <c r="AW587" s="1"/>
      <c r="AX587" s="1"/>
      <c r="AY587" s="1"/>
      <c r="AZ587" s="1"/>
      <c r="BA587" s="1"/>
      <c r="BB587" s="1"/>
      <c r="BC587" s="1"/>
      <c r="BD587" s="1"/>
      <c r="BE587" s="1" t="s">
        <v>10536</v>
      </c>
      <c r="BF587" s="1" t="str">
        <f aca="false">HYPERLINK("http://dx.doi.org/10.1109/icmim48759.2020.9299034","http://dx.doi.org/10.1109/icmim48759.2020.9299034")</f>
        <v>http://dx.doi.org/10.1109/icmim48759.2020.9299034</v>
      </c>
      <c r="BG587" s="1"/>
      <c r="BH587" s="1"/>
      <c r="BI587" s="1" t="n">
        <v>4</v>
      </c>
      <c r="BJ587" s="1" t="s">
        <v>153</v>
      </c>
      <c r="BK587" s="1" t="s">
        <v>100</v>
      </c>
      <c r="BL587" s="1" t="s">
        <v>154</v>
      </c>
      <c r="BM587" s="1" t="s">
        <v>10537</v>
      </c>
      <c r="BN587" s="1"/>
      <c r="BO587" s="1" t="s">
        <v>179</v>
      </c>
      <c r="BP587" s="1"/>
      <c r="BQ587" s="1"/>
      <c r="BR587" s="1" t="s">
        <v>103</v>
      </c>
      <c r="BS587" s="1" t="s">
        <v>10538</v>
      </c>
      <c r="BT587" s="1" t="str">
        <f aca="false">HYPERLINK("https%3A%2F%2Fwww.webofscience.com%2Fwos%2Fwoscc%2Ffull-record%2FWOS:000723661600023","View Full Record in Web of Science")</f>
        <v>View Full Record in Web of Science</v>
      </c>
    </row>
    <row r="588" customFormat="false" ht="12.75" hidden="false" customHeight="false" outlineLevel="0" collapsed="false">
      <c r="A588" s="1" t="s">
        <v>181</v>
      </c>
      <c r="B588" s="1" t="s">
        <v>10539</v>
      </c>
      <c r="C588" s="1"/>
      <c r="D588" s="1"/>
      <c r="E588" s="1"/>
      <c r="F588" s="1" t="s">
        <v>10540</v>
      </c>
      <c r="G588" s="1"/>
      <c r="H588" s="1"/>
      <c r="I588" s="1" t="s">
        <v>10541</v>
      </c>
      <c r="J588" s="1" t="s">
        <v>10542</v>
      </c>
      <c r="K588" s="1"/>
      <c r="L588" s="1"/>
      <c r="M588" s="1" t="s">
        <v>78</v>
      </c>
      <c r="N588" s="1" t="s">
        <v>186</v>
      </c>
      <c r="O588" s="1"/>
      <c r="P588" s="1"/>
      <c r="Q588" s="1"/>
      <c r="R588" s="1"/>
      <c r="S588" s="1"/>
      <c r="T588" s="1" t="s">
        <v>10543</v>
      </c>
      <c r="U588" s="1"/>
      <c r="V588" s="1" t="s">
        <v>10544</v>
      </c>
      <c r="W588" s="1" t="s">
        <v>10545</v>
      </c>
      <c r="X588" s="1" t="s">
        <v>10546</v>
      </c>
      <c r="Y588" s="1" t="s">
        <v>10547</v>
      </c>
      <c r="Z588" s="1" t="s">
        <v>10548</v>
      </c>
      <c r="AA588" s="1" t="s">
        <v>10549</v>
      </c>
      <c r="AB588" s="1" t="s">
        <v>10550</v>
      </c>
      <c r="AC588" s="1" t="s">
        <v>10551</v>
      </c>
      <c r="AD588" s="1" t="s">
        <v>10552</v>
      </c>
      <c r="AE588" s="1" t="s">
        <v>10553</v>
      </c>
      <c r="AF588" s="1"/>
      <c r="AG588" s="1" t="n">
        <v>31</v>
      </c>
      <c r="AH588" s="1" t="n">
        <v>2</v>
      </c>
      <c r="AI588" s="1" t="n">
        <v>2</v>
      </c>
      <c r="AJ588" s="1" t="n">
        <v>1</v>
      </c>
      <c r="AK588" s="1" t="n">
        <v>3</v>
      </c>
      <c r="AL588" s="1" t="s">
        <v>10554</v>
      </c>
      <c r="AM588" s="1" t="s">
        <v>10555</v>
      </c>
      <c r="AN588" s="1" t="s">
        <v>10556</v>
      </c>
      <c r="AO588" s="1" t="s">
        <v>10557</v>
      </c>
      <c r="AP588" s="1" t="s">
        <v>10558</v>
      </c>
      <c r="AQ588" s="1"/>
      <c r="AR588" s="1" t="s">
        <v>10559</v>
      </c>
      <c r="AS588" s="1" t="s">
        <v>10560</v>
      </c>
      <c r="AT588" s="1"/>
      <c r="AU588" s="1" t="n">
        <v>2023</v>
      </c>
      <c r="AV588" s="1" t="n">
        <v>25</v>
      </c>
      <c r="AW588" s="1" t="n">
        <v>1</v>
      </c>
      <c r="AX588" s="1"/>
      <c r="AY588" s="1"/>
      <c r="AZ588" s="1"/>
      <c r="BA588" s="1"/>
      <c r="BB588" s="1" t="n">
        <v>92</v>
      </c>
      <c r="BC588" s="1" t="n">
        <v>105</v>
      </c>
      <c r="BD588" s="1"/>
      <c r="BE588" s="1" t="s">
        <v>10561</v>
      </c>
      <c r="BF588" s="1" t="str">
        <f aca="false">HYPERLINK("http://dx.doi.org/10.16993/sjdr.879","http://dx.doi.org/10.16993/sjdr.879")</f>
        <v>http://dx.doi.org/10.16993/sjdr.879</v>
      </c>
      <c r="BG588" s="1"/>
      <c r="BH588" s="1"/>
      <c r="BI588" s="1" t="n">
        <v>14</v>
      </c>
      <c r="BJ588" s="1" t="s">
        <v>10562</v>
      </c>
      <c r="BK588" s="1" t="s">
        <v>253</v>
      </c>
      <c r="BL588" s="1" t="s">
        <v>10562</v>
      </c>
      <c r="BM588" s="1" t="s">
        <v>10563</v>
      </c>
      <c r="BN588" s="1"/>
      <c r="BO588" s="1" t="s">
        <v>401</v>
      </c>
      <c r="BP588" s="1"/>
      <c r="BQ588" s="1"/>
      <c r="BR588" s="1" t="s">
        <v>103</v>
      </c>
      <c r="BS588" s="1" t="s">
        <v>10564</v>
      </c>
      <c r="BT588" s="1" t="str">
        <f aca="false">HYPERLINK("https%3A%2F%2Fwww.webofscience.com%2Fwos%2Fwoscc%2Ffull-record%2FWOS:001000705200002","View Full Record in Web of Science")</f>
        <v>View Full Record in Web of Science</v>
      </c>
    </row>
    <row r="589" customFormat="false" ht="12.75" hidden="false" customHeight="false" outlineLevel="0" collapsed="false">
      <c r="A589" s="1" t="s">
        <v>181</v>
      </c>
      <c r="B589" s="1" t="s">
        <v>10565</v>
      </c>
      <c r="C589" s="1"/>
      <c r="D589" s="1"/>
      <c r="E589" s="1"/>
      <c r="F589" s="1" t="s">
        <v>10566</v>
      </c>
      <c r="G589" s="1"/>
      <c r="H589" s="1"/>
      <c r="I589" s="1" t="s">
        <v>10567</v>
      </c>
      <c r="J589" s="1" t="s">
        <v>10568</v>
      </c>
      <c r="K589" s="1"/>
      <c r="L589" s="1"/>
      <c r="M589" s="1" t="s">
        <v>78</v>
      </c>
      <c r="N589" s="1" t="s">
        <v>186</v>
      </c>
      <c r="O589" s="1"/>
      <c r="P589" s="1"/>
      <c r="Q589" s="1"/>
      <c r="R589" s="1"/>
      <c r="S589" s="1"/>
      <c r="T589" s="1" t="s">
        <v>10569</v>
      </c>
      <c r="U589" s="1" t="s">
        <v>10570</v>
      </c>
      <c r="V589" s="1" t="s">
        <v>10571</v>
      </c>
      <c r="W589" s="1" t="s">
        <v>10572</v>
      </c>
      <c r="X589" s="1" t="s">
        <v>10573</v>
      </c>
      <c r="Y589" s="1" t="s">
        <v>10574</v>
      </c>
      <c r="Z589" s="1" t="s">
        <v>10575</v>
      </c>
      <c r="AA589" s="1"/>
      <c r="AB589" s="1"/>
      <c r="AC589" s="1" t="s">
        <v>10576</v>
      </c>
      <c r="AD589" s="1" t="s">
        <v>10577</v>
      </c>
      <c r="AE589" s="1" t="s">
        <v>10578</v>
      </c>
      <c r="AF589" s="1"/>
      <c r="AG589" s="1" t="n">
        <v>43</v>
      </c>
      <c r="AH589" s="1" t="n">
        <v>2</v>
      </c>
      <c r="AI589" s="1" t="n">
        <v>2</v>
      </c>
      <c r="AJ589" s="1" t="n">
        <v>1</v>
      </c>
      <c r="AK589" s="1" t="n">
        <v>3</v>
      </c>
      <c r="AL589" s="1" t="s">
        <v>10579</v>
      </c>
      <c r="AM589" s="1" t="s">
        <v>10580</v>
      </c>
      <c r="AN589" s="1" t="s">
        <v>10581</v>
      </c>
      <c r="AO589" s="1" t="s">
        <v>10582</v>
      </c>
      <c r="AP589" s="1" t="s">
        <v>10583</v>
      </c>
      <c r="AQ589" s="1"/>
      <c r="AR589" s="1" t="s">
        <v>10584</v>
      </c>
      <c r="AS589" s="1" t="s">
        <v>10585</v>
      </c>
      <c r="AT589" s="1"/>
      <c r="AU589" s="1" t="n">
        <v>2023</v>
      </c>
      <c r="AV589" s="1" t="n">
        <v>17</v>
      </c>
      <c r="AW589" s="1" t="n">
        <v>3</v>
      </c>
      <c r="AX589" s="1"/>
      <c r="AY589" s="1"/>
      <c r="AZ589" s="1"/>
      <c r="BA589" s="1"/>
      <c r="BB589" s="1" t="n">
        <v>39</v>
      </c>
      <c r="BC589" s="1" t="n">
        <v>56</v>
      </c>
      <c r="BD589" s="1"/>
      <c r="BE589" s="1"/>
      <c r="BF589" s="1"/>
      <c r="BG589" s="1"/>
      <c r="BH589" s="1"/>
      <c r="BI589" s="1" t="n">
        <v>19</v>
      </c>
      <c r="BJ589" s="1" t="s">
        <v>10562</v>
      </c>
      <c r="BK589" s="1" t="s">
        <v>253</v>
      </c>
      <c r="BL589" s="1" t="s">
        <v>10562</v>
      </c>
      <c r="BM589" s="1" t="s">
        <v>10586</v>
      </c>
      <c r="BN589" s="1"/>
      <c r="BO589" s="1"/>
      <c r="BP589" s="1"/>
      <c r="BQ589" s="1"/>
      <c r="BR589" s="1" t="s">
        <v>103</v>
      </c>
      <c r="BS589" s="1" t="s">
        <v>10587</v>
      </c>
      <c r="BT589" s="1" t="str">
        <f aca="false">HYPERLINK("https%3A%2F%2Fwww.webofscience.com%2Fwos%2Fwoscc%2Ffull-record%2FWOS:001102753200004","View Full Record in Web of Science")</f>
        <v>View Full Record in Web of Science</v>
      </c>
    </row>
    <row r="590" customFormat="false" ht="12.75" hidden="false" customHeight="false" outlineLevel="0" collapsed="false">
      <c r="A590" s="1" t="s">
        <v>181</v>
      </c>
      <c r="B590" s="1" t="s">
        <v>10588</v>
      </c>
      <c r="C590" s="1"/>
      <c r="D590" s="1"/>
      <c r="E590" s="1"/>
      <c r="F590" s="1" t="s">
        <v>10589</v>
      </c>
      <c r="G590" s="1"/>
      <c r="H590" s="1"/>
      <c r="I590" s="1" t="s">
        <v>10590</v>
      </c>
      <c r="J590" s="1" t="s">
        <v>743</v>
      </c>
      <c r="K590" s="1"/>
      <c r="L590" s="1"/>
      <c r="M590" s="1" t="s">
        <v>78</v>
      </c>
      <c r="N590" s="1" t="s">
        <v>186</v>
      </c>
      <c r="O590" s="1"/>
      <c r="P590" s="1"/>
      <c r="Q590" s="1"/>
      <c r="R590" s="1"/>
      <c r="S590" s="1"/>
      <c r="T590" s="1" t="s">
        <v>10591</v>
      </c>
      <c r="U590" s="1"/>
      <c r="V590" s="1" t="s">
        <v>10592</v>
      </c>
      <c r="W590" s="1" t="s">
        <v>10593</v>
      </c>
      <c r="X590" s="1" t="s">
        <v>6305</v>
      </c>
      <c r="Y590" s="1" t="s">
        <v>10594</v>
      </c>
      <c r="Z590" s="1" t="s">
        <v>10595</v>
      </c>
      <c r="AA590" s="1" t="s">
        <v>10596</v>
      </c>
      <c r="AB590" s="1" t="s">
        <v>10597</v>
      </c>
      <c r="AC590" s="1"/>
      <c r="AD590" s="1"/>
      <c r="AE590" s="1"/>
      <c r="AF590" s="1"/>
      <c r="AG590" s="1" t="n">
        <v>43</v>
      </c>
      <c r="AH590" s="1" t="n">
        <v>3</v>
      </c>
      <c r="AI590" s="1" t="n">
        <v>5</v>
      </c>
      <c r="AJ590" s="1" t="n">
        <v>2</v>
      </c>
      <c r="AK590" s="1" t="n">
        <v>9</v>
      </c>
      <c r="AL590" s="1" t="s">
        <v>367</v>
      </c>
      <c r="AM590" s="1" t="s">
        <v>368</v>
      </c>
      <c r="AN590" s="1" t="s">
        <v>8771</v>
      </c>
      <c r="AO590" s="1" t="s">
        <v>751</v>
      </c>
      <c r="AP590" s="1"/>
      <c r="AQ590" s="1"/>
      <c r="AR590" s="1" t="s">
        <v>752</v>
      </c>
      <c r="AS590" s="1" t="s">
        <v>753</v>
      </c>
      <c r="AT590" s="1" t="s">
        <v>1391</v>
      </c>
      <c r="AU590" s="1" t="n">
        <v>2022</v>
      </c>
      <c r="AV590" s="1" t="n">
        <v>11</v>
      </c>
      <c r="AW590" s="1" t="n">
        <v>21</v>
      </c>
      <c r="AX590" s="1"/>
      <c r="AY590" s="1"/>
      <c r="AZ590" s="1"/>
      <c r="BA590" s="1"/>
      <c r="BB590" s="1"/>
      <c r="BC590" s="1"/>
      <c r="BD590" s="1" t="n">
        <v>3580</v>
      </c>
      <c r="BE590" s="1" t="s">
        <v>10598</v>
      </c>
      <c r="BF590" s="1" t="str">
        <f aca="false">HYPERLINK("http://dx.doi.org/10.3390/electronics11213580","http://dx.doi.org/10.3390/electronics11213580")</f>
        <v>http://dx.doi.org/10.3390/electronics11213580</v>
      </c>
      <c r="BG590" s="1"/>
      <c r="BH590" s="1"/>
      <c r="BI590" s="1" t="n">
        <v>22</v>
      </c>
      <c r="BJ590" s="1" t="s">
        <v>756</v>
      </c>
      <c r="BK590" s="1" t="s">
        <v>204</v>
      </c>
      <c r="BL590" s="1" t="s">
        <v>757</v>
      </c>
      <c r="BM590" s="1" t="s">
        <v>10599</v>
      </c>
      <c r="BN590" s="1"/>
      <c r="BO590" s="1" t="s">
        <v>401</v>
      </c>
      <c r="BP590" s="1"/>
      <c r="BQ590" s="1"/>
      <c r="BR590" s="1" t="s">
        <v>103</v>
      </c>
      <c r="BS590" s="1" t="s">
        <v>10600</v>
      </c>
      <c r="BT590" s="1" t="str">
        <f aca="false">HYPERLINK("https%3A%2F%2Fwww.webofscience.com%2Fwos%2Fwoscc%2Ffull-record%2FWOS:000883429300001","View Full Record in Web of Science")</f>
        <v>View Full Record in Web of Science</v>
      </c>
    </row>
    <row r="591" customFormat="false" ht="12.75" hidden="false" customHeight="false" outlineLevel="0" collapsed="false">
      <c r="A591" s="1" t="s">
        <v>181</v>
      </c>
      <c r="B591" s="1" t="s">
        <v>10601</v>
      </c>
      <c r="C591" s="1"/>
      <c r="D591" s="1"/>
      <c r="E591" s="1"/>
      <c r="F591" s="1" t="s">
        <v>10602</v>
      </c>
      <c r="G591" s="1"/>
      <c r="H591" s="1"/>
      <c r="I591" s="1" t="s">
        <v>10603</v>
      </c>
      <c r="J591" s="1" t="s">
        <v>1378</v>
      </c>
      <c r="K591" s="1"/>
      <c r="L591" s="1"/>
      <c r="M591" s="1" t="s">
        <v>78</v>
      </c>
      <c r="N591" s="1" t="s">
        <v>186</v>
      </c>
      <c r="O591" s="1"/>
      <c r="P591" s="1"/>
      <c r="Q591" s="1"/>
      <c r="R591" s="1"/>
      <c r="S591" s="1"/>
      <c r="T591" s="1" t="s">
        <v>10604</v>
      </c>
      <c r="U591" s="1" t="s">
        <v>10605</v>
      </c>
      <c r="V591" s="1" t="s">
        <v>10606</v>
      </c>
      <c r="W591" s="1" t="s">
        <v>10607</v>
      </c>
      <c r="X591" s="1" t="s">
        <v>10608</v>
      </c>
      <c r="Y591" s="1" t="s">
        <v>2726</v>
      </c>
      <c r="Z591" s="1" t="s">
        <v>10609</v>
      </c>
      <c r="AA591" s="1" t="s">
        <v>10439</v>
      </c>
      <c r="AB591" s="1" t="s">
        <v>10610</v>
      </c>
      <c r="AC591" s="1" t="s">
        <v>10611</v>
      </c>
      <c r="AD591" s="1" t="s">
        <v>10612</v>
      </c>
      <c r="AE591" s="1" t="s">
        <v>10613</v>
      </c>
      <c r="AF591" s="1"/>
      <c r="AG591" s="1" t="n">
        <v>37</v>
      </c>
      <c r="AH591" s="1" t="n">
        <v>123</v>
      </c>
      <c r="AI591" s="1" t="n">
        <v>127</v>
      </c>
      <c r="AJ591" s="1" t="n">
        <v>11</v>
      </c>
      <c r="AK591" s="1" t="n">
        <v>32</v>
      </c>
      <c r="AL591" s="1" t="s">
        <v>893</v>
      </c>
      <c r="AM591" s="1" t="s">
        <v>894</v>
      </c>
      <c r="AN591" s="1" t="s">
        <v>895</v>
      </c>
      <c r="AO591" s="1" t="s">
        <v>1387</v>
      </c>
      <c r="AP591" s="1" t="s">
        <v>1388</v>
      </c>
      <c r="AQ591" s="1"/>
      <c r="AR591" s="1" t="s">
        <v>1389</v>
      </c>
      <c r="AS591" s="1" t="s">
        <v>1390</v>
      </c>
      <c r="AT591" s="1" t="s">
        <v>808</v>
      </c>
      <c r="AU591" s="1" t="n">
        <v>2022</v>
      </c>
      <c r="AV591" s="1" t="n">
        <v>147</v>
      </c>
      <c r="AW591" s="1"/>
      <c r="AX591" s="1"/>
      <c r="AY591" s="1"/>
      <c r="AZ591" s="1"/>
      <c r="BA591" s="1"/>
      <c r="BB591" s="1"/>
      <c r="BC591" s="1"/>
      <c r="BD591" s="1" t="n">
        <v>106908</v>
      </c>
      <c r="BE591" s="1" t="s">
        <v>10614</v>
      </c>
      <c r="BF591" s="1" t="str">
        <f aca="false">HYPERLINK("http://dx.doi.org/10.1016/j.infsof.2022.106908","http://dx.doi.org/10.1016/j.infsof.2022.106908")</f>
        <v>http://dx.doi.org/10.1016/j.infsof.2022.106908</v>
      </c>
      <c r="BG591" s="1"/>
      <c r="BH591" s="1"/>
      <c r="BI591" s="1" t="n">
        <v>12</v>
      </c>
      <c r="BJ591" s="1" t="s">
        <v>1394</v>
      </c>
      <c r="BK591" s="1" t="s">
        <v>204</v>
      </c>
      <c r="BL591" s="1" t="s">
        <v>101</v>
      </c>
      <c r="BM591" s="1" t="s">
        <v>10615</v>
      </c>
      <c r="BN591" s="1"/>
      <c r="BO591" s="1" t="s">
        <v>4656</v>
      </c>
      <c r="BP591" s="1" t="s">
        <v>10616</v>
      </c>
      <c r="BQ591" s="1" t="s">
        <v>10617</v>
      </c>
      <c r="BR591" s="1" t="s">
        <v>103</v>
      </c>
      <c r="BS591" s="1" t="s">
        <v>10618</v>
      </c>
      <c r="BT591" s="1" t="str">
        <f aca="false">HYPERLINK("https%3A%2F%2Fwww.webofscience.com%2Fwos%2Fwoscc%2Ffull-record%2FWOS:000912894400002","View Full Record in Web of Science")</f>
        <v>View Full Record in Web of Science</v>
      </c>
    </row>
    <row r="592" customFormat="false" ht="12.75" hidden="false" customHeight="false" outlineLevel="0" collapsed="false">
      <c r="A592" s="1" t="s">
        <v>72</v>
      </c>
      <c r="B592" s="1" t="s">
        <v>10588</v>
      </c>
      <c r="C592" s="1"/>
      <c r="D592" s="1"/>
      <c r="E592" s="1" t="s">
        <v>106</v>
      </c>
      <c r="F592" s="1" t="s">
        <v>10589</v>
      </c>
      <c r="G592" s="1"/>
      <c r="H592" s="1"/>
      <c r="I592" s="1" t="s">
        <v>10619</v>
      </c>
      <c r="J592" s="1" t="s">
        <v>10620</v>
      </c>
      <c r="K592" s="1"/>
      <c r="L592" s="1"/>
      <c r="M592" s="1" t="s">
        <v>78</v>
      </c>
      <c r="N592" s="1" t="s">
        <v>79</v>
      </c>
      <c r="O592" s="1" t="s">
        <v>10621</v>
      </c>
      <c r="P592" s="1" t="s">
        <v>10622</v>
      </c>
      <c r="Q592" s="1" t="s">
        <v>10623</v>
      </c>
      <c r="R592" s="1" t="s">
        <v>10624</v>
      </c>
      <c r="S592" s="1"/>
      <c r="T592" s="1" t="s">
        <v>10625</v>
      </c>
      <c r="U592" s="1"/>
      <c r="V592" s="1" t="s">
        <v>10626</v>
      </c>
      <c r="W592" s="1" t="s">
        <v>10627</v>
      </c>
      <c r="X592" s="1" t="s">
        <v>6305</v>
      </c>
      <c r="Y592" s="1" t="s">
        <v>10628</v>
      </c>
      <c r="Z592" s="1" t="s">
        <v>10629</v>
      </c>
      <c r="AA592" s="1" t="s">
        <v>6307</v>
      </c>
      <c r="AB592" s="1" t="s">
        <v>6308</v>
      </c>
      <c r="AC592" s="1"/>
      <c r="AD592" s="1"/>
      <c r="AE592" s="1"/>
      <c r="AF592" s="1"/>
      <c r="AG592" s="1" t="n">
        <v>31</v>
      </c>
      <c r="AH592" s="1" t="n">
        <v>0</v>
      </c>
      <c r="AI592" s="1" t="n">
        <v>0</v>
      </c>
      <c r="AJ592" s="1" t="n">
        <v>0</v>
      </c>
      <c r="AK592" s="1" t="n">
        <v>1</v>
      </c>
      <c r="AL592" s="1" t="s">
        <v>106</v>
      </c>
      <c r="AM592" s="1" t="s">
        <v>95</v>
      </c>
      <c r="AN592" s="1" t="s">
        <v>122</v>
      </c>
      <c r="AO592" s="1"/>
      <c r="AP592" s="1"/>
      <c r="AQ592" s="1" t="s">
        <v>10630</v>
      </c>
      <c r="AR592" s="1"/>
      <c r="AS592" s="1"/>
      <c r="AT592" s="1"/>
      <c r="AU592" s="1" t="n">
        <v>2023</v>
      </c>
      <c r="AV592" s="1"/>
      <c r="AW592" s="1"/>
      <c r="AX592" s="1"/>
      <c r="AY592" s="1"/>
      <c r="AZ592" s="1"/>
      <c r="BA592" s="1"/>
      <c r="BB592" s="1" t="n">
        <v>321</v>
      </c>
      <c r="BC592" s="1" t="n">
        <v>328</v>
      </c>
      <c r="BD592" s="1"/>
      <c r="BE592" s="1" t="s">
        <v>10631</v>
      </c>
      <c r="BF592" s="1" t="str">
        <f aca="false">HYPERLINK("http://dx.doi.org/10.1109/CSR57506.2023.10224970","http://dx.doi.org/10.1109/CSR57506.2023.10224970")</f>
        <v>http://dx.doi.org/10.1109/CSR57506.2023.10224970</v>
      </c>
      <c r="BG592" s="1"/>
      <c r="BH592" s="1"/>
      <c r="BI592" s="1" t="n">
        <v>8</v>
      </c>
      <c r="BJ592" s="1" t="s">
        <v>10632</v>
      </c>
      <c r="BK592" s="1" t="s">
        <v>100</v>
      </c>
      <c r="BL592" s="1" t="s">
        <v>1255</v>
      </c>
      <c r="BM592" s="1" t="s">
        <v>10633</v>
      </c>
      <c r="BN592" s="1"/>
      <c r="BO592" s="1" t="s">
        <v>227</v>
      </c>
      <c r="BP592" s="1"/>
      <c r="BQ592" s="1"/>
      <c r="BR592" s="1" t="s">
        <v>103</v>
      </c>
      <c r="BS592" s="1" t="s">
        <v>10634</v>
      </c>
      <c r="BT592" s="1" t="str">
        <f aca="false">HYPERLINK("https%3A%2F%2Fwww.webofscience.com%2Fwos%2Fwoscc%2Ffull-record%2FWOS:001062143200050","View Full Record in Web of Science")</f>
        <v>View Full Record in Web of Science</v>
      </c>
    </row>
    <row r="593" customFormat="false" ht="12.75" hidden="false" customHeight="false" outlineLevel="0" collapsed="false">
      <c r="A593" s="1" t="s">
        <v>181</v>
      </c>
      <c r="B593" s="1" t="s">
        <v>10635</v>
      </c>
      <c r="C593" s="1"/>
      <c r="D593" s="1"/>
      <c r="E593" s="1"/>
      <c r="F593" s="1" t="s">
        <v>10636</v>
      </c>
      <c r="G593" s="1"/>
      <c r="H593" s="1"/>
      <c r="I593" s="1" t="s">
        <v>10637</v>
      </c>
      <c r="J593" s="1" t="s">
        <v>10638</v>
      </c>
      <c r="K593" s="1"/>
      <c r="L593" s="1"/>
      <c r="M593" s="1" t="s">
        <v>78</v>
      </c>
      <c r="N593" s="1" t="s">
        <v>186</v>
      </c>
      <c r="O593" s="1"/>
      <c r="P593" s="1"/>
      <c r="Q593" s="1"/>
      <c r="R593" s="1"/>
      <c r="S593" s="1"/>
      <c r="T593" s="1" t="s">
        <v>10639</v>
      </c>
      <c r="U593" s="1" t="s">
        <v>10640</v>
      </c>
      <c r="V593" s="1" t="s">
        <v>10641</v>
      </c>
      <c r="W593" s="1" t="s">
        <v>10642</v>
      </c>
      <c r="X593" s="1" t="s">
        <v>5124</v>
      </c>
      <c r="Y593" s="1" t="s">
        <v>10643</v>
      </c>
      <c r="Z593" s="1" t="s">
        <v>10644</v>
      </c>
      <c r="AA593" s="1" t="s">
        <v>10645</v>
      </c>
      <c r="AB593" s="1" t="s">
        <v>10646</v>
      </c>
      <c r="AC593" s="1" t="s">
        <v>6929</v>
      </c>
      <c r="AD593" s="1" t="s">
        <v>6929</v>
      </c>
      <c r="AE593" s="1" t="s">
        <v>6930</v>
      </c>
      <c r="AF593" s="1"/>
      <c r="AG593" s="1" t="n">
        <v>24</v>
      </c>
      <c r="AH593" s="1" t="n">
        <v>0</v>
      </c>
      <c r="AI593" s="1" t="n">
        <v>0</v>
      </c>
      <c r="AJ593" s="1" t="n">
        <v>0</v>
      </c>
      <c r="AK593" s="1" t="n">
        <v>3</v>
      </c>
      <c r="AL593" s="1" t="s">
        <v>270</v>
      </c>
      <c r="AM593" s="1" t="s">
        <v>271</v>
      </c>
      <c r="AN593" s="1" t="s">
        <v>272</v>
      </c>
      <c r="AO593" s="1" t="s">
        <v>10647</v>
      </c>
      <c r="AP593" s="1" t="s">
        <v>10648</v>
      </c>
      <c r="AQ593" s="1"/>
      <c r="AR593" s="1" t="s">
        <v>10649</v>
      </c>
      <c r="AS593" s="1" t="s">
        <v>10650</v>
      </c>
      <c r="AT593" s="1" t="s">
        <v>1391</v>
      </c>
      <c r="AU593" s="1" t="n">
        <v>2020</v>
      </c>
      <c r="AV593" s="1" t="n">
        <v>10</v>
      </c>
      <c r="AW593" s="1" t="n">
        <v>6</v>
      </c>
      <c r="AX593" s="1"/>
      <c r="AY593" s="1"/>
      <c r="AZ593" s="1" t="s">
        <v>1698</v>
      </c>
      <c r="BA593" s="1"/>
      <c r="BB593" s="1" t="n">
        <v>1571</v>
      </c>
      <c r="BC593" s="1" t="n">
        <v>1578</v>
      </c>
      <c r="BD593" s="1"/>
      <c r="BE593" s="1" t="s">
        <v>10651</v>
      </c>
      <c r="BF593" s="1" t="str">
        <f aca="false">HYPERLINK("http://dx.doi.org/10.1007/s12553-020-00482-x","http://dx.doi.org/10.1007/s12553-020-00482-x")</f>
        <v>http://dx.doi.org/10.1007/s12553-020-00482-x</v>
      </c>
      <c r="BG593" s="1"/>
      <c r="BH593" s="1" t="s">
        <v>1455</v>
      </c>
      <c r="BI593" s="1" t="n">
        <v>8</v>
      </c>
      <c r="BJ593" s="1" t="s">
        <v>10652</v>
      </c>
      <c r="BK593" s="1" t="s">
        <v>253</v>
      </c>
      <c r="BL593" s="1" t="s">
        <v>10652</v>
      </c>
      <c r="BM593" s="1" t="s">
        <v>10653</v>
      </c>
      <c r="BN593" s="1"/>
      <c r="BO593" s="1" t="s">
        <v>282</v>
      </c>
      <c r="BP593" s="1"/>
      <c r="BQ593" s="1"/>
      <c r="BR593" s="1" t="s">
        <v>103</v>
      </c>
      <c r="BS593" s="1" t="s">
        <v>10654</v>
      </c>
      <c r="BT593" s="1" t="str">
        <f aca="false">HYPERLINK("https%3A%2F%2Fwww.webofscience.com%2Fwos%2Fwoscc%2Ffull-record%2FWOS:000573475100001","View Full Record in Web of Science")</f>
        <v>View Full Record in Web of Science</v>
      </c>
    </row>
    <row r="594" customFormat="false" ht="12.75" hidden="false" customHeight="false" outlineLevel="0" collapsed="false">
      <c r="A594" s="1" t="s">
        <v>72</v>
      </c>
      <c r="B594" s="1" t="s">
        <v>10655</v>
      </c>
      <c r="C594" s="1"/>
      <c r="D594" s="1" t="s">
        <v>6867</v>
      </c>
      <c r="E594" s="1"/>
      <c r="F594" s="1" t="s">
        <v>10656</v>
      </c>
      <c r="G594" s="1"/>
      <c r="H594" s="1"/>
      <c r="I594" s="1" t="s">
        <v>10657</v>
      </c>
      <c r="J594" s="1" t="s">
        <v>6870</v>
      </c>
      <c r="K594" s="1" t="s">
        <v>498</v>
      </c>
      <c r="L594" s="1"/>
      <c r="M594" s="1" t="s">
        <v>78</v>
      </c>
      <c r="N594" s="1" t="s">
        <v>79</v>
      </c>
      <c r="O594" s="1" t="s">
        <v>6871</v>
      </c>
      <c r="P594" s="1" t="s">
        <v>6872</v>
      </c>
      <c r="Q594" s="1" t="s">
        <v>6873</v>
      </c>
      <c r="R594" s="1"/>
      <c r="S594" s="1" t="s">
        <v>6874</v>
      </c>
      <c r="T594" s="1" t="s">
        <v>10658</v>
      </c>
      <c r="U594" s="1"/>
      <c r="V594" s="1" t="s">
        <v>10659</v>
      </c>
      <c r="W594" s="1" t="s">
        <v>10660</v>
      </c>
      <c r="X594" s="1" t="s">
        <v>10156</v>
      </c>
      <c r="Y594" s="1" t="s">
        <v>10157</v>
      </c>
      <c r="Z594" s="1" t="s">
        <v>10661</v>
      </c>
      <c r="AA594" s="1" t="s">
        <v>10662</v>
      </c>
      <c r="AB594" s="1" t="s">
        <v>10663</v>
      </c>
      <c r="AC594" s="1"/>
      <c r="AD594" s="1"/>
      <c r="AE594" s="1"/>
      <c r="AF594" s="1"/>
      <c r="AG594" s="1" t="n">
        <v>27</v>
      </c>
      <c r="AH594" s="1" t="n">
        <v>1</v>
      </c>
      <c r="AI594" s="1" t="n">
        <v>1</v>
      </c>
      <c r="AJ594" s="1" t="n">
        <v>0</v>
      </c>
      <c r="AK594" s="1" t="n">
        <v>4</v>
      </c>
      <c r="AL594" s="1" t="s">
        <v>302</v>
      </c>
      <c r="AM594" s="1" t="s">
        <v>303</v>
      </c>
      <c r="AN594" s="1" t="s">
        <v>304</v>
      </c>
      <c r="AO594" s="1" t="s">
        <v>512</v>
      </c>
      <c r="AP594" s="1" t="s">
        <v>513</v>
      </c>
      <c r="AQ594" s="1" t="s">
        <v>6884</v>
      </c>
      <c r="AR594" s="1" t="s">
        <v>515</v>
      </c>
      <c r="AS594" s="1"/>
      <c r="AT594" s="1"/>
      <c r="AU594" s="1" t="n">
        <v>2020</v>
      </c>
      <c r="AV594" s="1" t="n">
        <v>383</v>
      </c>
      <c r="AW594" s="1"/>
      <c r="AX594" s="1"/>
      <c r="AY594" s="1"/>
      <c r="AZ594" s="1"/>
      <c r="BA594" s="1"/>
      <c r="BB594" s="1" t="n">
        <v>223</v>
      </c>
      <c r="BC594" s="1" t="n">
        <v>239</v>
      </c>
      <c r="BD594" s="1"/>
      <c r="BE594" s="1" t="s">
        <v>10664</v>
      </c>
      <c r="BF594" s="1" t="str">
        <f aca="false">HYPERLINK("http://dx.doi.org/10.1007/978-3-030-49392-9_15","http://dx.doi.org/10.1007/978-3-030-49392-9_15")</f>
        <v>http://dx.doi.org/10.1007/978-3-030-49392-9_15</v>
      </c>
      <c r="BG594" s="1"/>
      <c r="BH594" s="1"/>
      <c r="BI594" s="1" t="n">
        <v>17</v>
      </c>
      <c r="BJ594" s="1" t="s">
        <v>994</v>
      </c>
      <c r="BK594" s="1" t="s">
        <v>100</v>
      </c>
      <c r="BL594" s="1" t="s">
        <v>101</v>
      </c>
      <c r="BM594" s="1" t="s">
        <v>6886</v>
      </c>
      <c r="BN594" s="1"/>
      <c r="BO594" s="1" t="s">
        <v>282</v>
      </c>
      <c r="BP594" s="1"/>
      <c r="BQ594" s="1"/>
      <c r="BR594" s="1" t="s">
        <v>103</v>
      </c>
      <c r="BS594" s="1" t="s">
        <v>10665</v>
      </c>
      <c r="BT594" s="1" t="str">
        <f aca="false">HYPERLINK("https%3A%2F%2Fwww.webofscience.com%2Fwos%2Fwoscc%2Ffull-record%2FWOS:000724681400015","View Full Record in Web of Science")</f>
        <v>View Full Record in Web of Science</v>
      </c>
    </row>
    <row r="595" customFormat="false" ht="12.75" hidden="false" customHeight="false" outlineLevel="0" collapsed="false">
      <c r="A595" s="1" t="s">
        <v>72</v>
      </c>
      <c r="B595" s="1" t="s">
        <v>10666</v>
      </c>
      <c r="C595" s="1"/>
      <c r="D595" s="1"/>
      <c r="E595" s="1" t="s">
        <v>1080</v>
      </c>
      <c r="F595" s="1" t="s">
        <v>10667</v>
      </c>
      <c r="G595" s="1"/>
      <c r="H595" s="1"/>
      <c r="I595" s="1" t="s">
        <v>10668</v>
      </c>
      <c r="J595" s="1" t="s">
        <v>10669</v>
      </c>
      <c r="K595" s="1" t="s">
        <v>10670</v>
      </c>
      <c r="L595" s="1"/>
      <c r="M595" s="1" t="s">
        <v>78</v>
      </c>
      <c r="N595" s="1" t="s">
        <v>79</v>
      </c>
      <c r="O595" s="1" t="s">
        <v>7479</v>
      </c>
      <c r="P595" s="1" t="s">
        <v>7480</v>
      </c>
      <c r="Q595" s="1" t="s">
        <v>320</v>
      </c>
      <c r="R595" s="1" t="s">
        <v>7481</v>
      </c>
      <c r="S595" s="1"/>
      <c r="T595" s="1" t="s">
        <v>10671</v>
      </c>
      <c r="U595" s="1" t="s">
        <v>10672</v>
      </c>
      <c r="V595" s="1" t="s">
        <v>10673</v>
      </c>
      <c r="W595" s="1" t="s">
        <v>10674</v>
      </c>
      <c r="X595" s="1" t="s">
        <v>10675</v>
      </c>
      <c r="Y595" s="1" t="s">
        <v>10676</v>
      </c>
      <c r="Z595" s="1" t="s">
        <v>10677</v>
      </c>
      <c r="AA595" s="1" t="s">
        <v>10678</v>
      </c>
      <c r="AB595" s="1"/>
      <c r="AC595" s="1" t="s">
        <v>10679</v>
      </c>
      <c r="AD595" s="1" t="s">
        <v>10680</v>
      </c>
      <c r="AE595" s="1" t="s">
        <v>10681</v>
      </c>
      <c r="AF595" s="1"/>
      <c r="AG595" s="1" t="n">
        <v>59</v>
      </c>
      <c r="AH595" s="1" t="n">
        <v>42</v>
      </c>
      <c r="AI595" s="1" t="n">
        <v>44</v>
      </c>
      <c r="AJ595" s="1" t="n">
        <v>0</v>
      </c>
      <c r="AK595" s="1" t="n">
        <v>8</v>
      </c>
      <c r="AL595" s="1" t="s">
        <v>172</v>
      </c>
      <c r="AM595" s="1" t="s">
        <v>173</v>
      </c>
      <c r="AN595" s="1" t="s">
        <v>174</v>
      </c>
      <c r="AO595" s="1" t="s">
        <v>10682</v>
      </c>
      <c r="AP595" s="1"/>
      <c r="AQ595" s="1" t="s">
        <v>10683</v>
      </c>
      <c r="AR595" s="1" t="s">
        <v>10684</v>
      </c>
      <c r="AS595" s="1"/>
      <c r="AT595" s="1"/>
      <c r="AU595" s="1" t="n">
        <v>2020</v>
      </c>
      <c r="AV595" s="1"/>
      <c r="AW595" s="1"/>
      <c r="AX595" s="1"/>
      <c r="AY595" s="1"/>
      <c r="AZ595" s="1"/>
      <c r="BA595" s="1"/>
      <c r="BB595" s="1" t="n">
        <v>666</v>
      </c>
      <c r="BC595" s="1" t="n">
        <v>677</v>
      </c>
      <c r="BD595" s="1"/>
      <c r="BE595" s="1" t="s">
        <v>10685</v>
      </c>
      <c r="BF595" s="1" t="str">
        <f aca="false">HYPERLINK("http://dx.doi.org/10.1145/3377811.3380374","http://dx.doi.org/10.1145/3377811.3380374")</f>
        <v>http://dx.doi.org/10.1145/3377811.3380374</v>
      </c>
      <c r="BG595" s="1"/>
      <c r="BH595" s="1"/>
      <c r="BI595" s="1" t="n">
        <v>12</v>
      </c>
      <c r="BJ595" s="1" t="s">
        <v>252</v>
      </c>
      <c r="BK595" s="1" t="s">
        <v>100</v>
      </c>
      <c r="BL595" s="1" t="s">
        <v>101</v>
      </c>
      <c r="BM595" s="1" t="s">
        <v>10686</v>
      </c>
      <c r="BN595" s="1"/>
      <c r="BO595" s="1" t="s">
        <v>227</v>
      </c>
      <c r="BP595" s="1"/>
      <c r="BQ595" s="1"/>
      <c r="BR595" s="1" t="s">
        <v>103</v>
      </c>
      <c r="BS595" s="1" t="s">
        <v>10687</v>
      </c>
      <c r="BT595" s="1" t="str">
        <f aca="false">HYPERLINK("https%3A%2F%2Fwww.webofscience.com%2Fwos%2Fwoscc%2Ffull-record%2FWOS:000652529800055","View Full Record in Web of Science")</f>
        <v>View Full Record in Web of Science</v>
      </c>
    </row>
    <row r="596" customFormat="false" ht="12.75" hidden="false" customHeight="false" outlineLevel="0" collapsed="false">
      <c r="A596" s="1" t="s">
        <v>72</v>
      </c>
      <c r="B596" s="1" t="s">
        <v>10688</v>
      </c>
      <c r="C596" s="1"/>
      <c r="D596" s="1" t="s">
        <v>3061</v>
      </c>
      <c r="E596" s="1"/>
      <c r="F596" s="1" t="s">
        <v>10689</v>
      </c>
      <c r="G596" s="1"/>
      <c r="H596" s="1"/>
      <c r="I596" s="1" t="s">
        <v>10690</v>
      </c>
      <c r="J596" s="1" t="s">
        <v>3064</v>
      </c>
      <c r="K596" s="1" t="s">
        <v>3065</v>
      </c>
      <c r="L596" s="1"/>
      <c r="M596" s="1" t="s">
        <v>78</v>
      </c>
      <c r="N596" s="1" t="s">
        <v>79</v>
      </c>
      <c r="O596" s="1" t="s">
        <v>3066</v>
      </c>
      <c r="P596" s="1" t="s">
        <v>3067</v>
      </c>
      <c r="Q596" s="1" t="s">
        <v>320</v>
      </c>
      <c r="R596" s="1" t="s">
        <v>3068</v>
      </c>
      <c r="S596" s="1"/>
      <c r="T596" s="1" t="s">
        <v>10691</v>
      </c>
      <c r="U596" s="1"/>
      <c r="V596" s="1" t="s">
        <v>10692</v>
      </c>
      <c r="W596" s="1" t="s">
        <v>10693</v>
      </c>
      <c r="X596" s="1" t="s">
        <v>10694</v>
      </c>
      <c r="Y596" s="1" t="s">
        <v>10695</v>
      </c>
      <c r="Z596" s="1" t="s">
        <v>10696</v>
      </c>
      <c r="AA596" s="1"/>
      <c r="AB596" s="1"/>
      <c r="AC596" s="1" t="s">
        <v>10697</v>
      </c>
      <c r="AD596" s="1" t="s">
        <v>10698</v>
      </c>
      <c r="AE596" s="1" t="s">
        <v>10699</v>
      </c>
      <c r="AF596" s="1"/>
      <c r="AG596" s="1" t="n">
        <v>37</v>
      </c>
      <c r="AH596" s="1" t="n">
        <v>1</v>
      </c>
      <c r="AI596" s="1" t="n">
        <v>1</v>
      </c>
      <c r="AJ596" s="1" t="n">
        <v>1</v>
      </c>
      <c r="AK596" s="1" t="n">
        <v>5</v>
      </c>
      <c r="AL596" s="1" t="s">
        <v>172</v>
      </c>
      <c r="AM596" s="1" t="s">
        <v>173</v>
      </c>
      <c r="AN596" s="1" t="s">
        <v>174</v>
      </c>
      <c r="AO596" s="1" t="s">
        <v>3078</v>
      </c>
      <c r="AP596" s="1"/>
      <c r="AQ596" s="1" t="s">
        <v>3079</v>
      </c>
      <c r="AR596" s="1" t="s">
        <v>3080</v>
      </c>
      <c r="AS596" s="1"/>
      <c r="AT596" s="1"/>
      <c r="AU596" s="1" t="n">
        <v>2020</v>
      </c>
      <c r="AV596" s="1"/>
      <c r="AW596" s="1"/>
      <c r="AX596" s="1"/>
      <c r="AY596" s="1"/>
      <c r="AZ596" s="1"/>
      <c r="BA596" s="1"/>
      <c r="BB596" s="1" t="n">
        <v>292</v>
      </c>
      <c r="BC596" s="1" t="n">
        <v>301</v>
      </c>
      <c r="BD596" s="1"/>
      <c r="BE596" s="1" t="s">
        <v>10700</v>
      </c>
      <c r="BF596" s="1" t="str">
        <f aca="false">HYPERLINK("http://dx.doi.org/10.1109/SEAA51224.2020.00056","http://dx.doi.org/10.1109/SEAA51224.2020.00056")</f>
        <v>http://dx.doi.org/10.1109/SEAA51224.2020.00056</v>
      </c>
      <c r="BG596" s="1"/>
      <c r="BH596" s="1"/>
      <c r="BI596" s="1" t="n">
        <v>10</v>
      </c>
      <c r="BJ596" s="1" t="s">
        <v>3082</v>
      </c>
      <c r="BK596" s="1" t="s">
        <v>100</v>
      </c>
      <c r="BL596" s="1" t="s">
        <v>1255</v>
      </c>
      <c r="BM596" s="1" t="s">
        <v>3083</v>
      </c>
      <c r="BN596" s="1"/>
      <c r="BO596" s="1"/>
      <c r="BP596" s="1"/>
      <c r="BQ596" s="1"/>
      <c r="BR596" s="1" t="s">
        <v>103</v>
      </c>
      <c r="BS596" s="1" t="s">
        <v>10701</v>
      </c>
      <c r="BT596" s="1" t="str">
        <f aca="false">HYPERLINK("https%3A%2F%2Fwww.webofscience.com%2Fwos%2Fwoscc%2Ffull-record%2FWOS:000702094100045","View Full Record in Web of Science")</f>
        <v>View Full Record in Web of Science</v>
      </c>
    </row>
    <row r="597" customFormat="false" ht="12.75" hidden="false" customHeight="false" outlineLevel="0" collapsed="false">
      <c r="A597" s="1" t="s">
        <v>181</v>
      </c>
      <c r="B597" s="1" t="s">
        <v>10702</v>
      </c>
      <c r="C597" s="1"/>
      <c r="D597" s="1"/>
      <c r="E597" s="1"/>
      <c r="F597" s="1" t="s">
        <v>10703</v>
      </c>
      <c r="G597" s="1"/>
      <c r="H597" s="1"/>
      <c r="I597" s="1" t="s">
        <v>10704</v>
      </c>
      <c r="J597" s="1" t="s">
        <v>10705</v>
      </c>
      <c r="K597" s="1"/>
      <c r="L597" s="1"/>
      <c r="M597" s="1" t="s">
        <v>78</v>
      </c>
      <c r="N597" s="1" t="s">
        <v>186</v>
      </c>
      <c r="O597" s="1"/>
      <c r="P597" s="1"/>
      <c r="Q597" s="1"/>
      <c r="R597" s="1"/>
      <c r="S597" s="1"/>
      <c r="T597" s="1" t="s">
        <v>10706</v>
      </c>
      <c r="U597" s="1"/>
      <c r="V597" s="1" t="s">
        <v>10707</v>
      </c>
      <c r="W597" s="1" t="s">
        <v>10708</v>
      </c>
      <c r="X597" s="1" t="s">
        <v>10709</v>
      </c>
      <c r="Y597" s="1" t="s">
        <v>10710</v>
      </c>
      <c r="Z597" s="1" t="s">
        <v>10711</v>
      </c>
      <c r="AA597" s="1" t="s">
        <v>10712</v>
      </c>
      <c r="AB597" s="1" t="s">
        <v>10713</v>
      </c>
      <c r="AC597" s="1" t="s">
        <v>10714</v>
      </c>
      <c r="AD597" s="1" t="s">
        <v>10714</v>
      </c>
      <c r="AE597" s="1" t="s">
        <v>10715</v>
      </c>
      <c r="AF597" s="1"/>
      <c r="AG597" s="1" t="n">
        <v>70</v>
      </c>
      <c r="AH597" s="1" t="n">
        <v>3</v>
      </c>
      <c r="AI597" s="1" t="n">
        <v>3</v>
      </c>
      <c r="AJ597" s="1" t="n">
        <v>2</v>
      </c>
      <c r="AK597" s="1" t="n">
        <v>16</v>
      </c>
      <c r="AL597" s="1" t="s">
        <v>270</v>
      </c>
      <c r="AM597" s="1" t="s">
        <v>271</v>
      </c>
      <c r="AN597" s="1" t="s">
        <v>272</v>
      </c>
      <c r="AO597" s="1" t="s">
        <v>10716</v>
      </c>
      <c r="AP597" s="1" t="s">
        <v>10717</v>
      </c>
      <c r="AQ597" s="1"/>
      <c r="AR597" s="1" t="s">
        <v>10718</v>
      </c>
      <c r="AS597" s="1" t="s">
        <v>10719</v>
      </c>
      <c r="AT597" s="1" t="s">
        <v>1391</v>
      </c>
      <c r="AU597" s="1" t="n">
        <v>2020</v>
      </c>
      <c r="AV597" s="1" t="n">
        <v>19</v>
      </c>
      <c r="AW597" s="1" t="n">
        <v>6</v>
      </c>
      <c r="AX597" s="1"/>
      <c r="AY597" s="1"/>
      <c r="AZ597" s="1"/>
      <c r="BA597" s="1"/>
      <c r="BB597" s="1" t="n">
        <v>1307</v>
      </c>
      <c r="BC597" s="1" t="n">
        <v>1343</v>
      </c>
      <c r="BD597" s="1"/>
      <c r="BE597" s="1" t="s">
        <v>10720</v>
      </c>
      <c r="BF597" s="1" t="str">
        <f aca="false">HYPERLINK("http://dx.doi.org/10.1007/s10270-019-00761-w","http://dx.doi.org/10.1007/s10270-019-00761-w")</f>
        <v>http://dx.doi.org/10.1007/s10270-019-00761-w</v>
      </c>
      <c r="BG597" s="1"/>
      <c r="BH597" s="1" t="s">
        <v>10721</v>
      </c>
      <c r="BI597" s="1" t="n">
        <v>37</v>
      </c>
      <c r="BJ597" s="1" t="s">
        <v>252</v>
      </c>
      <c r="BK597" s="1" t="s">
        <v>204</v>
      </c>
      <c r="BL597" s="1" t="s">
        <v>101</v>
      </c>
      <c r="BM597" s="1" t="s">
        <v>10722</v>
      </c>
      <c r="BN597" s="1"/>
      <c r="BO597" s="1" t="s">
        <v>282</v>
      </c>
      <c r="BP597" s="1"/>
      <c r="BQ597" s="1"/>
      <c r="BR597" s="1" t="s">
        <v>103</v>
      </c>
      <c r="BS597" s="1" t="s">
        <v>10723</v>
      </c>
      <c r="BT597" s="1" t="str">
        <f aca="false">HYPERLINK("https%3A%2F%2Fwww.webofscience.com%2Fwos%2Fwoscc%2Ffull-record%2FWOS:000493704500001","View Full Record in Web of Science")</f>
        <v>View Full Record in Web of Science</v>
      </c>
    </row>
    <row r="598" customFormat="false" ht="12.75" hidden="false" customHeight="false" outlineLevel="0" collapsed="false">
      <c r="A598" s="1" t="s">
        <v>181</v>
      </c>
      <c r="B598" s="1" t="s">
        <v>10343</v>
      </c>
      <c r="C598" s="1"/>
      <c r="D598" s="1"/>
      <c r="E598" s="1"/>
      <c r="F598" s="1" t="s">
        <v>10344</v>
      </c>
      <c r="G598" s="1"/>
      <c r="H598" s="1"/>
      <c r="I598" s="1" t="s">
        <v>10724</v>
      </c>
      <c r="J598" s="1" t="s">
        <v>10725</v>
      </c>
      <c r="K598" s="1"/>
      <c r="L598" s="1"/>
      <c r="M598" s="1" t="s">
        <v>78</v>
      </c>
      <c r="N598" s="1" t="s">
        <v>186</v>
      </c>
      <c r="O598" s="1"/>
      <c r="P598" s="1"/>
      <c r="Q598" s="1"/>
      <c r="R598" s="1"/>
      <c r="S598" s="1"/>
      <c r="T598" s="1" t="s">
        <v>10726</v>
      </c>
      <c r="U598" s="1"/>
      <c r="V598" s="1" t="s">
        <v>10727</v>
      </c>
      <c r="W598" s="1" t="s">
        <v>10728</v>
      </c>
      <c r="X598" s="1" t="s">
        <v>6305</v>
      </c>
      <c r="Y598" s="1" t="s">
        <v>10729</v>
      </c>
      <c r="Z598" s="1" t="s">
        <v>10730</v>
      </c>
      <c r="AA598" s="1" t="s">
        <v>10731</v>
      </c>
      <c r="AB598" s="1"/>
      <c r="AC598" s="1" t="s">
        <v>10732</v>
      </c>
      <c r="AD598" s="1" t="s">
        <v>10733</v>
      </c>
      <c r="AE598" s="1" t="s">
        <v>10734</v>
      </c>
      <c r="AF598" s="1"/>
      <c r="AG598" s="1" t="n">
        <v>65</v>
      </c>
      <c r="AH598" s="1" t="n">
        <v>0</v>
      </c>
      <c r="AI598" s="1" t="n">
        <v>0</v>
      </c>
      <c r="AJ598" s="1" t="n">
        <v>0</v>
      </c>
      <c r="AK598" s="1" t="n">
        <v>0</v>
      </c>
      <c r="AL598" s="1" t="s">
        <v>893</v>
      </c>
      <c r="AM598" s="1" t="s">
        <v>894</v>
      </c>
      <c r="AN598" s="1" t="s">
        <v>895</v>
      </c>
      <c r="AO598" s="1" t="s">
        <v>10735</v>
      </c>
      <c r="AP598" s="1" t="s">
        <v>10736</v>
      </c>
      <c r="AQ598" s="1"/>
      <c r="AR598" s="1" t="s">
        <v>10737</v>
      </c>
      <c r="AS598" s="1" t="s">
        <v>10738</v>
      </c>
      <c r="AT598" s="1" t="s">
        <v>754</v>
      </c>
      <c r="AU598" s="1" t="n">
        <v>2025</v>
      </c>
      <c r="AV598" s="1" t="n">
        <v>166</v>
      </c>
      <c r="AW598" s="1"/>
      <c r="AX598" s="1"/>
      <c r="AY598" s="1"/>
      <c r="AZ598" s="1"/>
      <c r="BA598" s="1"/>
      <c r="BB598" s="1"/>
      <c r="BC598" s="1"/>
      <c r="BD598" s="1" t="n">
        <v>107639</v>
      </c>
      <c r="BE598" s="1" t="s">
        <v>10739</v>
      </c>
      <c r="BF598" s="1" t="str">
        <f aca="false">HYPERLINK("http://dx.doi.org/10.1016/j.future.2024.107639","http://dx.doi.org/10.1016/j.future.2024.107639")</f>
        <v>http://dx.doi.org/10.1016/j.future.2024.107639</v>
      </c>
      <c r="BG598" s="1"/>
      <c r="BH598" s="1"/>
      <c r="BI598" s="1" t="n">
        <v>15</v>
      </c>
      <c r="BJ598" s="1" t="s">
        <v>2136</v>
      </c>
      <c r="BK598" s="1" t="s">
        <v>204</v>
      </c>
      <c r="BL598" s="1" t="s">
        <v>101</v>
      </c>
      <c r="BM598" s="1" t="s">
        <v>10740</v>
      </c>
      <c r="BN598" s="1"/>
      <c r="BO598" s="1" t="s">
        <v>282</v>
      </c>
      <c r="BP598" s="1"/>
      <c r="BQ598" s="1"/>
      <c r="BR598" s="1" t="s">
        <v>103</v>
      </c>
      <c r="BS598" s="1" t="s">
        <v>10741</v>
      </c>
      <c r="BT598" s="1" t="str">
        <f aca="false">HYPERLINK("https%3A%2F%2Fwww.webofscience.com%2Fwos%2Fwoscc%2Ffull-record%2FWOS:001407806400001","View Full Record in Web of Science")</f>
        <v>View Full Record in Web of Science</v>
      </c>
    </row>
    <row r="599" customFormat="false" ht="12.75" hidden="false" customHeight="false" outlineLevel="0" collapsed="false">
      <c r="A599" s="1" t="s">
        <v>181</v>
      </c>
      <c r="B599" s="1" t="s">
        <v>10742</v>
      </c>
      <c r="C599" s="1"/>
      <c r="D599" s="1"/>
      <c r="E599" s="1"/>
      <c r="F599" s="1" t="s">
        <v>10743</v>
      </c>
      <c r="G599" s="1"/>
      <c r="H599" s="1"/>
      <c r="I599" s="1" t="s">
        <v>10744</v>
      </c>
      <c r="J599" s="1" t="s">
        <v>1772</v>
      </c>
      <c r="K599" s="1"/>
      <c r="L599" s="1"/>
      <c r="M599" s="1" t="s">
        <v>78</v>
      </c>
      <c r="N599" s="1" t="s">
        <v>186</v>
      </c>
      <c r="O599" s="1"/>
      <c r="P599" s="1"/>
      <c r="Q599" s="1"/>
      <c r="R599" s="1"/>
      <c r="S599" s="1"/>
      <c r="T599" s="1" t="s">
        <v>10745</v>
      </c>
      <c r="U599" s="1" t="s">
        <v>10746</v>
      </c>
      <c r="V599" s="1" t="s">
        <v>10747</v>
      </c>
      <c r="W599" s="1" t="s">
        <v>10748</v>
      </c>
      <c r="X599" s="1" t="s">
        <v>5054</v>
      </c>
      <c r="Y599" s="1" t="s">
        <v>10749</v>
      </c>
      <c r="Z599" s="1" t="s">
        <v>10750</v>
      </c>
      <c r="AA599" s="1"/>
      <c r="AB599" s="1"/>
      <c r="AC599" s="1"/>
      <c r="AD599" s="1"/>
      <c r="AE599" s="1"/>
      <c r="AF599" s="1"/>
      <c r="AG599" s="1" t="n">
        <v>61</v>
      </c>
      <c r="AH599" s="1" t="n">
        <v>0</v>
      </c>
      <c r="AI599" s="1" t="n">
        <v>0</v>
      </c>
      <c r="AJ599" s="1" t="n">
        <v>1</v>
      </c>
      <c r="AK599" s="1" t="n">
        <v>3</v>
      </c>
      <c r="AL599" s="1" t="s">
        <v>367</v>
      </c>
      <c r="AM599" s="1" t="s">
        <v>368</v>
      </c>
      <c r="AN599" s="1" t="s">
        <v>369</v>
      </c>
      <c r="AO599" s="1"/>
      <c r="AP599" s="1" t="s">
        <v>1780</v>
      </c>
      <c r="AQ599" s="1"/>
      <c r="AR599" s="1" t="s">
        <v>1781</v>
      </c>
      <c r="AS599" s="1" t="s">
        <v>1782</v>
      </c>
      <c r="AT599" s="1" t="s">
        <v>808</v>
      </c>
      <c r="AU599" s="1" t="n">
        <v>2024</v>
      </c>
      <c r="AV599" s="1" t="n">
        <v>14</v>
      </c>
      <c r="AW599" s="1" t="n">
        <v>7</v>
      </c>
      <c r="AX599" s="1"/>
      <c r="AY599" s="1"/>
      <c r="AZ599" s="1"/>
      <c r="BA599" s="1"/>
      <c r="BB599" s="1"/>
      <c r="BC599" s="1"/>
      <c r="BD599" s="1" t="n">
        <v>775</v>
      </c>
      <c r="BE599" s="1" t="s">
        <v>10751</v>
      </c>
      <c r="BF599" s="1" t="str">
        <f aca="false">HYPERLINK("http://dx.doi.org/10.3390/educsci14070775","http://dx.doi.org/10.3390/educsci14070775")</f>
        <v>http://dx.doi.org/10.3390/educsci14070775</v>
      </c>
      <c r="BG599" s="1"/>
      <c r="BH599" s="1"/>
      <c r="BI599" s="1" t="n">
        <v>16</v>
      </c>
      <c r="BJ599" s="1" t="s">
        <v>924</v>
      </c>
      <c r="BK599" s="1" t="s">
        <v>253</v>
      </c>
      <c r="BL599" s="1" t="s">
        <v>924</v>
      </c>
      <c r="BM599" s="1" t="s">
        <v>10752</v>
      </c>
      <c r="BN599" s="1"/>
      <c r="BO599" s="1" t="s">
        <v>642</v>
      </c>
      <c r="BP599" s="1"/>
      <c r="BQ599" s="1"/>
      <c r="BR599" s="1" t="s">
        <v>103</v>
      </c>
      <c r="BS599" s="1" t="s">
        <v>10753</v>
      </c>
      <c r="BT599" s="1" t="str">
        <f aca="false">HYPERLINK("https%3A%2F%2Fwww.webofscience.com%2Fwos%2Fwoscc%2Ffull-record%2FWOS:001277022000001","View Full Record in Web of Science")</f>
        <v>View Full Record in Web of Science</v>
      </c>
    </row>
    <row r="600" customFormat="false" ht="12.75" hidden="false" customHeight="false" outlineLevel="0" collapsed="false">
      <c r="A600" s="1" t="s">
        <v>72</v>
      </c>
      <c r="B600" s="1" t="s">
        <v>10754</v>
      </c>
      <c r="C600" s="1"/>
      <c r="D600" s="1" t="s">
        <v>3961</v>
      </c>
      <c r="E600" s="1"/>
      <c r="F600" s="1" t="s">
        <v>10755</v>
      </c>
      <c r="G600" s="1"/>
      <c r="H600" s="1"/>
      <c r="I600" s="1" t="s">
        <v>10756</v>
      </c>
      <c r="J600" s="1" t="s">
        <v>3964</v>
      </c>
      <c r="K600" s="1"/>
      <c r="L600" s="1"/>
      <c r="M600" s="1" t="s">
        <v>78</v>
      </c>
      <c r="N600" s="1" t="s">
        <v>79</v>
      </c>
      <c r="O600" s="1" t="s">
        <v>3965</v>
      </c>
      <c r="P600" s="1" t="s">
        <v>3966</v>
      </c>
      <c r="Q600" s="1" t="s">
        <v>3967</v>
      </c>
      <c r="R600" s="1" t="s">
        <v>3968</v>
      </c>
      <c r="S600" s="1"/>
      <c r="T600" s="1" t="s">
        <v>10757</v>
      </c>
      <c r="U600" s="1" t="s">
        <v>10758</v>
      </c>
      <c r="V600" s="1" t="s">
        <v>10759</v>
      </c>
      <c r="W600" s="1" t="s">
        <v>10760</v>
      </c>
      <c r="X600" s="1" t="s">
        <v>10761</v>
      </c>
      <c r="Y600" s="1" t="s">
        <v>10762</v>
      </c>
      <c r="Z600" s="1" t="s">
        <v>10763</v>
      </c>
      <c r="AA600" s="1" t="s">
        <v>6307</v>
      </c>
      <c r="AB600" s="1"/>
      <c r="AC600" s="1" t="s">
        <v>10764</v>
      </c>
      <c r="AD600" s="1" t="s">
        <v>10765</v>
      </c>
      <c r="AE600" s="1" t="s">
        <v>10766</v>
      </c>
      <c r="AF600" s="1"/>
      <c r="AG600" s="1" t="n">
        <v>19</v>
      </c>
      <c r="AH600" s="1" t="n">
        <v>0</v>
      </c>
      <c r="AI600" s="1" t="n">
        <v>0</v>
      </c>
      <c r="AJ600" s="1" t="n">
        <v>2</v>
      </c>
      <c r="AK600" s="1" t="n">
        <v>2</v>
      </c>
      <c r="AL600" s="1" t="s">
        <v>106</v>
      </c>
      <c r="AM600" s="1" t="s">
        <v>95</v>
      </c>
      <c r="AN600" s="1" t="s">
        <v>122</v>
      </c>
      <c r="AO600" s="1"/>
      <c r="AP600" s="1"/>
      <c r="AQ600" s="1" t="s">
        <v>3974</v>
      </c>
      <c r="AR600" s="1"/>
      <c r="AS600" s="1"/>
      <c r="AT600" s="1"/>
      <c r="AU600" s="1" t="n">
        <v>2024</v>
      </c>
      <c r="AV600" s="1"/>
      <c r="AW600" s="1"/>
      <c r="AX600" s="1"/>
      <c r="AY600" s="1"/>
      <c r="AZ600" s="1"/>
      <c r="BA600" s="1"/>
      <c r="BB600" s="1" t="n">
        <v>154</v>
      </c>
      <c r="BC600" s="1" t="n">
        <v>161</v>
      </c>
      <c r="BD600" s="1"/>
      <c r="BE600" s="1" t="s">
        <v>10767</v>
      </c>
      <c r="BF600" s="1" t="str">
        <f aca="false">HYPERLINK("http://dx.doi.org/10.1109/FMEC62297.2024.10710288","http://dx.doi.org/10.1109/FMEC62297.2024.10710288")</f>
        <v>http://dx.doi.org/10.1109/FMEC62297.2024.10710288</v>
      </c>
      <c r="BG600" s="1"/>
      <c r="BH600" s="1"/>
      <c r="BI600" s="1" t="n">
        <v>8</v>
      </c>
      <c r="BJ600" s="1" t="s">
        <v>2136</v>
      </c>
      <c r="BK600" s="1" t="s">
        <v>100</v>
      </c>
      <c r="BL600" s="1" t="s">
        <v>101</v>
      </c>
      <c r="BM600" s="1" t="s">
        <v>3976</v>
      </c>
      <c r="BN600" s="1"/>
      <c r="BO600" s="1"/>
      <c r="BP600" s="1"/>
      <c r="BQ600" s="1"/>
      <c r="BR600" s="1" t="s">
        <v>103</v>
      </c>
      <c r="BS600" s="1" t="s">
        <v>10768</v>
      </c>
      <c r="BT600" s="1" t="str">
        <f aca="false">HYPERLINK("https%3A%2F%2Fwww.webofscience.com%2Fwos%2Fwoscc%2Ffull-record%2FWOS:001343069600020","View Full Record in Web of Science")</f>
        <v>View Full Record in Web of Science</v>
      </c>
    </row>
    <row r="601" customFormat="false" ht="12.75" hidden="false" customHeight="false" outlineLevel="0" collapsed="false">
      <c r="A601" s="1" t="s">
        <v>181</v>
      </c>
      <c r="B601" s="1" t="s">
        <v>10769</v>
      </c>
      <c r="C601" s="1"/>
      <c r="D601" s="1"/>
      <c r="E601" s="1"/>
      <c r="F601" s="1" t="s">
        <v>10770</v>
      </c>
      <c r="G601" s="1"/>
      <c r="H601" s="1"/>
      <c r="I601" s="1" t="s">
        <v>10771</v>
      </c>
      <c r="J601" s="1" t="s">
        <v>1378</v>
      </c>
      <c r="K601" s="1"/>
      <c r="L601" s="1"/>
      <c r="M601" s="1" t="s">
        <v>78</v>
      </c>
      <c r="N601" s="1" t="s">
        <v>186</v>
      </c>
      <c r="O601" s="1"/>
      <c r="P601" s="1"/>
      <c r="Q601" s="1"/>
      <c r="R601" s="1"/>
      <c r="S601" s="1"/>
      <c r="T601" s="1" t="s">
        <v>10772</v>
      </c>
      <c r="U601" s="1" t="s">
        <v>10773</v>
      </c>
      <c r="V601" s="1" t="s">
        <v>10774</v>
      </c>
      <c r="W601" s="1" t="s">
        <v>10775</v>
      </c>
      <c r="X601" s="1" t="s">
        <v>10776</v>
      </c>
      <c r="Y601" s="1" t="s">
        <v>10777</v>
      </c>
      <c r="Z601" s="1" t="s">
        <v>10778</v>
      </c>
      <c r="AA601" s="1" t="s">
        <v>10779</v>
      </c>
      <c r="AB601" s="1" t="s">
        <v>10780</v>
      </c>
      <c r="AC601" s="1" t="s">
        <v>1186</v>
      </c>
      <c r="AD601" s="1" t="s">
        <v>1186</v>
      </c>
      <c r="AE601" s="1" t="s">
        <v>10781</v>
      </c>
      <c r="AF601" s="1"/>
      <c r="AG601" s="1" t="n">
        <v>38</v>
      </c>
      <c r="AH601" s="1" t="n">
        <v>0</v>
      </c>
      <c r="AI601" s="1" t="n">
        <v>0</v>
      </c>
      <c r="AJ601" s="1" t="n">
        <v>0</v>
      </c>
      <c r="AK601" s="1" t="n">
        <v>2</v>
      </c>
      <c r="AL601" s="1" t="s">
        <v>893</v>
      </c>
      <c r="AM601" s="1" t="s">
        <v>894</v>
      </c>
      <c r="AN601" s="1" t="s">
        <v>895</v>
      </c>
      <c r="AO601" s="1" t="s">
        <v>1387</v>
      </c>
      <c r="AP601" s="1" t="s">
        <v>1388</v>
      </c>
      <c r="AQ601" s="1"/>
      <c r="AR601" s="1" t="s">
        <v>1389</v>
      </c>
      <c r="AS601" s="1" t="s">
        <v>1390</v>
      </c>
      <c r="AT601" s="1" t="s">
        <v>2698</v>
      </c>
      <c r="AU601" s="1" t="n">
        <v>2023</v>
      </c>
      <c r="AV601" s="1" t="n">
        <v>158</v>
      </c>
      <c r="AW601" s="1"/>
      <c r="AX601" s="1"/>
      <c r="AY601" s="1"/>
      <c r="AZ601" s="1"/>
      <c r="BA601" s="1"/>
      <c r="BB601" s="1"/>
      <c r="BC601" s="1"/>
      <c r="BD601" s="1" t="n">
        <v>107170</v>
      </c>
      <c r="BE601" s="1" t="s">
        <v>10782</v>
      </c>
      <c r="BF601" s="1" t="str">
        <f aca="false">HYPERLINK("http://dx.doi.org/10.1016/j.infsof.2023.107170","http://dx.doi.org/10.1016/j.infsof.2023.107170")</f>
        <v>http://dx.doi.org/10.1016/j.infsof.2023.107170</v>
      </c>
      <c r="BG601" s="1"/>
      <c r="BH601" s="1" t="s">
        <v>2833</v>
      </c>
      <c r="BI601" s="1" t="n">
        <v>10</v>
      </c>
      <c r="BJ601" s="1" t="s">
        <v>1394</v>
      </c>
      <c r="BK601" s="1" t="s">
        <v>204</v>
      </c>
      <c r="BL601" s="1" t="s">
        <v>101</v>
      </c>
      <c r="BM601" s="1" t="s">
        <v>10783</v>
      </c>
      <c r="BN601" s="1"/>
      <c r="BO601" s="1" t="s">
        <v>207</v>
      </c>
      <c r="BP601" s="1"/>
      <c r="BQ601" s="1"/>
      <c r="BR601" s="1" t="s">
        <v>103</v>
      </c>
      <c r="BS601" s="1" t="s">
        <v>10784</v>
      </c>
      <c r="BT601" s="1" t="str">
        <f aca="false">HYPERLINK("https%3A%2F%2Fwww.webofscience.com%2Fwos%2Fwoscc%2Ffull-record%2FWOS:000943641800001","View Full Record in Web of Science")</f>
        <v>View Full Record in Web of Science</v>
      </c>
    </row>
    <row r="602" customFormat="false" ht="12.75" hidden="false" customHeight="false" outlineLevel="0" collapsed="false">
      <c r="A602" s="1" t="s">
        <v>72</v>
      </c>
      <c r="B602" s="1" t="s">
        <v>10785</v>
      </c>
      <c r="C602" s="1"/>
      <c r="D602" s="1"/>
      <c r="E602" s="1" t="s">
        <v>428</v>
      </c>
      <c r="F602" s="1" t="s">
        <v>10786</v>
      </c>
      <c r="G602" s="1"/>
      <c r="H602" s="1"/>
      <c r="I602" s="1" t="s">
        <v>10787</v>
      </c>
      <c r="J602" s="1" t="s">
        <v>10788</v>
      </c>
      <c r="K602" s="1"/>
      <c r="L602" s="1"/>
      <c r="M602" s="1" t="s">
        <v>78</v>
      </c>
      <c r="N602" s="1" t="s">
        <v>79</v>
      </c>
      <c r="O602" s="1" t="s">
        <v>10789</v>
      </c>
      <c r="P602" s="1" t="s">
        <v>10790</v>
      </c>
      <c r="Q602" s="1" t="s">
        <v>10791</v>
      </c>
      <c r="R602" s="1" t="s">
        <v>10792</v>
      </c>
      <c r="S602" s="1"/>
      <c r="T602" s="1" t="s">
        <v>10793</v>
      </c>
      <c r="U602" s="1"/>
      <c r="V602" s="1" t="s">
        <v>10794</v>
      </c>
      <c r="W602" s="1" t="s">
        <v>10795</v>
      </c>
      <c r="X602" s="1" t="s">
        <v>10796</v>
      </c>
      <c r="Y602" s="1" t="s">
        <v>10797</v>
      </c>
      <c r="Z602" s="1" t="s">
        <v>10798</v>
      </c>
      <c r="AA602" s="1" t="s">
        <v>10799</v>
      </c>
      <c r="AB602" s="1" t="s">
        <v>10800</v>
      </c>
      <c r="AC602" s="1" t="s">
        <v>10801</v>
      </c>
      <c r="AD602" s="1" t="s">
        <v>10802</v>
      </c>
      <c r="AE602" s="1" t="s">
        <v>10803</v>
      </c>
      <c r="AF602" s="1"/>
      <c r="AG602" s="1" t="n">
        <v>33</v>
      </c>
      <c r="AH602" s="1" t="n">
        <v>2</v>
      </c>
      <c r="AI602" s="1" t="n">
        <v>2</v>
      </c>
      <c r="AJ602" s="1" t="n">
        <v>2</v>
      </c>
      <c r="AK602" s="1" t="n">
        <v>4</v>
      </c>
      <c r="AL602" s="1" t="s">
        <v>94</v>
      </c>
      <c r="AM602" s="1" t="s">
        <v>95</v>
      </c>
      <c r="AN602" s="1" t="s">
        <v>96</v>
      </c>
      <c r="AO602" s="1"/>
      <c r="AP602" s="1"/>
      <c r="AQ602" s="1" t="s">
        <v>10804</v>
      </c>
      <c r="AR602" s="1"/>
      <c r="AS602" s="1"/>
      <c r="AT602" s="1"/>
      <c r="AU602" s="1" t="n">
        <v>2023</v>
      </c>
      <c r="AV602" s="1"/>
      <c r="AW602" s="1"/>
      <c r="AX602" s="1"/>
      <c r="AY602" s="1"/>
      <c r="AZ602" s="1"/>
      <c r="BA602" s="1"/>
      <c r="BB602" s="1"/>
      <c r="BC602" s="1"/>
      <c r="BD602" s="1" t="n">
        <v>19</v>
      </c>
      <c r="BE602" s="1" t="s">
        <v>10805</v>
      </c>
      <c r="BF602" s="1" t="str">
        <f aca="false">HYPERLINK("http://dx.doi.org/10.1145/3603166.3632144","http://dx.doi.org/10.1145/3603166.3632144")</f>
        <v>http://dx.doi.org/10.1145/3603166.3632144</v>
      </c>
      <c r="BG602" s="1"/>
      <c r="BH602" s="1"/>
      <c r="BI602" s="1" t="n">
        <v>10</v>
      </c>
      <c r="BJ602" s="1" t="s">
        <v>2136</v>
      </c>
      <c r="BK602" s="1" t="s">
        <v>100</v>
      </c>
      <c r="BL602" s="1" t="s">
        <v>101</v>
      </c>
      <c r="BM602" s="1" t="s">
        <v>10806</v>
      </c>
      <c r="BN602" s="1"/>
      <c r="BO602" s="1" t="s">
        <v>444</v>
      </c>
      <c r="BP602" s="1"/>
      <c r="BQ602" s="1"/>
      <c r="BR602" s="1" t="s">
        <v>103</v>
      </c>
      <c r="BS602" s="1" t="s">
        <v>10807</v>
      </c>
      <c r="BT602" s="1" t="str">
        <f aca="false">HYPERLINK("https%3A%2F%2Fwww.webofscience.com%2Fwos%2Fwoscc%2Ffull-record%2FWOS:001211822800019","View Full Record in Web of Science")</f>
        <v>View Full Record in Web of Science</v>
      </c>
    </row>
    <row r="603" customFormat="false" ht="12.75" hidden="false" customHeight="false" outlineLevel="0" collapsed="false">
      <c r="A603" s="1" t="s">
        <v>181</v>
      </c>
      <c r="B603" s="1" t="s">
        <v>10808</v>
      </c>
      <c r="C603" s="1"/>
      <c r="D603" s="1"/>
      <c r="E603" s="1"/>
      <c r="F603" s="1" t="s">
        <v>10809</v>
      </c>
      <c r="G603" s="1"/>
      <c r="H603" s="1"/>
      <c r="I603" s="1" t="s">
        <v>10810</v>
      </c>
      <c r="J603" s="1" t="s">
        <v>10811</v>
      </c>
      <c r="K603" s="1"/>
      <c r="L603" s="1"/>
      <c r="M603" s="1" t="s">
        <v>78</v>
      </c>
      <c r="N603" s="1" t="s">
        <v>907</v>
      </c>
      <c r="O603" s="1"/>
      <c r="P603" s="1"/>
      <c r="Q603" s="1"/>
      <c r="R603" s="1"/>
      <c r="S603" s="1"/>
      <c r="T603" s="1" t="s">
        <v>10812</v>
      </c>
      <c r="U603" s="1" t="s">
        <v>10813</v>
      </c>
      <c r="V603" s="1" t="s">
        <v>10814</v>
      </c>
      <c r="W603" s="1" t="s">
        <v>10815</v>
      </c>
      <c r="X603" s="1" t="s">
        <v>10816</v>
      </c>
      <c r="Y603" s="1" t="s">
        <v>10817</v>
      </c>
      <c r="Z603" s="1" t="s">
        <v>10818</v>
      </c>
      <c r="AA603" s="1" t="s">
        <v>10819</v>
      </c>
      <c r="AB603" s="1"/>
      <c r="AC603" s="1" t="s">
        <v>10820</v>
      </c>
      <c r="AD603" s="1" t="s">
        <v>10821</v>
      </c>
      <c r="AE603" s="1" t="s">
        <v>10822</v>
      </c>
      <c r="AF603" s="1"/>
      <c r="AG603" s="1" t="n">
        <v>63</v>
      </c>
      <c r="AH603" s="1" t="n">
        <v>0</v>
      </c>
      <c r="AI603" s="1" t="n">
        <v>0</v>
      </c>
      <c r="AJ603" s="1" t="n">
        <v>0</v>
      </c>
      <c r="AK603" s="1" t="n">
        <v>0</v>
      </c>
      <c r="AL603" s="1" t="s">
        <v>5713</v>
      </c>
      <c r="AM603" s="1" t="s">
        <v>1908</v>
      </c>
      <c r="AN603" s="1" t="s">
        <v>5714</v>
      </c>
      <c r="AO603" s="1" t="s">
        <v>10823</v>
      </c>
      <c r="AP603" s="1" t="s">
        <v>10824</v>
      </c>
      <c r="AQ603" s="1"/>
      <c r="AR603" s="1" t="s">
        <v>10825</v>
      </c>
      <c r="AS603" s="1" t="s">
        <v>10826</v>
      </c>
      <c r="AT603" s="1" t="s">
        <v>10827</v>
      </c>
      <c r="AU603" s="1" t="n">
        <v>2025</v>
      </c>
      <c r="AV603" s="1"/>
      <c r="AW603" s="1"/>
      <c r="AX603" s="1"/>
      <c r="AY603" s="1"/>
      <c r="AZ603" s="1"/>
      <c r="BA603" s="1"/>
      <c r="BB603" s="1"/>
      <c r="BC603" s="1"/>
      <c r="BD603" s="1"/>
      <c r="BE603" s="1" t="s">
        <v>10828</v>
      </c>
      <c r="BF603" s="1" t="str">
        <f aca="false">HYPERLINK("http://dx.doi.org/10.1177/14738716241312400","http://dx.doi.org/10.1177/14738716241312400")</f>
        <v>http://dx.doi.org/10.1177/14738716241312400</v>
      </c>
      <c r="BG603" s="1"/>
      <c r="BH603" s="1" t="s">
        <v>4671</v>
      </c>
      <c r="BI603" s="1" t="n">
        <v>20</v>
      </c>
      <c r="BJ603" s="1" t="s">
        <v>252</v>
      </c>
      <c r="BK603" s="1" t="s">
        <v>204</v>
      </c>
      <c r="BL603" s="1" t="s">
        <v>101</v>
      </c>
      <c r="BM603" s="1" t="s">
        <v>10829</v>
      </c>
      <c r="BN603" s="1"/>
      <c r="BO603" s="1"/>
      <c r="BP603" s="1"/>
      <c r="BQ603" s="1"/>
      <c r="BR603" s="1" t="s">
        <v>103</v>
      </c>
      <c r="BS603" s="1" t="s">
        <v>10830</v>
      </c>
      <c r="BT603" s="1" t="str">
        <f aca="false">HYPERLINK("https%3A%2F%2Fwww.webofscience.com%2Fwos%2Fwoscc%2Ffull-record%2FWOS:001408697200001","View Full Record in Web of Science")</f>
        <v>View Full Record in Web of Science</v>
      </c>
    </row>
    <row r="604" customFormat="false" ht="12.75" hidden="false" customHeight="false" outlineLevel="0" collapsed="false">
      <c r="A604" s="1" t="s">
        <v>181</v>
      </c>
      <c r="B604" s="1" t="s">
        <v>10287</v>
      </c>
      <c r="C604" s="1"/>
      <c r="D604" s="1"/>
      <c r="E604" s="1"/>
      <c r="F604" s="1" t="s">
        <v>10831</v>
      </c>
      <c r="G604" s="1"/>
      <c r="H604" s="1"/>
      <c r="I604" s="1" t="s">
        <v>10832</v>
      </c>
      <c r="J604" s="1" t="s">
        <v>1921</v>
      </c>
      <c r="K604" s="1"/>
      <c r="L604" s="1"/>
      <c r="M604" s="1" t="s">
        <v>78</v>
      </c>
      <c r="N604" s="1" t="s">
        <v>5066</v>
      </c>
      <c r="O604" s="1"/>
      <c r="P604" s="1"/>
      <c r="Q604" s="1"/>
      <c r="R604" s="1"/>
      <c r="S604" s="1"/>
      <c r="T604" s="1"/>
      <c r="U604" s="1"/>
      <c r="V604" s="1" t="s">
        <v>10833</v>
      </c>
      <c r="W604" s="1" t="s">
        <v>10834</v>
      </c>
      <c r="X604" s="1" t="s">
        <v>10835</v>
      </c>
      <c r="Y604" s="1" t="s">
        <v>10836</v>
      </c>
      <c r="Z604" s="1" t="s">
        <v>10295</v>
      </c>
      <c r="AA604" s="1"/>
      <c r="AB604" s="1" t="s">
        <v>10296</v>
      </c>
      <c r="AC604" s="1"/>
      <c r="AD604" s="1"/>
      <c r="AE604" s="1"/>
      <c r="AF604" s="1"/>
      <c r="AG604" s="1" t="n">
        <v>1</v>
      </c>
      <c r="AH604" s="1" t="n">
        <v>0</v>
      </c>
      <c r="AI604" s="1" t="n">
        <v>0</v>
      </c>
      <c r="AJ604" s="1" t="n">
        <v>0</v>
      </c>
      <c r="AK604" s="1" t="n">
        <v>3</v>
      </c>
      <c r="AL604" s="1" t="s">
        <v>679</v>
      </c>
      <c r="AM604" s="1" t="s">
        <v>95</v>
      </c>
      <c r="AN604" s="1" t="s">
        <v>803</v>
      </c>
      <c r="AO604" s="1" t="s">
        <v>1929</v>
      </c>
      <c r="AP604" s="1" t="s">
        <v>1930</v>
      </c>
      <c r="AQ604" s="1"/>
      <c r="AR604" s="1" t="s">
        <v>1931</v>
      </c>
      <c r="AS604" s="1" t="s">
        <v>1932</v>
      </c>
      <c r="AT604" s="1" t="s">
        <v>372</v>
      </c>
      <c r="AU604" s="1" t="n">
        <v>2021</v>
      </c>
      <c r="AV604" s="1" t="n">
        <v>26</v>
      </c>
      <c r="AW604" s="1" t="n">
        <v>4</v>
      </c>
      <c r="AX604" s="1"/>
      <c r="AY604" s="1"/>
      <c r="AZ604" s="1"/>
      <c r="BA604" s="1"/>
      <c r="BB604" s="1" t="n">
        <v>581</v>
      </c>
      <c r="BC604" s="1" t="n">
        <v>581</v>
      </c>
      <c r="BD604" s="1"/>
      <c r="BE604" s="1" t="s">
        <v>10837</v>
      </c>
      <c r="BF604" s="1" t="str">
        <f aca="false">HYPERLINK("http://dx.doi.org/10.1007/s00766-021-00354-4","http://dx.doi.org/10.1007/s00766-021-00354-4")</f>
        <v>http://dx.doi.org/10.1007/s00766-021-00354-4</v>
      </c>
      <c r="BG604" s="1"/>
      <c r="BH604" s="1" t="s">
        <v>1970</v>
      </c>
      <c r="BI604" s="1" t="n">
        <v>1</v>
      </c>
      <c r="BJ604" s="1" t="s">
        <v>1394</v>
      </c>
      <c r="BK604" s="1" t="s">
        <v>204</v>
      </c>
      <c r="BL604" s="1" t="s">
        <v>101</v>
      </c>
      <c r="BM604" s="1" t="s">
        <v>10838</v>
      </c>
      <c r="BN604" s="1"/>
      <c r="BO604" s="1" t="s">
        <v>444</v>
      </c>
      <c r="BP604" s="1"/>
      <c r="BQ604" s="1"/>
      <c r="BR604" s="1" t="s">
        <v>103</v>
      </c>
      <c r="BS604" s="1" t="s">
        <v>10839</v>
      </c>
      <c r="BT604" s="1" t="str">
        <f aca="false">HYPERLINK("https%3A%2F%2Fwww.webofscience.com%2Fwos%2Fwoscc%2Ffull-record%2FWOS:000646915300001","View Full Record in Web of Science")</f>
        <v>View Full Record in Web of Science</v>
      </c>
    </row>
    <row r="605" customFormat="false" ht="12.75" hidden="false" customHeight="false" outlineLevel="0" collapsed="false">
      <c r="A605" s="1" t="s">
        <v>181</v>
      </c>
      <c r="B605" s="1" t="s">
        <v>10840</v>
      </c>
      <c r="C605" s="1"/>
      <c r="D605" s="1"/>
      <c r="E605" s="1"/>
      <c r="F605" s="1" t="s">
        <v>10841</v>
      </c>
      <c r="G605" s="1"/>
      <c r="H605" s="1"/>
      <c r="I605" s="1" t="s">
        <v>10842</v>
      </c>
      <c r="J605" s="1" t="s">
        <v>1378</v>
      </c>
      <c r="K605" s="1"/>
      <c r="L605" s="1"/>
      <c r="M605" s="1" t="s">
        <v>78</v>
      </c>
      <c r="N605" s="1" t="s">
        <v>186</v>
      </c>
      <c r="O605" s="1"/>
      <c r="P605" s="1"/>
      <c r="Q605" s="1"/>
      <c r="R605" s="1"/>
      <c r="S605" s="1"/>
      <c r="T605" s="1" t="s">
        <v>10843</v>
      </c>
      <c r="U605" s="1" t="s">
        <v>10844</v>
      </c>
      <c r="V605" s="1" t="s">
        <v>10845</v>
      </c>
      <c r="W605" s="1" t="s">
        <v>10846</v>
      </c>
      <c r="X605" s="1" t="s">
        <v>10847</v>
      </c>
      <c r="Y605" s="1" t="s">
        <v>10848</v>
      </c>
      <c r="Z605" s="1" t="s">
        <v>10849</v>
      </c>
      <c r="AA605" s="1" t="s">
        <v>6797</v>
      </c>
      <c r="AB605" s="1" t="s">
        <v>10850</v>
      </c>
      <c r="AC605" s="1"/>
      <c r="AD605" s="1"/>
      <c r="AE605" s="1"/>
      <c r="AF605" s="1"/>
      <c r="AG605" s="1" t="n">
        <v>55</v>
      </c>
      <c r="AH605" s="1" t="n">
        <v>43</v>
      </c>
      <c r="AI605" s="1" t="n">
        <v>43</v>
      </c>
      <c r="AJ605" s="1" t="n">
        <v>1</v>
      </c>
      <c r="AK605" s="1" t="n">
        <v>41</v>
      </c>
      <c r="AL605" s="1" t="s">
        <v>893</v>
      </c>
      <c r="AM605" s="1" t="s">
        <v>894</v>
      </c>
      <c r="AN605" s="1" t="s">
        <v>895</v>
      </c>
      <c r="AO605" s="1" t="s">
        <v>1387</v>
      </c>
      <c r="AP605" s="1" t="s">
        <v>1388</v>
      </c>
      <c r="AQ605" s="1"/>
      <c r="AR605" s="1" t="s">
        <v>1389</v>
      </c>
      <c r="AS605" s="1" t="s">
        <v>1390</v>
      </c>
      <c r="AT605" s="1" t="s">
        <v>1362</v>
      </c>
      <c r="AU605" s="1" t="n">
        <v>2020</v>
      </c>
      <c r="AV605" s="1" t="n">
        <v>126</v>
      </c>
      <c r="AW605" s="1"/>
      <c r="AX605" s="1"/>
      <c r="AY605" s="1"/>
      <c r="AZ605" s="1"/>
      <c r="BA605" s="1"/>
      <c r="BB605" s="1"/>
      <c r="BC605" s="1"/>
      <c r="BD605" s="1" t="n">
        <v>106321</v>
      </c>
      <c r="BE605" s="1" t="s">
        <v>10851</v>
      </c>
      <c r="BF605" s="1" t="str">
        <f aca="false">HYPERLINK("http://dx.doi.org/10.1016/j.infsof.2020.106321","http://dx.doi.org/10.1016/j.infsof.2020.106321")</f>
        <v>http://dx.doi.org/10.1016/j.infsof.2020.106321</v>
      </c>
      <c r="BG605" s="1"/>
      <c r="BH605" s="1"/>
      <c r="BI605" s="1" t="n">
        <v>20</v>
      </c>
      <c r="BJ605" s="1" t="s">
        <v>1394</v>
      </c>
      <c r="BK605" s="1" t="s">
        <v>204</v>
      </c>
      <c r="BL605" s="1" t="s">
        <v>101</v>
      </c>
      <c r="BM605" s="1" t="s">
        <v>3272</v>
      </c>
      <c r="BN605" s="1"/>
      <c r="BO605" s="1" t="s">
        <v>10852</v>
      </c>
      <c r="BP605" s="1"/>
      <c r="BQ605" s="1"/>
      <c r="BR605" s="1" t="s">
        <v>103</v>
      </c>
      <c r="BS605" s="1" t="s">
        <v>10853</v>
      </c>
      <c r="BT605" s="1" t="str">
        <f aca="false">HYPERLINK("https%3A%2F%2Fwww.webofscience.com%2Fwos%2Fwoscc%2Ffull-record%2FWOS:000573271800010","View Full Record in Web of Science")</f>
        <v>View Full Record in Web of Science</v>
      </c>
    </row>
    <row r="606" customFormat="false" ht="12.75" hidden="false" customHeight="false" outlineLevel="0" collapsed="false">
      <c r="A606" s="1" t="s">
        <v>181</v>
      </c>
      <c r="B606" s="1" t="s">
        <v>10854</v>
      </c>
      <c r="C606" s="1"/>
      <c r="D606" s="1"/>
      <c r="E606" s="1"/>
      <c r="F606" s="1" t="s">
        <v>10855</v>
      </c>
      <c r="G606" s="1"/>
      <c r="H606" s="1"/>
      <c r="I606" s="1" t="s">
        <v>10856</v>
      </c>
      <c r="J606" s="1" t="s">
        <v>1124</v>
      </c>
      <c r="K606" s="1"/>
      <c r="L606" s="1"/>
      <c r="M606" s="1" t="s">
        <v>78</v>
      </c>
      <c r="N606" s="1" t="s">
        <v>186</v>
      </c>
      <c r="O606" s="1"/>
      <c r="P606" s="1"/>
      <c r="Q606" s="1"/>
      <c r="R606" s="1"/>
      <c r="S606" s="1"/>
      <c r="T606" s="1" t="s">
        <v>10857</v>
      </c>
      <c r="U606" s="1" t="s">
        <v>10858</v>
      </c>
      <c r="V606" s="1" t="s">
        <v>10859</v>
      </c>
      <c r="W606" s="1" t="s">
        <v>10860</v>
      </c>
      <c r="X606" s="1" t="s">
        <v>10861</v>
      </c>
      <c r="Y606" s="1" t="s">
        <v>10862</v>
      </c>
      <c r="Z606" s="1" t="s">
        <v>10863</v>
      </c>
      <c r="AA606" s="1"/>
      <c r="AB606" s="1"/>
      <c r="AC606" s="1" t="s">
        <v>10864</v>
      </c>
      <c r="AD606" s="1" t="s">
        <v>10865</v>
      </c>
      <c r="AE606" s="1" t="s">
        <v>5416</v>
      </c>
      <c r="AF606" s="1"/>
      <c r="AG606" s="1" t="n">
        <v>57</v>
      </c>
      <c r="AH606" s="1" t="n">
        <v>0</v>
      </c>
      <c r="AI606" s="1" t="n">
        <v>0</v>
      </c>
      <c r="AJ606" s="1" t="n">
        <v>3</v>
      </c>
      <c r="AK606" s="1" t="n">
        <v>3</v>
      </c>
      <c r="AL606" s="1" t="s">
        <v>679</v>
      </c>
      <c r="AM606" s="1" t="s">
        <v>680</v>
      </c>
      <c r="AN606" s="1" t="s">
        <v>681</v>
      </c>
      <c r="AO606" s="1" t="s">
        <v>1136</v>
      </c>
      <c r="AP606" s="1" t="s">
        <v>1137</v>
      </c>
      <c r="AQ606" s="1"/>
      <c r="AR606" s="1" t="s">
        <v>1138</v>
      </c>
      <c r="AS606" s="1" t="s">
        <v>1139</v>
      </c>
      <c r="AT606" s="1" t="s">
        <v>277</v>
      </c>
      <c r="AU606" s="1" t="n">
        <v>2025</v>
      </c>
      <c r="AV606" s="1" t="n">
        <v>33</v>
      </c>
      <c r="AW606" s="1" t="n">
        <v>1</v>
      </c>
      <c r="AX606" s="1"/>
      <c r="AY606" s="1"/>
      <c r="AZ606" s="1"/>
      <c r="BA606" s="1"/>
      <c r="BB606" s="1"/>
      <c r="BC606" s="1"/>
      <c r="BD606" s="1" t="n">
        <v>9</v>
      </c>
      <c r="BE606" s="1" t="s">
        <v>10866</v>
      </c>
      <c r="BF606" s="1" t="str">
        <f aca="false">HYPERLINK("http://dx.doi.org/10.1007/s11219-024-09698-w","http://dx.doi.org/10.1007/s11219-024-09698-w")</f>
        <v>http://dx.doi.org/10.1007/s11219-024-09698-w</v>
      </c>
      <c r="BG606" s="1"/>
      <c r="BH606" s="1"/>
      <c r="BI606" s="1" t="n">
        <v>38</v>
      </c>
      <c r="BJ606" s="1" t="s">
        <v>252</v>
      </c>
      <c r="BK606" s="1" t="s">
        <v>204</v>
      </c>
      <c r="BL606" s="1" t="s">
        <v>101</v>
      </c>
      <c r="BM606" s="1" t="s">
        <v>10867</v>
      </c>
      <c r="BN606" s="1"/>
      <c r="BO606" s="1" t="s">
        <v>282</v>
      </c>
      <c r="BP606" s="1"/>
      <c r="BQ606" s="1"/>
      <c r="BR606" s="1" t="s">
        <v>103</v>
      </c>
      <c r="BS606" s="1" t="s">
        <v>10868</v>
      </c>
      <c r="BT606" s="1" t="str">
        <f aca="false">HYPERLINK("https%3A%2F%2Fwww.webofscience.com%2Fwos%2Fwoscc%2Ffull-record%2FWOS:001396622900001","View Full Record in Web of Science")</f>
        <v>View Full Record in Web of Science</v>
      </c>
    </row>
    <row r="607" customFormat="false" ht="12.75" hidden="false" customHeight="false" outlineLevel="0" collapsed="false">
      <c r="A607" s="1" t="s">
        <v>181</v>
      </c>
      <c r="B607" s="1" t="s">
        <v>10869</v>
      </c>
      <c r="C607" s="1"/>
      <c r="D607" s="1"/>
      <c r="E607" s="1"/>
      <c r="F607" s="1" t="s">
        <v>10870</v>
      </c>
      <c r="G607" s="1"/>
      <c r="H607" s="1"/>
      <c r="I607" s="1" t="s">
        <v>10871</v>
      </c>
      <c r="J607" s="1" t="s">
        <v>1378</v>
      </c>
      <c r="K607" s="1"/>
      <c r="L607" s="1"/>
      <c r="M607" s="1" t="s">
        <v>78</v>
      </c>
      <c r="N607" s="1" t="s">
        <v>618</v>
      </c>
      <c r="O607" s="1"/>
      <c r="P607" s="1"/>
      <c r="Q607" s="1"/>
      <c r="R607" s="1"/>
      <c r="S607" s="1"/>
      <c r="T607" s="1" t="s">
        <v>10872</v>
      </c>
      <c r="U607" s="1" t="s">
        <v>10873</v>
      </c>
      <c r="V607" s="1" t="s">
        <v>10874</v>
      </c>
      <c r="W607" s="1" t="s">
        <v>10875</v>
      </c>
      <c r="X607" s="1" t="s">
        <v>10876</v>
      </c>
      <c r="Y607" s="1" t="s">
        <v>10877</v>
      </c>
      <c r="Z607" s="1" t="s">
        <v>10878</v>
      </c>
      <c r="AA607" s="1" t="s">
        <v>10879</v>
      </c>
      <c r="AB607" s="1" t="s">
        <v>1185</v>
      </c>
      <c r="AC607" s="1" t="s">
        <v>10880</v>
      </c>
      <c r="AD607" s="1" t="s">
        <v>2493</v>
      </c>
      <c r="AE607" s="1" t="s">
        <v>10881</v>
      </c>
      <c r="AF607" s="1"/>
      <c r="AG607" s="1" t="n">
        <v>75</v>
      </c>
      <c r="AH607" s="1" t="n">
        <v>0</v>
      </c>
      <c r="AI607" s="1" t="n">
        <v>0</v>
      </c>
      <c r="AJ607" s="1" t="n">
        <v>1</v>
      </c>
      <c r="AK607" s="1" t="n">
        <v>3</v>
      </c>
      <c r="AL607" s="1" t="s">
        <v>893</v>
      </c>
      <c r="AM607" s="1" t="s">
        <v>894</v>
      </c>
      <c r="AN607" s="1" t="s">
        <v>895</v>
      </c>
      <c r="AO607" s="1" t="s">
        <v>1387</v>
      </c>
      <c r="AP607" s="1" t="s">
        <v>1388</v>
      </c>
      <c r="AQ607" s="1"/>
      <c r="AR607" s="1" t="s">
        <v>1389</v>
      </c>
      <c r="AS607" s="1" t="s">
        <v>1390</v>
      </c>
      <c r="AT607" s="1" t="s">
        <v>1391</v>
      </c>
      <c r="AU607" s="1" t="n">
        <v>2023</v>
      </c>
      <c r="AV607" s="1" t="n">
        <v>163</v>
      </c>
      <c r="AW607" s="1"/>
      <c r="AX607" s="1"/>
      <c r="AY607" s="1"/>
      <c r="AZ607" s="1"/>
      <c r="BA607" s="1"/>
      <c r="BB607" s="1"/>
      <c r="BC607" s="1"/>
      <c r="BD607" s="1" t="n">
        <v>107299</v>
      </c>
      <c r="BE607" s="1" t="s">
        <v>10882</v>
      </c>
      <c r="BF607" s="1" t="str">
        <f aca="false">HYPERLINK("http://dx.doi.org/10.1016/j.infsof.2023.107299","http://dx.doi.org/10.1016/j.infsof.2023.107299")</f>
        <v>http://dx.doi.org/10.1016/j.infsof.2023.107299</v>
      </c>
      <c r="BG607" s="1"/>
      <c r="BH607" s="1" t="s">
        <v>2810</v>
      </c>
      <c r="BI607" s="1" t="n">
        <v>23</v>
      </c>
      <c r="BJ607" s="1" t="s">
        <v>1394</v>
      </c>
      <c r="BK607" s="1" t="s">
        <v>204</v>
      </c>
      <c r="BL607" s="1" t="s">
        <v>101</v>
      </c>
      <c r="BM607" s="1" t="s">
        <v>10883</v>
      </c>
      <c r="BN607" s="1"/>
      <c r="BO607" s="1" t="s">
        <v>207</v>
      </c>
      <c r="BP607" s="1"/>
      <c r="BQ607" s="1"/>
      <c r="BR607" s="1" t="s">
        <v>103</v>
      </c>
      <c r="BS607" s="1" t="s">
        <v>10884</v>
      </c>
      <c r="BT607" s="1" t="str">
        <f aca="false">HYPERLINK("https%3A%2F%2Fwww.webofscience.com%2Fwos%2Fwoscc%2Ffull-record%2FWOS:001051358500001","View Full Record in Web of Science")</f>
        <v>View Full Record in Web of Science</v>
      </c>
    </row>
    <row r="608" customFormat="false" ht="12.75" hidden="false" customHeight="false" outlineLevel="0" collapsed="false">
      <c r="A608" s="1" t="s">
        <v>72</v>
      </c>
      <c r="B608" s="1" t="s">
        <v>10885</v>
      </c>
      <c r="C608" s="1"/>
      <c r="D608" s="1"/>
      <c r="E608" s="1" t="s">
        <v>106</v>
      </c>
      <c r="F608" s="1" t="s">
        <v>10886</v>
      </c>
      <c r="G608" s="1"/>
      <c r="H608" s="1"/>
      <c r="I608" s="1" t="s">
        <v>10887</v>
      </c>
      <c r="J608" s="1" t="s">
        <v>10888</v>
      </c>
      <c r="K608" s="1" t="s">
        <v>10889</v>
      </c>
      <c r="L608" s="1"/>
      <c r="M608" s="1" t="s">
        <v>78</v>
      </c>
      <c r="N608" s="1" t="s">
        <v>79</v>
      </c>
      <c r="O608" s="1" t="s">
        <v>10890</v>
      </c>
      <c r="P608" s="1" t="s">
        <v>10891</v>
      </c>
      <c r="Q608" s="1" t="s">
        <v>10892</v>
      </c>
      <c r="R608" s="1" t="s">
        <v>10893</v>
      </c>
      <c r="S608" s="1" t="s">
        <v>10894</v>
      </c>
      <c r="T608" s="1"/>
      <c r="U608" s="1"/>
      <c r="V608" s="1" t="s">
        <v>10895</v>
      </c>
      <c r="W608" s="1" t="s">
        <v>10896</v>
      </c>
      <c r="X608" s="1" t="s">
        <v>10524</v>
      </c>
      <c r="Y608" s="1" t="s">
        <v>10897</v>
      </c>
      <c r="Z608" s="1"/>
      <c r="AA608" s="1"/>
      <c r="AB608" s="1" t="s">
        <v>10898</v>
      </c>
      <c r="AC608" s="1" t="s">
        <v>10899</v>
      </c>
      <c r="AD608" s="1" t="s">
        <v>10530</v>
      </c>
      <c r="AE608" s="1" t="s">
        <v>10900</v>
      </c>
      <c r="AF608" s="1"/>
      <c r="AG608" s="1" t="n">
        <v>6</v>
      </c>
      <c r="AH608" s="1" t="n">
        <v>0</v>
      </c>
      <c r="AI608" s="1" t="n">
        <v>0</v>
      </c>
      <c r="AJ608" s="1" t="n">
        <v>0</v>
      </c>
      <c r="AK608" s="1" t="n">
        <v>2</v>
      </c>
      <c r="AL608" s="1" t="s">
        <v>106</v>
      </c>
      <c r="AM608" s="1" t="s">
        <v>95</v>
      </c>
      <c r="AN608" s="1" t="s">
        <v>122</v>
      </c>
      <c r="AO608" s="1" t="s">
        <v>10901</v>
      </c>
      <c r="AP608" s="1"/>
      <c r="AQ608" s="1" t="s">
        <v>10902</v>
      </c>
      <c r="AR608" s="1" t="s">
        <v>10903</v>
      </c>
      <c r="AS608" s="1"/>
      <c r="AT608" s="1"/>
      <c r="AU608" s="1" t="n">
        <v>2023</v>
      </c>
      <c r="AV608" s="1"/>
      <c r="AW608" s="1"/>
      <c r="AX608" s="1"/>
      <c r="AY608" s="1"/>
      <c r="AZ608" s="1"/>
      <c r="BA608" s="1"/>
      <c r="BB608" s="1"/>
      <c r="BC608" s="1"/>
      <c r="BD608" s="1"/>
      <c r="BE608" s="1" t="s">
        <v>10904</v>
      </c>
      <c r="BF608" s="1" t="str">
        <f aca="false">HYPERLINK("http://dx.doi.org/10.1109/IRMMW-THz57677.2023.10299181","http://dx.doi.org/10.1109/IRMMW-THz57677.2023.10299181")</f>
        <v>http://dx.doi.org/10.1109/IRMMW-THz57677.2023.10299181</v>
      </c>
      <c r="BG608" s="1"/>
      <c r="BH608" s="1"/>
      <c r="BI608" s="1" t="n">
        <v>2</v>
      </c>
      <c r="BJ608" s="1" t="s">
        <v>10905</v>
      </c>
      <c r="BK608" s="1" t="s">
        <v>100</v>
      </c>
      <c r="BL608" s="1" t="s">
        <v>10906</v>
      </c>
      <c r="BM608" s="1" t="s">
        <v>10907</v>
      </c>
      <c r="BN608" s="1"/>
      <c r="BO608" s="1" t="s">
        <v>179</v>
      </c>
      <c r="BP608" s="1"/>
      <c r="BQ608" s="1"/>
      <c r="BR608" s="1" t="s">
        <v>103</v>
      </c>
      <c r="BS608" s="1" t="s">
        <v>10908</v>
      </c>
      <c r="BT608" s="1" t="str">
        <f aca="false">HYPERLINK("https%3A%2F%2Fwww.webofscience.com%2Fwos%2Fwoscc%2Ffull-record%2FWOS:001098999800330","View Full Record in Web of Science")</f>
        <v>View Full Record in Web of Science</v>
      </c>
    </row>
    <row r="609" customFormat="false" ht="12.75" hidden="false" customHeight="false" outlineLevel="0" collapsed="false">
      <c r="A609" s="1" t="s">
        <v>181</v>
      </c>
      <c r="B609" s="1" t="s">
        <v>10909</v>
      </c>
      <c r="C609" s="1"/>
      <c r="D609" s="1"/>
      <c r="E609" s="1"/>
      <c r="F609" s="1" t="s">
        <v>10910</v>
      </c>
      <c r="G609" s="1"/>
      <c r="H609" s="1"/>
      <c r="I609" s="1" t="s">
        <v>10911</v>
      </c>
      <c r="J609" s="1" t="s">
        <v>8624</v>
      </c>
      <c r="K609" s="1"/>
      <c r="L609" s="1"/>
      <c r="M609" s="1" t="s">
        <v>78</v>
      </c>
      <c r="N609" s="1" t="s">
        <v>186</v>
      </c>
      <c r="O609" s="1"/>
      <c r="P609" s="1"/>
      <c r="Q609" s="1"/>
      <c r="R609" s="1"/>
      <c r="S609" s="1"/>
      <c r="T609" s="1" t="s">
        <v>10912</v>
      </c>
      <c r="U609" s="1" t="s">
        <v>10913</v>
      </c>
      <c r="V609" s="1" t="s">
        <v>10914</v>
      </c>
      <c r="W609" s="1" t="s">
        <v>10915</v>
      </c>
      <c r="X609" s="1" t="s">
        <v>10916</v>
      </c>
      <c r="Y609" s="1" t="s">
        <v>10917</v>
      </c>
      <c r="Z609" s="1" t="s">
        <v>10918</v>
      </c>
      <c r="AA609" s="1" t="s">
        <v>10919</v>
      </c>
      <c r="AB609" s="1" t="s">
        <v>10920</v>
      </c>
      <c r="AC609" s="1" t="s">
        <v>6667</v>
      </c>
      <c r="AD609" s="1" t="s">
        <v>6668</v>
      </c>
      <c r="AE609" s="1" t="s">
        <v>10921</v>
      </c>
      <c r="AF609" s="1"/>
      <c r="AG609" s="1" t="n">
        <v>49</v>
      </c>
      <c r="AH609" s="1" t="n">
        <v>1</v>
      </c>
      <c r="AI609" s="1" t="n">
        <v>1</v>
      </c>
      <c r="AJ609" s="1" t="n">
        <v>1</v>
      </c>
      <c r="AK609" s="1" t="n">
        <v>13</v>
      </c>
      <c r="AL609" s="1" t="s">
        <v>893</v>
      </c>
      <c r="AM609" s="1" t="s">
        <v>894</v>
      </c>
      <c r="AN609" s="1" t="s">
        <v>895</v>
      </c>
      <c r="AO609" s="1" t="s">
        <v>8635</v>
      </c>
      <c r="AP609" s="1" t="s">
        <v>8636</v>
      </c>
      <c r="AQ609" s="1"/>
      <c r="AR609" s="1" t="s">
        <v>8637</v>
      </c>
      <c r="AS609" s="1" t="s">
        <v>8638</v>
      </c>
      <c r="AT609" s="1" t="s">
        <v>277</v>
      </c>
      <c r="AU609" s="1" t="n">
        <v>2023</v>
      </c>
      <c r="AV609" s="1" t="n">
        <v>84</v>
      </c>
      <c r="AW609" s="1"/>
      <c r="AX609" s="1"/>
      <c r="AY609" s="1"/>
      <c r="AZ609" s="1"/>
      <c r="BA609" s="1"/>
      <c r="BB609" s="1"/>
      <c r="BC609" s="1"/>
      <c r="BD609" s="1" t="n">
        <v>103688</v>
      </c>
      <c r="BE609" s="1" t="s">
        <v>10922</v>
      </c>
      <c r="BF609" s="1" t="str">
        <f aca="false">HYPERLINK("http://dx.doi.org/10.1016/j.csi.2022.103688","http://dx.doi.org/10.1016/j.csi.2022.103688")</f>
        <v>http://dx.doi.org/10.1016/j.csi.2022.103688</v>
      </c>
      <c r="BG609" s="1"/>
      <c r="BH609" s="1" t="s">
        <v>3679</v>
      </c>
      <c r="BI609" s="1" t="n">
        <v>19</v>
      </c>
      <c r="BJ609" s="1" t="s">
        <v>1098</v>
      </c>
      <c r="BK609" s="1" t="s">
        <v>204</v>
      </c>
      <c r="BL609" s="1" t="s">
        <v>101</v>
      </c>
      <c r="BM609" s="1" t="s">
        <v>10923</v>
      </c>
      <c r="BN609" s="1"/>
      <c r="BO609" s="1"/>
      <c r="BP609" s="1"/>
      <c r="BQ609" s="1"/>
      <c r="BR609" s="1" t="s">
        <v>103</v>
      </c>
      <c r="BS609" s="1" t="s">
        <v>10924</v>
      </c>
      <c r="BT609" s="1" t="str">
        <f aca="false">HYPERLINK("https%3A%2F%2Fwww.webofscience.com%2Fwos%2Fwoscc%2Ffull-record%2FWOS:000870181900002","View Full Record in Web of Science")</f>
        <v>View Full Record in Web of Science</v>
      </c>
    </row>
    <row r="610" customFormat="false" ht="12.75" hidden="false" customHeight="false" outlineLevel="0" collapsed="false">
      <c r="A610" s="1" t="s">
        <v>181</v>
      </c>
      <c r="B610" s="1" t="s">
        <v>10925</v>
      </c>
      <c r="C610" s="1"/>
      <c r="D610" s="1"/>
      <c r="E610" s="1"/>
      <c r="F610" s="1" t="s">
        <v>10926</v>
      </c>
      <c r="G610" s="1"/>
      <c r="H610" s="1"/>
      <c r="I610" s="1" t="s">
        <v>10927</v>
      </c>
      <c r="J610" s="1" t="s">
        <v>10928</v>
      </c>
      <c r="K610" s="1"/>
      <c r="L610" s="1"/>
      <c r="M610" s="1" t="s">
        <v>78</v>
      </c>
      <c r="N610" s="1" t="s">
        <v>186</v>
      </c>
      <c r="O610" s="1"/>
      <c r="P610" s="1"/>
      <c r="Q610" s="1"/>
      <c r="R610" s="1"/>
      <c r="S610" s="1"/>
      <c r="T610" s="1" t="s">
        <v>10929</v>
      </c>
      <c r="U610" s="1" t="s">
        <v>10930</v>
      </c>
      <c r="V610" s="1" t="s">
        <v>10931</v>
      </c>
      <c r="W610" s="1" t="s">
        <v>10932</v>
      </c>
      <c r="X610" s="1" t="s">
        <v>10933</v>
      </c>
      <c r="Y610" s="1" t="s">
        <v>10934</v>
      </c>
      <c r="Z610" s="1" t="s">
        <v>10935</v>
      </c>
      <c r="AA610" s="1" t="s">
        <v>10245</v>
      </c>
      <c r="AB610" s="1" t="s">
        <v>10936</v>
      </c>
      <c r="AC610" s="1" t="s">
        <v>10937</v>
      </c>
      <c r="AD610" s="1" t="s">
        <v>10937</v>
      </c>
      <c r="AE610" s="1" t="s">
        <v>10938</v>
      </c>
      <c r="AF610" s="1"/>
      <c r="AG610" s="1" t="n">
        <v>0</v>
      </c>
      <c r="AH610" s="1" t="n">
        <v>7</v>
      </c>
      <c r="AI610" s="1" t="n">
        <v>7</v>
      </c>
      <c r="AJ610" s="1" t="n">
        <v>0</v>
      </c>
      <c r="AK610" s="1" t="n">
        <v>3</v>
      </c>
      <c r="AL610" s="1" t="s">
        <v>270</v>
      </c>
      <c r="AM610" s="1" t="s">
        <v>271</v>
      </c>
      <c r="AN610" s="1" t="s">
        <v>272</v>
      </c>
      <c r="AO610" s="1" t="s">
        <v>10939</v>
      </c>
      <c r="AP610" s="1" t="s">
        <v>10940</v>
      </c>
      <c r="AQ610" s="1"/>
      <c r="AR610" s="1" t="s">
        <v>10941</v>
      </c>
      <c r="AS610" s="1" t="s">
        <v>10942</v>
      </c>
      <c r="AT610" s="1" t="s">
        <v>1391</v>
      </c>
      <c r="AU610" s="1" t="n">
        <v>2022</v>
      </c>
      <c r="AV610" s="1" t="n">
        <v>26</v>
      </c>
      <c r="AW610" s="1" t="n">
        <v>11</v>
      </c>
      <c r="AX610" s="1"/>
      <c r="AY610" s="1"/>
      <c r="AZ610" s="1"/>
      <c r="BA610" s="1"/>
      <c r="BB610" s="1" t="n">
        <v>6733</v>
      </c>
      <c r="BC610" s="1" t="n">
        <v>6742</v>
      </c>
      <c r="BD610" s="1" t="s">
        <v>10943</v>
      </c>
      <c r="BE610" s="1" t="s">
        <v>10944</v>
      </c>
      <c r="BF610" s="1" t="str">
        <f aca="false">HYPERLINK("http://dx.doi.org/10.1007/s00784-022-04632-5","http://dx.doi.org/10.1007/s00784-022-04632-5")</f>
        <v>http://dx.doi.org/10.1007/s00784-022-04632-5</v>
      </c>
      <c r="BG610" s="1"/>
      <c r="BH610" s="1" t="s">
        <v>1701</v>
      </c>
      <c r="BI610" s="1" t="n">
        <v>10</v>
      </c>
      <c r="BJ610" s="1" t="s">
        <v>4910</v>
      </c>
      <c r="BK610" s="1" t="s">
        <v>204</v>
      </c>
      <c r="BL610" s="1" t="s">
        <v>4910</v>
      </c>
      <c r="BM610" s="1" t="s">
        <v>10945</v>
      </c>
      <c r="BN610" s="1" t="n">
        <v>35906339</v>
      </c>
      <c r="BO610" s="1" t="s">
        <v>612</v>
      </c>
      <c r="BP610" s="1"/>
      <c r="BQ610" s="1"/>
      <c r="BR610" s="1" t="s">
        <v>103</v>
      </c>
      <c r="BS610" s="1" t="s">
        <v>10946</v>
      </c>
      <c r="BT610" s="1" t="str">
        <f aca="false">HYPERLINK("https%3A%2F%2Fwww.webofscience.com%2Fwos%2Fwoscc%2Ffull-record%2FWOS:000832824500001","View Full Record in Web of Science")</f>
        <v>View Full Record in Web of Science</v>
      </c>
    </row>
    <row r="611" customFormat="false" ht="12.75" hidden="false" customHeight="false" outlineLevel="0" collapsed="false">
      <c r="A611" s="1" t="s">
        <v>181</v>
      </c>
      <c r="B611" s="1" t="s">
        <v>10947</v>
      </c>
      <c r="C611" s="1"/>
      <c r="D611" s="1"/>
      <c r="E611" s="1"/>
      <c r="F611" s="1" t="s">
        <v>10948</v>
      </c>
      <c r="G611" s="1"/>
      <c r="H611" s="1"/>
      <c r="I611" s="1" t="s">
        <v>10949</v>
      </c>
      <c r="J611" s="1" t="s">
        <v>10950</v>
      </c>
      <c r="K611" s="1"/>
      <c r="L611" s="1"/>
      <c r="M611" s="1" t="s">
        <v>78</v>
      </c>
      <c r="N611" s="1" t="s">
        <v>186</v>
      </c>
      <c r="O611" s="1"/>
      <c r="P611" s="1"/>
      <c r="Q611" s="1"/>
      <c r="R611" s="1"/>
      <c r="S611" s="1"/>
      <c r="T611" s="1" t="s">
        <v>10951</v>
      </c>
      <c r="U611" s="1" t="s">
        <v>10952</v>
      </c>
      <c r="V611" s="1" t="s">
        <v>10953</v>
      </c>
      <c r="W611" s="1" t="s">
        <v>10954</v>
      </c>
      <c r="X611" s="1" t="s">
        <v>10955</v>
      </c>
      <c r="Y611" s="1" t="s">
        <v>10956</v>
      </c>
      <c r="Z611" s="1" t="s">
        <v>10957</v>
      </c>
      <c r="AA611" s="1"/>
      <c r="AB611" s="1" t="s">
        <v>10958</v>
      </c>
      <c r="AC611" s="1"/>
      <c r="AD611" s="1"/>
      <c r="AE611" s="1"/>
      <c r="AF611" s="1"/>
      <c r="AG611" s="1" t="n">
        <v>119</v>
      </c>
      <c r="AH611" s="1" t="n">
        <v>4</v>
      </c>
      <c r="AI611" s="1" t="n">
        <v>5</v>
      </c>
      <c r="AJ611" s="1" t="n">
        <v>3</v>
      </c>
      <c r="AK611" s="1" t="n">
        <v>3</v>
      </c>
      <c r="AL611" s="1" t="s">
        <v>938</v>
      </c>
      <c r="AM611" s="1" t="s">
        <v>939</v>
      </c>
      <c r="AN611" s="1" t="s">
        <v>940</v>
      </c>
      <c r="AO611" s="1"/>
      <c r="AP611" s="1" t="s">
        <v>10959</v>
      </c>
      <c r="AQ611" s="1"/>
      <c r="AR611" s="1" t="s">
        <v>10960</v>
      </c>
      <c r="AS611" s="1" t="s">
        <v>10961</v>
      </c>
      <c r="AT611" s="1" t="s">
        <v>10962</v>
      </c>
      <c r="AU611" s="1" t="n">
        <v>2021</v>
      </c>
      <c r="AV611" s="1" t="n">
        <v>2</v>
      </c>
      <c r="AW611" s="1"/>
      <c r="AX611" s="1"/>
      <c r="AY611" s="1"/>
      <c r="AZ611" s="1"/>
      <c r="BA611" s="1"/>
      <c r="BB611" s="1"/>
      <c r="BC611" s="1"/>
      <c r="BD611" s="1" t="n">
        <v>674210</v>
      </c>
      <c r="BE611" s="1" t="s">
        <v>10963</v>
      </c>
      <c r="BF611" s="1" t="str">
        <f aca="false">HYPERLINK("http://dx.doi.org/10.3389/frsus.2021.674210","http://dx.doi.org/10.3389/frsus.2021.674210")</f>
        <v>http://dx.doi.org/10.3389/frsus.2021.674210</v>
      </c>
      <c r="BG611" s="1"/>
      <c r="BH611" s="1"/>
      <c r="BI611" s="1" t="n">
        <v>20</v>
      </c>
      <c r="BJ611" s="1" t="s">
        <v>397</v>
      </c>
      <c r="BK611" s="1" t="s">
        <v>253</v>
      </c>
      <c r="BL611" s="1" t="s">
        <v>399</v>
      </c>
      <c r="BM611" s="1" t="s">
        <v>10964</v>
      </c>
      <c r="BN611" s="1"/>
      <c r="BO611" s="1" t="s">
        <v>401</v>
      </c>
      <c r="BP611" s="1"/>
      <c r="BQ611" s="1"/>
      <c r="BR611" s="1" t="s">
        <v>103</v>
      </c>
      <c r="BS611" s="1" t="s">
        <v>10965</v>
      </c>
      <c r="BT611" s="1" t="str">
        <f aca="false">HYPERLINK("https%3A%2F%2Fwww.webofscience.com%2Fwos%2Fwoscc%2Ffull-record%2FWOS:001269544900001","View Full Record in Web of Science")</f>
        <v>View Full Record in Web of Science</v>
      </c>
    </row>
    <row r="612" customFormat="false" ht="12.75" hidden="false" customHeight="false" outlineLevel="0" collapsed="false">
      <c r="A612" s="1" t="s">
        <v>181</v>
      </c>
      <c r="B612" s="1" t="s">
        <v>10966</v>
      </c>
      <c r="C612" s="1"/>
      <c r="D612" s="1"/>
      <c r="E612" s="1"/>
      <c r="F612" s="1" t="s">
        <v>10967</v>
      </c>
      <c r="G612" s="1"/>
      <c r="H612" s="1"/>
      <c r="I612" s="1" t="s">
        <v>10968</v>
      </c>
      <c r="J612" s="1" t="s">
        <v>10969</v>
      </c>
      <c r="K612" s="1"/>
      <c r="L612" s="1"/>
      <c r="M612" s="1" t="s">
        <v>78</v>
      </c>
      <c r="N612" s="1" t="s">
        <v>186</v>
      </c>
      <c r="O612" s="1"/>
      <c r="P612" s="1"/>
      <c r="Q612" s="1"/>
      <c r="R612" s="1"/>
      <c r="S612" s="1"/>
      <c r="T612" s="1"/>
      <c r="U612" s="1" t="s">
        <v>10970</v>
      </c>
      <c r="V612" s="1" t="s">
        <v>10971</v>
      </c>
      <c r="W612" s="1" t="s">
        <v>10972</v>
      </c>
      <c r="X612" s="1" t="s">
        <v>10973</v>
      </c>
      <c r="Y612" s="1" t="s">
        <v>9118</v>
      </c>
      <c r="Z612" s="1" t="s">
        <v>10974</v>
      </c>
      <c r="AA612" s="1"/>
      <c r="AB612" s="1"/>
      <c r="AC612" s="1"/>
      <c r="AD612" s="1"/>
      <c r="AE612" s="1"/>
      <c r="AF612" s="1"/>
      <c r="AG612" s="1" t="n">
        <v>42</v>
      </c>
      <c r="AH612" s="1" t="n">
        <v>3</v>
      </c>
      <c r="AI612" s="1" t="n">
        <v>3</v>
      </c>
      <c r="AJ612" s="1" t="n">
        <v>0</v>
      </c>
      <c r="AK612" s="1" t="n">
        <v>5</v>
      </c>
      <c r="AL612" s="1" t="s">
        <v>2381</v>
      </c>
      <c r="AM612" s="1" t="s">
        <v>2382</v>
      </c>
      <c r="AN612" s="1" t="s">
        <v>2383</v>
      </c>
      <c r="AO612" s="1" t="s">
        <v>10975</v>
      </c>
      <c r="AP612" s="1" t="s">
        <v>10976</v>
      </c>
      <c r="AQ612" s="1"/>
      <c r="AR612" s="1" t="s">
        <v>10977</v>
      </c>
      <c r="AS612" s="1" t="s">
        <v>10978</v>
      </c>
      <c r="AT612" s="1" t="s">
        <v>10979</v>
      </c>
      <c r="AU612" s="1" t="n">
        <v>2020</v>
      </c>
      <c r="AV612" s="1" t="n">
        <v>41</v>
      </c>
      <c r="AW612" s="1" t="n">
        <v>8</v>
      </c>
      <c r="AX612" s="1"/>
      <c r="AY612" s="1"/>
      <c r="AZ612" s="1"/>
      <c r="BA612" s="1"/>
      <c r="BB612" s="1" t="n">
        <v>869</v>
      </c>
      <c r="BC612" s="1" t="n">
        <v>882</v>
      </c>
      <c r="BD612" s="1"/>
      <c r="BE612" s="1" t="s">
        <v>10980</v>
      </c>
      <c r="BF612" s="1" t="str">
        <f aca="false">HYPERLINK("http://dx.doi.org/10.1080/07399332.2020.1716234","http://dx.doi.org/10.1080/07399332.2020.1716234")</f>
        <v>http://dx.doi.org/10.1080/07399332.2020.1716234</v>
      </c>
      <c r="BG612" s="1"/>
      <c r="BH612" s="1" t="s">
        <v>10981</v>
      </c>
      <c r="BI612" s="1" t="n">
        <v>14</v>
      </c>
      <c r="BJ612" s="1" t="s">
        <v>10982</v>
      </c>
      <c r="BK612" s="1" t="s">
        <v>610</v>
      </c>
      <c r="BL612" s="1" t="s">
        <v>10982</v>
      </c>
      <c r="BM612" s="1" t="s">
        <v>10983</v>
      </c>
      <c r="BN612" s="1" t="n">
        <v>31951786</v>
      </c>
      <c r="BO612" s="1" t="s">
        <v>612</v>
      </c>
      <c r="BP612" s="1"/>
      <c r="BQ612" s="1"/>
      <c r="BR612" s="1" t="s">
        <v>103</v>
      </c>
      <c r="BS612" s="1" t="s">
        <v>10984</v>
      </c>
      <c r="BT612" s="1" t="str">
        <f aca="false">HYPERLINK("https%3A%2F%2Fwww.webofscience.com%2Fwos%2Fwoscc%2Ffull-record%2FWOS:000507818800001","View Full Record in Web of Science")</f>
        <v>View Full Record in Web of Science</v>
      </c>
    </row>
    <row r="613" customFormat="false" ht="12.75" hidden="false" customHeight="false" outlineLevel="0" collapsed="false">
      <c r="A613" s="1" t="s">
        <v>181</v>
      </c>
      <c r="B613" s="1" t="s">
        <v>10343</v>
      </c>
      <c r="C613" s="1"/>
      <c r="D613" s="1"/>
      <c r="E613" s="1"/>
      <c r="F613" s="1" t="s">
        <v>10344</v>
      </c>
      <c r="G613" s="1"/>
      <c r="H613" s="1"/>
      <c r="I613" s="1" t="s">
        <v>10985</v>
      </c>
      <c r="J613" s="1" t="s">
        <v>4201</v>
      </c>
      <c r="K613" s="1"/>
      <c r="L613" s="1"/>
      <c r="M613" s="1" t="s">
        <v>78</v>
      </c>
      <c r="N613" s="1" t="s">
        <v>186</v>
      </c>
      <c r="O613" s="1"/>
      <c r="P613" s="1"/>
      <c r="Q613" s="1"/>
      <c r="R613" s="1"/>
      <c r="S613" s="1"/>
      <c r="T613" s="1" t="s">
        <v>10986</v>
      </c>
      <c r="U613" s="1"/>
      <c r="V613" s="1" t="s">
        <v>10987</v>
      </c>
      <c r="W613" s="1" t="s">
        <v>10728</v>
      </c>
      <c r="X613" s="1" t="s">
        <v>6305</v>
      </c>
      <c r="Y613" s="1" t="s">
        <v>10988</v>
      </c>
      <c r="Z613" s="1" t="s">
        <v>10989</v>
      </c>
      <c r="AA613" s="1" t="s">
        <v>10990</v>
      </c>
      <c r="AB613" s="1" t="s">
        <v>10358</v>
      </c>
      <c r="AC613" s="1"/>
      <c r="AD613" s="1"/>
      <c r="AE613" s="1"/>
      <c r="AF613" s="1"/>
      <c r="AG613" s="1" t="n">
        <v>48</v>
      </c>
      <c r="AH613" s="1" t="n">
        <v>7</v>
      </c>
      <c r="AI613" s="1" t="n">
        <v>7</v>
      </c>
      <c r="AJ613" s="1" t="n">
        <v>1</v>
      </c>
      <c r="AK613" s="1" t="n">
        <v>15</v>
      </c>
      <c r="AL613" s="1" t="s">
        <v>367</v>
      </c>
      <c r="AM613" s="1" t="s">
        <v>368</v>
      </c>
      <c r="AN613" s="1" t="s">
        <v>369</v>
      </c>
      <c r="AO613" s="1" t="s">
        <v>4209</v>
      </c>
      <c r="AP613" s="1"/>
      <c r="AQ613" s="1"/>
      <c r="AR613" s="1" t="s">
        <v>4201</v>
      </c>
      <c r="AS613" s="1" t="s">
        <v>4210</v>
      </c>
      <c r="AT613" s="1" t="s">
        <v>372</v>
      </c>
      <c r="AU613" s="1" t="n">
        <v>2022</v>
      </c>
      <c r="AV613" s="1" t="n">
        <v>14</v>
      </c>
      <c r="AW613" s="1" t="n">
        <v>12</v>
      </c>
      <c r="AX613" s="1"/>
      <c r="AY613" s="1"/>
      <c r="AZ613" s="1"/>
      <c r="BA613" s="1"/>
      <c r="BB613" s="1"/>
      <c r="BC613" s="1"/>
      <c r="BD613" s="1" t="n">
        <v>377</v>
      </c>
      <c r="BE613" s="1" t="s">
        <v>10991</v>
      </c>
      <c r="BF613" s="1" t="str">
        <f aca="false">HYPERLINK("http://dx.doi.org/10.3390/fi14120377","http://dx.doi.org/10.3390/fi14120377")</f>
        <v>http://dx.doi.org/10.3390/fi14120377</v>
      </c>
      <c r="BG613" s="1"/>
      <c r="BH613" s="1"/>
      <c r="BI613" s="1" t="n">
        <v>27</v>
      </c>
      <c r="BJ613" s="1" t="s">
        <v>4212</v>
      </c>
      <c r="BK613" s="1" t="s">
        <v>253</v>
      </c>
      <c r="BL613" s="1" t="s">
        <v>101</v>
      </c>
      <c r="BM613" s="1" t="s">
        <v>10992</v>
      </c>
      <c r="BN613" s="1"/>
      <c r="BO613" s="1" t="s">
        <v>542</v>
      </c>
      <c r="BP613" s="1"/>
      <c r="BQ613" s="1"/>
      <c r="BR613" s="1" t="s">
        <v>103</v>
      </c>
      <c r="BS613" s="1" t="s">
        <v>10993</v>
      </c>
      <c r="BT613" s="1" t="str">
        <f aca="false">HYPERLINK("https%3A%2F%2Fwww.webofscience.com%2Fwos%2Fwoscc%2Ffull-record%2FWOS:000901037100001","View Full Record in Web of Science")</f>
        <v>View Full Record in Web of Science</v>
      </c>
    </row>
    <row r="614" customFormat="false" ht="12.75" hidden="false" customHeight="false" outlineLevel="0" collapsed="false">
      <c r="A614" s="1" t="s">
        <v>72</v>
      </c>
      <c r="B614" s="1" t="s">
        <v>10994</v>
      </c>
      <c r="C614" s="1"/>
      <c r="D614" s="1" t="s">
        <v>5262</v>
      </c>
      <c r="E614" s="1"/>
      <c r="F614" s="1" t="s">
        <v>10995</v>
      </c>
      <c r="G614" s="1"/>
      <c r="H614" s="1"/>
      <c r="I614" s="1" t="s">
        <v>10996</v>
      </c>
      <c r="J614" s="1" t="s">
        <v>5265</v>
      </c>
      <c r="K614" s="1" t="s">
        <v>5266</v>
      </c>
      <c r="L614" s="1"/>
      <c r="M614" s="1" t="s">
        <v>78</v>
      </c>
      <c r="N614" s="1" t="s">
        <v>79</v>
      </c>
      <c r="O614" s="1" t="s">
        <v>5267</v>
      </c>
      <c r="P614" s="1" t="s">
        <v>5268</v>
      </c>
      <c r="Q614" s="1" t="s">
        <v>5269</v>
      </c>
      <c r="R614" s="1" t="s">
        <v>5270</v>
      </c>
      <c r="S614" s="1"/>
      <c r="T614" s="1" t="s">
        <v>10997</v>
      </c>
      <c r="U614" s="1" t="s">
        <v>10998</v>
      </c>
      <c r="V614" s="1" t="s">
        <v>10999</v>
      </c>
      <c r="W614" s="1" t="s">
        <v>11000</v>
      </c>
      <c r="X614" s="1" t="s">
        <v>11001</v>
      </c>
      <c r="Y614" s="1" t="s">
        <v>11002</v>
      </c>
      <c r="Z614" s="1" t="s">
        <v>11003</v>
      </c>
      <c r="AA614" s="1"/>
      <c r="AB614" s="1" t="s">
        <v>11004</v>
      </c>
      <c r="AC614" s="1" t="s">
        <v>11005</v>
      </c>
      <c r="AD614" s="1" t="s">
        <v>11006</v>
      </c>
      <c r="AE614" s="1" t="s">
        <v>11007</v>
      </c>
      <c r="AF614" s="1"/>
      <c r="AG614" s="1" t="n">
        <v>26</v>
      </c>
      <c r="AH614" s="1" t="n">
        <v>4</v>
      </c>
      <c r="AI614" s="1" t="n">
        <v>5</v>
      </c>
      <c r="AJ614" s="1" t="n">
        <v>0</v>
      </c>
      <c r="AK614" s="1" t="n">
        <v>1</v>
      </c>
      <c r="AL614" s="1" t="s">
        <v>94</v>
      </c>
      <c r="AM614" s="1" t="s">
        <v>95</v>
      </c>
      <c r="AN614" s="1" t="s">
        <v>96</v>
      </c>
      <c r="AO614" s="1" t="s">
        <v>5282</v>
      </c>
      <c r="AP614" s="1"/>
      <c r="AQ614" s="1" t="s">
        <v>5283</v>
      </c>
      <c r="AR614" s="1" t="s">
        <v>5284</v>
      </c>
      <c r="AS614" s="1"/>
      <c r="AT614" s="1"/>
      <c r="AU614" s="1" t="n">
        <v>2022</v>
      </c>
      <c r="AV614" s="1"/>
      <c r="AW614" s="1"/>
      <c r="AX614" s="1"/>
      <c r="AY614" s="1"/>
      <c r="AZ614" s="1"/>
      <c r="BA614" s="1"/>
      <c r="BB614" s="1" t="n">
        <v>261</v>
      </c>
      <c r="BC614" s="1" t="n">
        <v>271</v>
      </c>
      <c r="BD614" s="1"/>
      <c r="BE614" s="1" t="s">
        <v>11008</v>
      </c>
      <c r="BF614" s="1" t="str">
        <f aca="false">HYPERLINK("http://dx.doi.org/10.1145/3544902.3546234","http://dx.doi.org/10.1145/3544902.3546234")</f>
        <v>http://dx.doi.org/10.1145/3544902.3546234</v>
      </c>
      <c r="BG614" s="1"/>
      <c r="BH614" s="1"/>
      <c r="BI614" s="1" t="n">
        <v>11</v>
      </c>
      <c r="BJ614" s="1" t="s">
        <v>994</v>
      </c>
      <c r="BK614" s="1" t="s">
        <v>100</v>
      </c>
      <c r="BL614" s="1" t="s">
        <v>101</v>
      </c>
      <c r="BM614" s="1" t="s">
        <v>5286</v>
      </c>
      <c r="BN614" s="1"/>
      <c r="BO614" s="1" t="s">
        <v>227</v>
      </c>
      <c r="BP614" s="1"/>
      <c r="BQ614" s="1"/>
      <c r="BR614" s="1" t="s">
        <v>103</v>
      </c>
      <c r="BS614" s="1" t="s">
        <v>11009</v>
      </c>
      <c r="BT614" s="1" t="str">
        <f aca="false">HYPERLINK("https%3A%2F%2Fwww.webofscience.com%2Fwos%2Fwoscc%2Ffull-record%2FWOS:001139214400024","View Full Record in Web of Science")</f>
        <v>View Full Record in Web of Science</v>
      </c>
    </row>
    <row r="615" customFormat="false" ht="12.75" hidden="false" customHeight="false" outlineLevel="0" collapsed="false">
      <c r="A615" s="1" t="s">
        <v>181</v>
      </c>
      <c r="B615" s="1" t="s">
        <v>11010</v>
      </c>
      <c r="C615" s="1"/>
      <c r="D615" s="1"/>
      <c r="E615" s="1"/>
      <c r="F615" s="1" t="s">
        <v>11011</v>
      </c>
      <c r="G615" s="1"/>
      <c r="H615" s="1"/>
      <c r="I615" s="1" t="s">
        <v>11012</v>
      </c>
      <c r="J615" s="1" t="s">
        <v>11013</v>
      </c>
      <c r="K615" s="1"/>
      <c r="L615" s="1"/>
      <c r="M615" s="1" t="s">
        <v>78</v>
      </c>
      <c r="N615" s="1" t="s">
        <v>186</v>
      </c>
      <c r="O615" s="1"/>
      <c r="P615" s="1"/>
      <c r="Q615" s="1"/>
      <c r="R615" s="1"/>
      <c r="S615" s="1"/>
      <c r="T615" s="1" t="s">
        <v>11014</v>
      </c>
      <c r="U615" s="1" t="s">
        <v>11015</v>
      </c>
      <c r="V615" s="1" t="s">
        <v>11016</v>
      </c>
      <c r="W615" s="1" t="s">
        <v>11017</v>
      </c>
      <c r="X615" s="1" t="s">
        <v>11018</v>
      </c>
      <c r="Y615" s="1" t="s">
        <v>11019</v>
      </c>
      <c r="Z615" s="1" t="s">
        <v>11020</v>
      </c>
      <c r="AA615" s="1" t="s">
        <v>11021</v>
      </c>
      <c r="AB615" s="1" t="s">
        <v>11022</v>
      </c>
      <c r="AC615" s="1"/>
      <c r="AD615" s="1"/>
      <c r="AE615" s="1"/>
      <c r="AF615" s="1"/>
      <c r="AG615" s="1" t="n">
        <v>44</v>
      </c>
      <c r="AH615" s="1" t="n">
        <v>32</v>
      </c>
      <c r="AI615" s="1" t="n">
        <v>38</v>
      </c>
      <c r="AJ615" s="1" t="n">
        <v>4</v>
      </c>
      <c r="AK615" s="1" t="n">
        <v>33</v>
      </c>
      <c r="AL615" s="1" t="s">
        <v>679</v>
      </c>
      <c r="AM615" s="1" t="s">
        <v>680</v>
      </c>
      <c r="AN615" s="1" t="s">
        <v>681</v>
      </c>
      <c r="AO615" s="1" t="s">
        <v>11023</v>
      </c>
      <c r="AP615" s="1" t="s">
        <v>11024</v>
      </c>
      <c r="AQ615" s="1"/>
      <c r="AR615" s="1" t="s">
        <v>11025</v>
      </c>
      <c r="AS615" s="1" t="s">
        <v>11026</v>
      </c>
      <c r="AT615" s="1" t="s">
        <v>537</v>
      </c>
      <c r="AU615" s="1" t="n">
        <v>2020</v>
      </c>
      <c r="AV615" s="1" t="n">
        <v>79</v>
      </c>
      <c r="AW615" s="1" t="s">
        <v>11027</v>
      </c>
      <c r="AX615" s="1"/>
      <c r="AY615" s="1"/>
      <c r="AZ615" s="1"/>
      <c r="BA615" s="1"/>
      <c r="BB615" s="1" t="n">
        <v>3145</v>
      </c>
      <c r="BC615" s="1" t="n">
        <v>3159</v>
      </c>
      <c r="BD615" s="1"/>
      <c r="BE615" s="1" t="s">
        <v>11028</v>
      </c>
      <c r="BF615" s="1" t="str">
        <f aca="false">HYPERLINK("http://dx.doi.org/10.1007/s11042-018-6518-z","http://dx.doi.org/10.1007/s11042-018-6518-z")</f>
        <v>http://dx.doi.org/10.1007/s11042-018-6518-z</v>
      </c>
      <c r="BG615" s="1"/>
      <c r="BH615" s="1"/>
      <c r="BI615" s="1" t="n">
        <v>15</v>
      </c>
      <c r="BJ615" s="1" t="s">
        <v>11029</v>
      </c>
      <c r="BK615" s="1" t="s">
        <v>398</v>
      </c>
      <c r="BL615" s="1" t="s">
        <v>1255</v>
      </c>
      <c r="BM615" s="1" t="s">
        <v>11030</v>
      </c>
      <c r="BN615" s="1"/>
      <c r="BO615" s="1" t="s">
        <v>282</v>
      </c>
      <c r="BP615" s="1"/>
      <c r="BQ615" s="1"/>
      <c r="BR615" s="1" t="s">
        <v>103</v>
      </c>
      <c r="BS615" s="1" t="s">
        <v>11031</v>
      </c>
      <c r="BT615" s="1" t="str">
        <f aca="false">HYPERLINK("https%3A%2F%2Fwww.webofscience.com%2Fwos%2Fwoscc%2Ffull-record%2FWOS:000519410700006","View Full Record in Web of Science")</f>
        <v>View Full Record in Web of Science</v>
      </c>
    </row>
    <row r="616" customFormat="false" ht="12.75" hidden="false" customHeight="false" outlineLevel="0" collapsed="false">
      <c r="A616" s="1" t="s">
        <v>181</v>
      </c>
      <c r="B616" s="1" t="s">
        <v>11032</v>
      </c>
      <c r="C616" s="1"/>
      <c r="D616" s="1"/>
      <c r="E616" s="1"/>
      <c r="F616" s="1" t="s">
        <v>11033</v>
      </c>
      <c r="G616" s="1"/>
      <c r="H616" s="1"/>
      <c r="I616" s="1" t="s">
        <v>11034</v>
      </c>
      <c r="J616" s="1" t="s">
        <v>11035</v>
      </c>
      <c r="K616" s="1"/>
      <c r="L616" s="1"/>
      <c r="M616" s="1" t="s">
        <v>78</v>
      </c>
      <c r="N616" s="1" t="s">
        <v>11036</v>
      </c>
      <c r="O616" s="1"/>
      <c r="P616" s="1"/>
      <c r="Q616" s="1"/>
      <c r="R616" s="1"/>
      <c r="S616" s="1"/>
      <c r="T616" s="1"/>
      <c r="U616" s="1" t="s">
        <v>11037</v>
      </c>
      <c r="V616" s="1" t="s">
        <v>11038</v>
      </c>
      <c r="W616" s="1" t="s">
        <v>11039</v>
      </c>
      <c r="X616" s="1" t="s">
        <v>11040</v>
      </c>
      <c r="Y616" s="1" t="s">
        <v>11041</v>
      </c>
      <c r="Z616" s="1" t="s">
        <v>11042</v>
      </c>
      <c r="AA616" s="1" t="s">
        <v>11043</v>
      </c>
      <c r="AB616" s="1" t="s">
        <v>11044</v>
      </c>
      <c r="AC616" s="1" t="s">
        <v>11045</v>
      </c>
      <c r="AD616" s="1" t="s">
        <v>11046</v>
      </c>
      <c r="AE616" s="1" t="s">
        <v>11047</v>
      </c>
      <c r="AF616" s="1"/>
      <c r="AG616" s="1" t="n">
        <v>25</v>
      </c>
      <c r="AH616" s="1" t="n">
        <v>1</v>
      </c>
      <c r="AI616" s="1" t="n">
        <v>1</v>
      </c>
      <c r="AJ616" s="1" t="n">
        <v>0</v>
      </c>
      <c r="AK616" s="1" t="n">
        <v>8</v>
      </c>
      <c r="AL616" s="1" t="s">
        <v>7054</v>
      </c>
      <c r="AM616" s="1" t="s">
        <v>3317</v>
      </c>
      <c r="AN616" s="1" t="s">
        <v>7055</v>
      </c>
      <c r="AO616" s="1"/>
      <c r="AP616" s="1" t="s">
        <v>11048</v>
      </c>
      <c r="AQ616" s="1"/>
      <c r="AR616" s="1" t="s">
        <v>11049</v>
      </c>
      <c r="AS616" s="1" t="s">
        <v>11050</v>
      </c>
      <c r="AT616" s="1" t="s">
        <v>6314</v>
      </c>
      <c r="AU616" s="1" t="n">
        <v>2022</v>
      </c>
      <c r="AV616" s="1" t="n">
        <v>9</v>
      </c>
      <c r="AW616" s="1" t="n">
        <v>1</v>
      </c>
      <c r="AX616" s="1"/>
      <c r="AY616" s="1"/>
      <c r="AZ616" s="1"/>
      <c r="BA616" s="1"/>
      <c r="BB616" s="1"/>
      <c r="BC616" s="1"/>
      <c r="BD616" s="1" t="n">
        <v>558</v>
      </c>
      <c r="BE616" s="1" t="s">
        <v>11051</v>
      </c>
      <c r="BF616" s="1" t="str">
        <f aca="false">HYPERLINK("http://dx.doi.org/10.1038/s41597-022-01546-5","http://dx.doi.org/10.1038/s41597-022-01546-5")</f>
        <v>http://dx.doi.org/10.1038/s41597-022-01546-5</v>
      </c>
      <c r="BG616" s="1"/>
      <c r="BH616" s="1"/>
      <c r="BI616" s="1" t="n">
        <v>8</v>
      </c>
      <c r="BJ616" s="1" t="s">
        <v>6557</v>
      </c>
      <c r="BK616" s="1" t="s">
        <v>204</v>
      </c>
      <c r="BL616" s="1" t="s">
        <v>6558</v>
      </c>
      <c r="BM616" s="1" t="s">
        <v>11052</v>
      </c>
      <c r="BN616" s="1" t="n">
        <v>36088402</v>
      </c>
      <c r="BO616" s="1" t="s">
        <v>542</v>
      </c>
      <c r="BP616" s="1"/>
      <c r="BQ616" s="1"/>
      <c r="BR616" s="1" t="s">
        <v>103</v>
      </c>
      <c r="BS616" s="1" t="s">
        <v>11053</v>
      </c>
      <c r="BT616" s="1" t="str">
        <f aca="false">HYPERLINK("https%3A%2F%2Fwww.webofscience.com%2Fwos%2Fwoscc%2Ffull-record%2FWOS:000852384000002","View Full Record in Web of Science")</f>
        <v>View Full Record in Web of Science</v>
      </c>
    </row>
    <row r="617" customFormat="false" ht="12.75" hidden="false" customHeight="false" outlineLevel="0" collapsed="false">
      <c r="A617" s="1" t="s">
        <v>72</v>
      </c>
      <c r="B617" s="1" t="s">
        <v>11054</v>
      </c>
      <c r="C617" s="1"/>
      <c r="D617" s="1" t="s">
        <v>3039</v>
      </c>
      <c r="E617" s="1"/>
      <c r="F617" s="1" t="s">
        <v>11055</v>
      </c>
      <c r="G617" s="1"/>
      <c r="H617" s="1"/>
      <c r="I617" s="1" t="s">
        <v>11056</v>
      </c>
      <c r="J617" s="1" t="s">
        <v>3042</v>
      </c>
      <c r="K617" s="1" t="s">
        <v>3043</v>
      </c>
      <c r="L617" s="1"/>
      <c r="M617" s="1" t="s">
        <v>78</v>
      </c>
      <c r="N617" s="1" t="s">
        <v>79</v>
      </c>
      <c r="O617" s="1" t="s">
        <v>3044</v>
      </c>
      <c r="P617" s="1" t="s">
        <v>3045</v>
      </c>
      <c r="Q617" s="1" t="s">
        <v>3046</v>
      </c>
      <c r="R617" s="1" t="s">
        <v>3047</v>
      </c>
      <c r="S617" s="1"/>
      <c r="T617" s="1"/>
      <c r="U617" s="1" t="s">
        <v>11057</v>
      </c>
      <c r="V617" s="1" t="s">
        <v>11058</v>
      </c>
      <c r="W617" s="1" t="s">
        <v>11059</v>
      </c>
      <c r="X617" s="1" t="s">
        <v>11060</v>
      </c>
      <c r="Y617" s="1" t="s">
        <v>11061</v>
      </c>
      <c r="Z617" s="1" t="s">
        <v>11062</v>
      </c>
      <c r="AA617" s="1" t="s">
        <v>5339</v>
      </c>
      <c r="AB617" s="1" t="s">
        <v>11063</v>
      </c>
      <c r="AC617" s="1"/>
      <c r="AD617" s="1"/>
      <c r="AE617" s="1"/>
      <c r="AF617" s="1"/>
      <c r="AG617" s="1" t="n">
        <v>30</v>
      </c>
      <c r="AH617" s="1" t="n">
        <v>4</v>
      </c>
      <c r="AI617" s="1" t="n">
        <v>4</v>
      </c>
      <c r="AJ617" s="1" t="n">
        <v>0</v>
      </c>
      <c r="AK617" s="1" t="n">
        <v>4</v>
      </c>
      <c r="AL617" s="1" t="s">
        <v>106</v>
      </c>
      <c r="AM617" s="1" t="s">
        <v>95</v>
      </c>
      <c r="AN617" s="1" t="s">
        <v>122</v>
      </c>
      <c r="AO617" s="1" t="s">
        <v>3054</v>
      </c>
      <c r="AP617" s="1"/>
      <c r="AQ617" s="1" t="s">
        <v>3055</v>
      </c>
      <c r="AR617" s="1" t="s">
        <v>3056</v>
      </c>
      <c r="AS617" s="1"/>
      <c r="AT617" s="1"/>
      <c r="AU617" s="1" t="n">
        <v>2020</v>
      </c>
      <c r="AV617" s="1"/>
      <c r="AW617" s="1"/>
      <c r="AX617" s="1"/>
      <c r="AY617" s="1"/>
      <c r="AZ617" s="1"/>
      <c r="BA617" s="1"/>
      <c r="BB617" s="1" t="n">
        <v>125</v>
      </c>
      <c r="BC617" s="1" t="n">
        <v>135</v>
      </c>
      <c r="BD617" s="1"/>
      <c r="BE617" s="1" t="s">
        <v>11064</v>
      </c>
      <c r="BF617" s="1" t="str">
        <f aca="false">HYPERLINK("http://dx.doi.org/10.1109/RE48521.2020.00024","http://dx.doi.org/10.1109/RE48521.2020.00024")</f>
        <v>http://dx.doi.org/10.1109/RE48521.2020.00024</v>
      </c>
      <c r="BG617" s="1"/>
      <c r="BH617" s="1"/>
      <c r="BI617" s="1" t="n">
        <v>11</v>
      </c>
      <c r="BJ617" s="1" t="s">
        <v>1394</v>
      </c>
      <c r="BK617" s="1" t="s">
        <v>100</v>
      </c>
      <c r="BL617" s="1" t="s">
        <v>101</v>
      </c>
      <c r="BM617" s="1" t="s">
        <v>3058</v>
      </c>
      <c r="BN617" s="1"/>
      <c r="BO617" s="1" t="s">
        <v>227</v>
      </c>
      <c r="BP617" s="1"/>
      <c r="BQ617" s="1"/>
      <c r="BR617" s="1" t="s">
        <v>103</v>
      </c>
      <c r="BS617" s="1" t="s">
        <v>11065</v>
      </c>
      <c r="BT617" s="1" t="str">
        <f aca="false">HYPERLINK("https%3A%2F%2Fwww.webofscience.com%2Fwos%2Fwoscc%2Ffull-record%2FWOS:000628527900015","View Full Record in Web of Science")</f>
        <v>View Full Record in Web of Science</v>
      </c>
    </row>
    <row r="618" customFormat="false" ht="12.75" hidden="false" customHeight="false" outlineLevel="0" collapsed="false">
      <c r="A618" s="1" t="s">
        <v>181</v>
      </c>
      <c r="B618" s="1" t="s">
        <v>11066</v>
      </c>
      <c r="C618" s="1"/>
      <c r="D618" s="1"/>
      <c r="E618" s="1"/>
      <c r="F618" s="1" t="s">
        <v>11067</v>
      </c>
      <c r="G618" s="1"/>
      <c r="H618" s="1"/>
      <c r="I618" s="1" t="s">
        <v>11068</v>
      </c>
      <c r="J618" s="1" t="s">
        <v>3700</v>
      </c>
      <c r="K618" s="1"/>
      <c r="L618" s="1"/>
      <c r="M618" s="1" t="s">
        <v>78</v>
      </c>
      <c r="N618" s="1" t="s">
        <v>186</v>
      </c>
      <c r="O618" s="1"/>
      <c r="P618" s="1"/>
      <c r="Q618" s="1"/>
      <c r="R618" s="1"/>
      <c r="S618" s="1"/>
      <c r="T618" s="1" t="s">
        <v>11069</v>
      </c>
      <c r="U618" s="1" t="s">
        <v>11070</v>
      </c>
      <c r="V618" s="1" t="s">
        <v>11071</v>
      </c>
      <c r="W618" s="1" t="s">
        <v>11072</v>
      </c>
      <c r="X618" s="1" t="s">
        <v>11073</v>
      </c>
      <c r="Y618" s="1" t="s">
        <v>11074</v>
      </c>
      <c r="Z618" s="1" t="s">
        <v>11075</v>
      </c>
      <c r="AA618" s="1" t="s">
        <v>10662</v>
      </c>
      <c r="AB618" s="1" t="s">
        <v>11076</v>
      </c>
      <c r="AC618" s="1" t="s">
        <v>11077</v>
      </c>
      <c r="AD618" s="1" t="s">
        <v>11077</v>
      </c>
      <c r="AE618" s="1" t="s">
        <v>11078</v>
      </c>
      <c r="AF618" s="1"/>
      <c r="AG618" s="1" t="n">
        <v>55</v>
      </c>
      <c r="AH618" s="1" t="n">
        <v>1</v>
      </c>
      <c r="AI618" s="1" t="n">
        <v>1</v>
      </c>
      <c r="AJ618" s="1" t="n">
        <v>0</v>
      </c>
      <c r="AK618" s="1" t="n">
        <v>6</v>
      </c>
      <c r="AL618" s="1" t="s">
        <v>3711</v>
      </c>
      <c r="AM618" s="1" t="s">
        <v>95</v>
      </c>
      <c r="AN618" s="1" t="s">
        <v>3712</v>
      </c>
      <c r="AO618" s="1" t="s">
        <v>3713</v>
      </c>
      <c r="AP618" s="1" t="s">
        <v>3714</v>
      </c>
      <c r="AQ618" s="1"/>
      <c r="AR618" s="1" t="s">
        <v>3715</v>
      </c>
      <c r="AS618" s="1" t="s">
        <v>3716</v>
      </c>
      <c r="AT618" s="1" t="s">
        <v>277</v>
      </c>
      <c r="AU618" s="1" t="n">
        <v>2022</v>
      </c>
      <c r="AV618" s="1" t="n">
        <v>185</v>
      </c>
      <c r="AW618" s="1"/>
      <c r="AX618" s="1"/>
      <c r="AY618" s="1"/>
      <c r="AZ618" s="1"/>
      <c r="BA618" s="1"/>
      <c r="BB618" s="1"/>
      <c r="BC618" s="1"/>
      <c r="BD618" s="1" t="n">
        <v>111154</v>
      </c>
      <c r="BE618" s="1" t="s">
        <v>11079</v>
      </c>
      <c r="BF618" s="1" t="str">
        <f aca="false">HYPERLINK("http://dx.doi.org/10.1016/j.jss.2021.111154","http://dx.doi.org/10.1016/j.jss.2021.111154")</f>
        <v>http://dx.doi.org/10.1016/j.jss.2021.111154</v>
      </c>
      <c r="BG618" s="1"/>
      <c r="BH618" s="1" t="s">
        <v>7116</v>
      </c>
      <c r="BI618" s="1" t="n">
        <v>22</v>
      </c>
      <c r="BJ618" s="1" t="s">
        <v>994</v>
      </c>
      <c r="BK618" s="1" t="s">
        <v>398</v>
      </c>
      <c r="BL618" s="1" t="s">
        <v>101</v>
      </c>
      <c r="BM618" s="1" t="s">
        <v>11080</v>
      </c>
      <c r="BN618" s="1"/>
      <c r="BO618" s="1"/>
      <c r="BP618" s="1"/>
      <c r="BQ618" s="1"/>
      <c r="BR618" s="1" t="s">
        <v>103</v>
      </c>
      <c r="BS618" s="1" t="s">
        <v>11081</v>
      </c>
      <c r="BT618" s="1" t="str">
        <f aca="false">HYPERLINK("https%3A%2F%2Fwww.webofscience.com%2Fwos%2Fwoscc%2Ffull-record%2FWOS:000749992600007","View Full Record in Web of Science")</f>
        <v>View Full Record in Web of Science</v>
      </c>
    </row>
    <row r="619" customFormat="false" ht="12.75" hidden="false" customHeight="false" outlineLevel="0" collapsed="false">
      <c r="A619" s="1" t="s">
        <v>181</v>
      </c>
      <c r="B619" s="1" t="s">
        <v>11082</v>
      </c>
      <c r="C619" s="1"/>
      <c r="D619" s="1"/>
      <c r="E619" s="1"/>
      <c r="F619" s="1" t="s">
        <v>11083</v>
      </c>
      <c r="G619" s="1"/>
      <c r="H619" s="1"/>
      <c r="I619" s="1" t="s">
        <v>11084</v>
      </c>
      <c r="J619" s="1" t="s">
        <v>11085</v>
      </c>
      <c r="K619" s="1"/>
      <c r="L619" s="1"/>
      <c r="M619" s="1" t="s">
        <v>78</v>
      </c>
      <c r="N619" s="1" t="s">
        <v>186</v>
      </c>
      <c r="O619" s="1"/>
      <c r="P619" s="1"/>
      <c r="Q619" s="1"/>
      <c r="R619" s="1"/>
      <c r="S619" s="1"/>
      <c r="T619" s="1" t="s">
        <v>11086</v>
      </c>
      <c r="U619" s="1"/>
      <c r="V619" s="1" t="s">
        <v>11087</v>
      </c>
      <c r="W619" s="1" t="s">
        <v>11088</v>
      </c>
      <c r="X619" s="1" t="s">
        <v>11089</v>
      </c>
      <c r="Y619" s="1" t="s">
        <v>11090</v>
      </c>
      <c r="Z619" s="1" t="s">
        <v>11091</v>
      </c>
      <c r="AA619" s="1" t="s">
        <v>11092</v>
      </c>
      <c r="AB619" s="1" t="s">
        <v>11093</v>
      </c>
      <c r="AC619" s="1" t="s">
        <v>1617</v>
      </c>
      <c r="AD619" s="1" t="s">
        <v>677</v>
      </c>
      <c r="AE619" s="1" t="s">
        <v>4726</v>
      </c>
      <c r="AF619" s="1"/>
      <c r="AG619" s="1" t="n">
        <v>42</v>
      </c>
      <c r="AH619" s="1" t="n">
        <v>8</v>
      </c>
      <c r="AI619" s="1" t="n">
        <v>8</v>
      </c>
      <c r="AJ619" s="1" t="n">
        <v>0</v>
      </c>
      <c r="AK619" s="1" t="n">
        <v>9</v>
      </c>
      <c r="AL619" s="1" t="s">
        <v>2129</v>
      </c>
      <c r="AM619" s="1" t="s">
        <v>1908</v>
      </c>
      <c r="AN619" s="1" t="s">
        <v>2130</v>
      </c>
      <c r="AO619" s="1" t="s">
        <v>11094</v>
      </c>
      <c r="AP619" s="1" t="s">
        <v>11095</v>
      </c>
      <c r="AQ619" s="1"/>
      <c r="AR619" s="1" t="s">
        <v>11096</v>
      </c>
      <c r="AS619" s="1" t="s">
        <v>11097</v>
      </c>
      <c r="AT619" s="1" t="s">
        <v>277</v>
      </c>
      <c r="AU619" s="1" t="n">
        <v>2021</v>
      </c>
      <c r="AV619" s="1" t="n">
        <v>11</v>
      </c>
      <c r="AW619" s="1" t="n">
        <v>2</v>
      </c>
      <c r="AX619" s="1"/>
      <c r="AY619" s="1"/>
      <c r="AZ619" s="1"/>
      <c r="BA619" s="1"/>
      <c r="BB619" s="1" t="n">
        <v>105</v>
      </c>
      <c r="BC619" s="1" t="n">
        <v>126</v>
      </c>
      <c r="BD619" s="1"/>
      <c r="BE619" s="1" t="s">
        <v>11098</v>
      </c>
      <c r="BF619" s="1" t="str">
        <f aca="false">HYPERLINK("http://dx.doi.org/10.1007/s41060-021-00246-4","http://dx.doi.org/10.1007/s41060-021-00246-4")</f>
        <v>http://dx.doi.org/10.1007/s41060-021-00246-4</v>
      </c>
      <c r="BG619" s="1"/>
      <c r="BH619" s="1" t="s">
        <v>1749</v>
      </c>
      <c r="BI619" s="1" t="n">
        <v>22</v>
      </c>
      <c r="BJ619" s="1" t="s">
        <v>6783</v>
      </c>
      <c r="BK619" s="1" t="s">
        <v>253</v>
      </c>
      <c r="BL619" s="1" t="s">
        <v>101</v>
      </c>
      <c r="BM619" s="1" t="s">
        <v>11099</v>
      </c>
      <c r="BN619" s="1"/>
      <c r="BO619" s="1" t="s">
        <v>282</v>
      </c>
      <c r="BP619" s="1"/>
      <c r="BQ619" s="1"/>
      <c r="BR619" s="1" t="s">
        <v>103</v>
      </c>
      <c r="BS619" s="1" t="s">
        <v>11100</v>
      </c>
      <c r="BT619" s="1" t="str">
        <f aca="false">HYPERLINK("https%3A%2F%2Fwww.webofscience.com%2Fwos%2Fwoscc%2Ffull-record%2FWOS:000631559600001","View Full Record in Web of Science")</f>
        <v>View Full Record in Web of Science</v>
      </c>
    </row>
    <row r="620" customFormat="false" ht="12.75" hidden="false" customHeight="false" outlineLevel="0" collapsed="false">
      <c r="A620" s="1" t="s">
        <v>181</v>
      </c>
      <c r="B620" s="1" t="s">
        <v>11101</v>
      </c>
      <c r="C620" s="1"/>
      <c r="D620" s="1"/>
      <c r="E620" s="1"/>
      <c r="F620" s="1" t="s">
        <v>11102</v>
      </c>
      <c r="G620" s="1"/>
      <c r="H620" s="1"/>
      <c r="I620" s="1" t="s">
        <v>11103</v>
      </c>
      <c r="J620" s="1" t="s">
        <v>11104</v>
      </c>
      <c r="K620" s="1"/>
      <c r="L620" s="1"/>
      <c r="M620" s="1" t="s">
        <v>78</v>
      </c>
      <c r="N620" s="1" t="s">
        <v>186</v>
      </c>
      <c r="O620" s="1"/>
      <c r="P620" s="1"/>
      <c r="Q620" s="1"/>
      <c r="R620" s="1"/>
      <c r="S620" s="1"/>
      <c r="T620" s="1" t="s">
        <v>11105</v>
      </c>
      <c r="U620" s="1" t="s">
        <v>11106</v>
      </c>
      <c r="V620" s="1" t="s">
        <v>11107</v>
      </c>
      <c r="W620" s="1" t="s">
        <v>11108</v>
      </c>
      <c r="X620" s="1" t="s">
        <v>11109</v>
      </c>
      <c r="Y620" s="1" t="s">
        <v>11110</v>
      </c>
      <c r="Z620" s="1" t="s">
        <v>8369</v>
      </c>
      <c r="AA620" s="1" t="s">
        <v>11111</v>
      </c>
      <c r="AB620" s="1" t="s">
        <v>11112</v>
      </c>
      <c r="AC620" s="1" t="s">
        <v>11113</v>
      </c>
      <c r="AD620" s="1" t="s">
        <v>11114</v>
      </c>
      <c r="AE620" s="1" t="s">
        <v>11115</v>
      </c>
      <c r="AF620" s="1"/>
      <c r="AG620" s="1" t="n">
        <v>27</v>
      </c>
      <c r="AH620" s="1" t="n">
        <v>16</v>
      </c>
      <c r="AI620" s="1" t="n">
        <v>16</v>
      </c>
      <c r="AJ620" s="1" t="n">
        <v>0</v>
      </c>
      <c r="AK620" s="1" t="n">
        <v>10</v>
      </c>
      <c r="AL620" s="1" t="s">
        <v>11116</v>
      </c>
      <c r="AM620" s="1" t="s">
        <v>10580</v>
      </c>
      <c r="AN620" s="1" t="s">
        <v>11117</v>
      </c>
      <c r="AO620" s="1" t="s">
        <v>11118</v>
      </c>
      <c r="AP620" s="1" t="s">
        <v>11119</v>
      </c>
      <c r="AQ620" s="1"/>
      <c r="AR620" s="1" t="s">
        <v>11120</v>
      </c>
      <c r="AS620" s="1" t="s">
        <v>11121</v>
      </c>
      <c r="AT620" s="1" t="s">
        <v>808</v>
      </c>
      <c r="AU620" s="1" t="n">
        <v>2021</v>
      </c>
      <c r="AV620" s="1" t="n">
        <v>14</v>
      </c>
      <c r="AW620" s="1" t="n">
        <v>4</v>
      </c>
      <c r="AX620" s="1"/>
      <c r="AY620" s="1"/>
      <c r="AZ620" s="1"/>
      <c r="BA620" s="1"/>
      <c r="BB620" s="1" t="n">
        <v>577</v>
      </c>
      <c r="BC620" s="1" t="n">
        <v>592</v>
      </c>
      <c r="BD620" s="1"/>
      <c r="BE620" s="1" t="s">
        <v>11122</v>
      </c>
      <c r="BF620" s="1" t="str">
        <f aca="false">HYPERLINK("http://dx.doi.org/10.1007/s12289-020-01545-0","http://dx.doi.org/10.1007/s12289-020-01545-0")</f>
        <v>http://dx.doi.org/10.1007/s12289-020-01545-0</v>
      </c>
      <c r="BG620" s="1"/>
      <c r="BH620" s="1" t="s">
        <v>9121</v>
      </c>
      <c r="BI620" s="1" t="n">
        <v>16</v>
      </c>
      <c r="BJ620" s="1" t="s">
        <v>11123</v>
      </c>
      <c r="BK620" s="1" t="s">
        <v>204</v>
      </c>
      <c r="BL620" s="1" t="s">
        <v>5176</v>
      </c>
      <c r="BM620" s="1" t="s">
        <v>11124</v>
      </c>
      <c r="BN620" s="1"/>
      <c r="BO620" s="1" t="s">
        <v>207</v>
      </c>
      <c r="BP620" s="1"/>
      <c r="BQ620" s="1"/>
      <c r="BR620" s="1" t="s">
        <v>103</v>
      </c>
      <c r="BS620" s="1" t="s">
        <v>11125</v>
      </c>
      <c r="BT620" s="1" t="str">
        <f aca="false">HYPERLINK("https%3A%2F%2Fwww.webofscience.com%2Fwos%2Fwoscc%2Ffull-record%2FWOS:000518077200001","View Full Record in Web of Science")</f>
        <v>View Full Record in Web of Science</v>
      </c>
    </row>
    <row r="621" customFormat="false" ht="12.75" hidden="false" customHeight="false" outlineLevel="0" collapsed="false">
      <c r="A621" s="1" t="s">
        <v>181</v>
      </c>
      <c r="B621" s="1" t="s">
        <v>11126</v>
      </c>
      <c r="C621" s="1"/>
      <c r="D621" s="1"/>
      <c r="E621" s="1"/>
      <c r="F621" s="1" t="s">
        <v>11127</v>
      </c>
      <c r="G621" s="1"/>
      <c r="H621" s="1"/>
      <c r="I621" s="1" t="s">
        <v>11128</v>
      </c>
      <c r="J621" s="1" t="s">
        <v>11129</v>
      </c>
      <c r="K621" s="1"/>
      <c r="L621" s="1"/>
      <c r="M621" s="1" t="s">
        <v>78</v>
      </c>
      <c r="N621" s="1" t="s">
        <v>186</v>
      </c>
      <c r="O621" s="1"/>
      <c r="P621" s="1"/>
      <c r="Q621" s="1"/>
      <c r="R621" s="1"/>
      <c r="S621" s="1"/>
      <c r="T621" s="1" t="s">
        <v>11130</v>
      </c>
      <c r="U621" s="1" t="s">
        <v>11131</v>
      </c>
      <c r="V621" s="1" t="s">
        <v>11132</v>
      </c>
      <c r="W621" s="1" t="s">
        <v>11133</v>
      </c>
      <c r="X621" s="1" t="s">
        <v>11134</v>
      </c>
      <c r="Y621" s="1" t="s">
        <v>11135</v>
      </c>
      <c r="Z621" s="1" t="s">
        <v>11136</v>
      </c>
      <c r="AA621" s="1" t="s">
        <v>11137</v>
      </c>
      <c r="AB621" s="1" t="s">
        <v>11138</v>
      </c>
      <c r="AC621" s="1"/>
      <c r="AD621" s="1"/>
      <c r="AE621" s="1"/>
      <c r="AF621" s="1"/>
      <c r="AG621" s="1" t="n">
        <v>67</v>
      </c>
      <c r="AH621" s="1" t="n">
        <v>20</v>
      </c>
      <c r="AI621" s="1" t="n">
        <v>23</v>
      </c>
      <c r="AJ621" s="1" t="n">
        <v>0</v>
      </c>
      <c r="AK621" s="1" t="n">
        <v>24</v>
      </c>
      <c r="AL621" s="1" t="s">
        <v>11139</v>
      </c>
      <c r="AM621" s="1" t="s">
        <v>11140</v>
      </c>
      <c r="AN621" s="1" t="s">
        <v>11141</v>
      </c>
      <c r="AO621" s="1" t="s">
        <v>11142</v>
      </c>
      <c r="AP621" s="1" t="s">
        <v>11143</v>
      </c>
      <c r="AQ621" s="1"/>
      <c r="AR621" s="1" t="s">
        <v>11144</v>
      </c>
      <c r="AS621" s="1" t="s">
        <v>11145</v>
      </c>
      <c r="AT621" s="1" t="s">
        <v>7527</v>
      </c>
      <c r="AU621" s="1" t="n">
        <v>2020</v>
      </c>
      <c r="AV621" s="1" t="n">
        <v>120</v>
      </c>
      <c r="AW621" s="1" t="n">
        <v>2</v>
      </c>
      <c r="AX621" s="1"/>
      <c r="AY621" s="1"/>
      <c r="AZ621" s="1"/>
      <c r="BA621" s="1"/>
      <c r="BB621" s="1" t="n">
        <v>87</v>
      </c>
      <c r="BC621" s="1" t="n">
        <v>97</v>
      </c>
      <c r="BD621" s="1"/>
      <c r="BE621" s="1" t="s">
        <v>11146</v>
      </c>
      <c r="BF621" s="1" t="str">
        <f aca="false">HYPERLINK("http://dx.doi.org/10.1080/00167223.2020.1769491","http://dx.doi.org/10.1080/00167223.2020.1769491")</f>
        <v>http://dx.doi.org/10.1080/00167223.2020.1769491</v>
      </c>
      <c r="BG621" s="1"/>
      <c r="BH621" s="1" t="s">
        <v>2768</v>
      </c>
      <c r="BI621" s="1" t="n">
        <v>11</v>
      </c>
      <c r="BJ621" s="1" t="s">
        <v>11147</v>
      </c>
      <c r="BK621" s="1" t="s">
        <v>610</v>
      </c>
      <c r="BL621" s="1" t="s">
        <v>11148</v>
      </c>
      <c r="BM621" s="1" t="s">
        <v>11149</v>
      </c>
      <c r="BN621" s="1"/>
      <c r="BO621" s="1" t="s">
        <v>612</v>
      </c>
      <c r="BP621" s="1"/>
      <c r="BQ621" s="1"/>
      <c r="BR621" s="1" t="s">
        <v>103</v>
      </c>
      <c r="BS621" s="1" t="s">
        <v>11150</v>
      </c>
      <c r="BT621" s="1" t="str">
        <f aca="false">HYPERLINK("https%3A%2F%2Fwww.webofscience.com%2Fwos%2Fwoscc%2Ffull-record%2FWOS:000545873700001","View Full Record in Web of Science")</f>
        <v>View Full Record in Web of Science</v>
      </c>
    </row>
    <row r="622" customFormat="false" ht="12.75" hidden="false" customHeight="false" outlineLevel="0" collapsed="false">
      <c r="A622" s="1" t="s">
        <v>72</v>
      </c>
      <c r="B622" s="1" t="s">
        <v>11151</v>
      </c>
      <c r="C622" s="1"/>
      <c r="D622" s="1" t="s">
        <v>4598</v>
      </c>
      <c r="E622" s="1"/>
      <c r="F622" s="1" t="s">
        <v>11152</v>
      </c>
      <c r="G622" s="1"/>
      <c r="H622" s="1"/>
      <c r="I622" s="1" t="s">
        <v>11153</v>
      </c>
      <c r="J622" s="1" t="s">
        <v>9183</v>
      </c>
      <c r="K622" s="1" t="s">
        <v>9184</v>
      </c>
      <c r="L622" s="1"/>
      <c r="M622" s="1" t="s">
        <v>78</v>
      </c>
      <c r="N622" s="1" t="s">
        <v>79</v>
      </c>
      <c r="O622" s="1" t="s">
        <v>4602</v>
      </c>
      <c r="P622" s="1" t="s">
        <v>4603</v>
      </c>
      <c r="Q622" s="1" t="s">
        <v>4604</v>
      </c>
      <c r="R622" s="1" t="s">
        <v>1086</v>
      </c>
      <c r="S622" s="1"/>
      <c r="T622" s="1" t="s">
        <v>11154</v>
      </c>
      <c r="U622" s="1"/>
      <c r="V622" s="1" t="s">
        <v>11155</v>
      </c>
      <c r="W622" s="1" t="s">
        <v>11156</v>
      </c>
      <c r="X622" s="1" t="s">
        <v>4628</v>
      </c>
      <c r="Y622" s="1" t="s">
        <v>11157</v>
      </c>
      <c r="Z622" s="1" t="s">
        <v>11158</v>
      </c>
      <c r="AA622" s="1"/>
      <c r="AB622" s="1"/>
      <c r="AC622" s="1" t="s">
        <v>1186</v>
      </c>
      <c r="AD622" s="1" t="s">
        <v>1186</v>
      </c>
      <c r="AE622" s="1" t="s">
        <v>11159</v>
      </c>
      <c r="AF622" s="1"/>
      <c r="AG622" s="1" t="n">
        <v>23</v>
      </c>
      <c r="AH622" s="1" t="n">
        <v>0</v>
      </c>
      <c r="AI622" s="1" t="n">
        <v>0</v>
      </c>
      <c r="AJ622" s="1" t="n">
        <v>1</v>
      </c>
      <c r="AK622" s="1" t="n">
        <v>1</v>
      </c>
      <c r="AL622" s="1" t="s">
        <v>172</v>
      </c>
      <c r="AM622" s="1" t="s">
        <v>173</v>
      </c>
      <c r="AN622" s="1" t="s">
        <v>174</v>
      </c>
      <c r="AO622" s="1" t="s">
        <v>9193</v>
      </c>
      <c r="AP622" s="1"/>
      <c r="AQ622" s="1" t="s">
        <v>9194</v>
      </c>
      <c r="AR622" s="1" t="s">
        <v>9195</v>
      </c>
      <c r="AS622" s="1"/>
      <c r="AT622" s="1"/>
      <c r="AU622" s="1" t="n">
        <v>2024</v>
      </c>
      <c r="AV622" s="1"/>
      <c r="AW622" s="1"/>
      <c r="AX622" s="1"/>
      <c r="AY622" s="1"/>
      <c r="AZ622" s="1"/>
      <c r="BA622" s="1"/>
      <c r="BB622" s="1" t="n">
        <v>137</v>
      </c>
      <c r="BC622" s="1" t="n">
        <v>145</v>
      </c>
      <c r="BD622" s="1"/>
      <c r="BE622" s="1" t="s">
        <v>11160</v>
      </c>
      <c r="BF622" s="1" t="str">
        <f aca="false">HYPERLINK("http://dx.doi.org/10.1109/REW61692.2024.00024","http://dx.doi.org/10.1109/REW61692.2024.00024")</f>
        <v>http://dx.doi.org/10.1109/REW61692.2024.00024</v>
      </c>
      <c r="BG622" s="1"/>
      <c r="BH622" s="1"/>
      <c r="BI622" s="1" t="n">
        <v>9</v>
      </c>
      <c r="BJ622" s="1" t="s">
        <v>9197</v>
      </c>
      <c r="BK622" s="1" t="s">
        <v>100</v>
      </c>
      <c r="BL622" s="1" t="s">
        <v>1255</v>
      </c>
      <c r="BM622" s="1" t="s">
        <v>9198</v>
      </c>
      <c r="BN622" s="1"/>
      <c r="BO622" s="1" t="s">
        <v>227</v>
      </c>
      <c r="BP622" s="1"/>
      <c r="BQ622" s="1"/>
      <c r="BR622" s="1" t="s">
        <v>103</v>
      </c>
      <c r="BS622" s="1" t="s">
        <v>11161</v>
      </c>
      <c r="BT622" s="1" t="str">
        <f aca="false">HYPERLINK("https%3A%2F%2Fwww.webofscience.com%2Fwos%2Fwoscc%2Ffull-record%2FWOS:001304537500020","View Full Record in Web of Science")</f>
        <v>View Full Record in Web of Science</v>
      </c>
    </row>
    <row r="623" customFormat="false" ht="12.75" hidden="false" customHeight="false" outlineLevel="0" collapsed="false">
      <c r="A623" s="1" t="s">
        <v>181</v>
      </c>
      <c r="B623" s="1" t="s">
        <v>11162</v>
      </c>
      <c r="C623" s="1"/>
      <c r="D623" s="1"/>
      <c r="E623" s="1"/>
      <c r="F623" s="1" t="s">
        <v>11163</v>
      </c>
      <c r="G623" s="1"/>
      <c r="H623" s="1"/>
      <c r="I623" s="1" t="s">
        <v>11164</v>
      </c>
      <c r="J623" s="1" t="s">
        <v>1378</v>
      </c>
      <c r="K623" s="1"/>
      <c r="L623" s="1"/>
      <c r="M623" s="1" t="s">
        <v>78</v>
      </c>
      <c r="N623" s="1" t="s">
        <v>186</v>
      </c>
      <c r="O623" s="1"/>
      <c r="P623" s="1"/>
      <c r="Q623" s="1"/>
      <c r="R623" s="1"/>
      <c r="S623" s="1"/>
      <c r="T623" s="1" t="s">
        <v>11165</v>
      </c>
      <c r="U623" s="1"/>
      <c r="V623" s="1" t="s">
        <v>11166</v>
      </c>
      <c r="W623" s="1" t="s">
        <v>11167</v>
      </c>
      <c r="X623" s="1" t="s">
        <v>11168</v>
      </c>
      <c r="Y623" s="1" t="s">
        <v>11169</v>
      </c>
      <c r="Z623" s="1" t="s">
        <v>11170</v>
      </c>
      <c r="AA623" s="1" t="s">
        <v>10439</v>
      </c>
      <c r="AB623" s="1" t="s">
        <v>11171</v>
      </c>
      <c r="AC623" s="1" t="s">
        <v>11172</v>
      </c>
      <c r="AD623" s="1" t="s">
        <v>11173</v>
      </c>
      <c r="AE623" s="1" t="s">
        <v>11174</v>
      </c>
      <c r="AF623" s="1"/>
      <c r="AG623" s="1" t="n">
        <v>28</v>
      </c>
      <c r="AH623" s="1" t="n">
        <v>89</v>
      </c>
      <c r="AI623" s="1" t="n">
        <v>93</v>
      </c>
      <c r="AJ623" s="1" t="n">
        <v>3</v>
      </c>
      <c r="AK623" s="1" t="n">
        <v>22</v>
      </c>
      <c r="AL623" s="1" t="s">
        <v>893</v>
      </c>
      <c r="AM623" s="1" t="s">
        <v>894</v>
      </c>
      <c r="AN623" s="1" t="s">
        <v>11175</v>
      </c>
      <c r="AO623" s="1" t="s">
        <v>1387</v>
      </c>
      <c r="AP623" s="1" t="s">
        <v>1388</v>
      </c>
      <c r="AQ623" s="1"/>
      <c r="AR623" s="1" t="s">
        <v>1389</v>
      </c>
      <c r="AS623" s="1" t="s">
        <v>1390</v>
      </c>
      <c r="AT623" s="1" t="s">
        <v>808</v>
      </c>
      <c r="AU623" s="1" t="n">
        <v>2020</v>
      </c>
      <c r="AV623" s="1" t="n">
        <v>123</v>
      </c>
      <c r="AW623" s="1"/>
      <c r="AX623" s="1"/>
      <c r="AY623" s="1"/>
      <c r="AZ623" s="1"/>
      <c r="BA623" s="1"/>
      <c r="BB623" s="1"/>
      <c r="BC623" s="1"/>
      <c r="BD623" s="1" t="n">
        <v>106294</v>
      </c>
      <c r="BE623" s="1" t="s">
        <v>11176</v>
      </c>
      <c r="BF623" s="1" t="str">
        <f aca="false">HYPERLINK("http://dx.doi.org/10.1016/j.infsof.2020.106294","http://dx.doi.org/10.1016/j.infsof.2020.106294")</f>
        <v>http://dx.doi.org/10.1016/j.infsof.2020.106294</v>
      </c>
      <c r="BG623" s="1"/>
      <c r="BH623" s="1"/>
      <c r="BI623" s="1" t="n">
        <v>12</v>
      </c>
      <c r="BJ623" s="1" t="s">
        <v>1394</v>
      </c>
      <c r="BK623" s="1" t="s">
        <v>204</v>
      </c>
      <c r="BL623" s="1" t="s">
        <v>101</v>
      </c>
      <c r="BM623" s="1" t="s">
        <v>11177</v>
      </c>
      <c r="BN623" s="1"/>
      <c r="BO623" s="1" t="s">
        <v>227</v>
      </c>
      <c r="BP623" s="1"/>
      <c r="BQ623" s="1"/>
      <c r="BR623" s="1" t="s">
        <v>103</v>
      </c>
      <c r="BS623" s="1" t="s">
        <v>11178</v>
      </c>
      <c r="BT623" s="1" t="str">
        <f aca="false">HYPERLINK("https%3A%2F%2Fwww.webofscience.com%2Fwos%2Fwoscc%2Ffull-record%2FWOS:000530651200011","View Full Record in Web of Science")</f>
        <v>View Full Record in Web of Science</v>
      </c>
    </row>
    <row r="624" customFormat="false" ht="12.75" hidden="false" customHeight="false" outlineLevel="0" collapsed="false">
      <c r="A624" s="1" t="s">
        <v>181</v>
      </c>
      <c r="B624" s="1" t="s">
        <v>11179</v>
      </c>
      <c r="C624" s="1"/>
      <c r="D624" s="1"/>
      <c r="E624" s="1"/>
      <c r="F624" s="1" t="s">
        <v>11180</v>
      </c>
      <c r="G624" s="1"/>
      <c r="H624" s="1"/>
      <c r="I624" s="1" t="s">
        <v>11181</v>
      </c>
      <c r="J624" s="1" t="s">
        <v>3481</v>
      </c>
      <c r="K624" s="1"/>
      <c r="L624" s="1"/>
      <c r="M624" s="1" t="s">
        <v>78</v>
      </c>
      <c r="N624" s="1" t="s">
        <v>186</v>
      </c>
      <c r="O624" s="1"/>
      <c r="P624" s="1"/>
      <c r="Q624" s="1"/>
      <c r="R624" s="1"/>
      <c r="S624" s="1"/>
      <c r="T624" s="1" t="s">
        <v>11182</v>
      </c>
      <c r="U624" s="1" t="s">
        <v>11183</v>
      </c>
      <c r="V624" s="1" t="s">
        <v>11184</v>
      </c>
      <c r="W624" s="1" t="s">
        <v>11185</v>
      </c>
      <c r="X624" s="1" t="s">
        <v>11186</v>
      </c>
      <c r="Y624" s="1" t="s">
        <v>11187</v>
      </c>
      <c r="Z624" s="1" t="s">
        <v>11188</v>
      </c>
      <c r="AA624" s="1" t="s">
        <v>7092</v>
      </c>
      <c r="AB624" s="1" t="s">
        <v>11189</v>
      </c>
      <c r="AC624" s="1" t="s">
        <v>11190</v>
      </c>
      <c r="AD624" s="1" t="s">
        <v>7095</v>
      </c>
      <c r="AE624" s="1" t="s">
        <v>11191</v>
      </c>
      <c r="AF624" s="1"/>
      <c r="AG624" s="1" t="n">
        <v>33</v>
      </c>
      <c r="AH624" s="1" t="n">
        <v>0</v>
      </c>
      <c r="AI624" s="1" t="n">
        <v>0</v>
      </c>
      <c r="AJ624" s="1" t="n">
        <v>2</v>
      </c>
      <c r="AK624" s="1" t="n">
        <v>5</v>
      </c>
      <c r="AL624" s="1" t="s">
        <v>367</v>
      </c>
      <c r="AM624" s="1" t="s">
        <v>368</v>
      </c>
      <c r="AN624" s="1" t="s">
        <v>369</v>
      </c>
      <c r="AO624" s="1"/>
      <c r="AP624" s="1" t="s">
        <v>3492</v>
      </c>
      <c r="AQ624" s="1"/>
      <c r="AR624" s="1" t="s">
        <v>3493</v>
      </c>
      <c r="AS624" s="1" t="s">
        <v>3494</v>
      </c>
      <c r="AT624" s="1" t="s">
        <v>2698</v>
      </c>
      <c r="AU624" s="1" t="n">
        <v>2024</v>
      </c>
      <c r="AV624" s="1" t="n">
        <v>24</v>
      </c>
      <c r="AW624" s="1" t="n">
        <v>12</v>
      </c>
      <c r="AX624" s="1"/>
      <c r="AY624" s="1"/>
      <c r="AZ624" s="1"/>
      <c r="BA624" s="1"/>
      <c r="BB624" s="1"/>
      <c r="BC624" s="1"/>
      <c r="BD624" s="1" t="n">
        <v>3941</v>
      </c>
      <c r="BE624" s="1" t="s">
        <v>11192</v>
      </c>
      <c r="BF624" s="1" t="str">
        <f aca="false">HYPERLINK("http://dx.doi.org/10.3390/s24123941","http://dx.doi.org/10.3390/s24123941")</f>
        <v>http://dx.doi.org/10.3390/s24123941</v>
      </c>
      <c r="BG624" s="1"/>
      <c r="BH624" s="1"/>
      <c r="BI624" s="1" t="n">
        <v>15</v>
      </c>
      <c r="BJ624" s="1" t="s">
        <v>3496</v>
      </c>
      <c r="BK624" s="1" t="s">
        <v>204</v>
      </c>
      <c r="BL624" s="1" t="s">
        <v>3497</v>
      </c>
      <c r="BM624" s="1" t="s">
        <v>11193</v>
      </c>
      <c r="BN624" s="1" t="n">
        <v>38931724</v>
      </c>
      <c r="BO624" s="1" t="s">
        <v>401</v>
      </c>
      <c r="BP624" s="1"/>
      <c r="BQ624" s="1"/>
      <c r="BR624" s="1" t="s">
        <v>103</v>
      </c>
      <c r="BS624" s="1" t="s">
        <v>11194</v>
      </c>
      <c r="BT624" s="1" t="str">
        <f aca="false">HYPERLINK("https%3A%2F%2Fwww.webofscience.com%2Fwos%2Fwoscc%2Ffull-record%2FWOS:001256218900001","View Full Record in Web of Science")</f>
        <v>View Full Record in Web of Science</v>
      </c>
    </row>
    <row r="625" customFormat="false" ht="12.75" hidden="false" customHeight="false" outlineLevel="0" collapsed="false">
      <c r="A625" s="1" t="s">
        <v>72</v>
      </c>
      <c r="B625" s="1" t="s">
        <v>11195</v>
      </c>
      <c r="C625" s="1"/>
      <c r="D625" s="1" t="s">
        <v>5149</v>
      </c>
      <c r="E625" s="1"/>
      <c r="F625" s="1" t="s">
        <v>11196</v>
      </c>
      <c r="G625" s="1"/>
      <c r="H625" s="1"/>
      <c r="I625" s="1" t="s">
        <v>11197</v>
      </c>
      <c r="J625" s="1" t="s">
        <v>5152</v>
      </c>
      <c r="K625" s="1" t="s">
        <v>5153</v>
      </c>
      <c r="L625" s="1"/>
      <c r="M625" s="1" t="s">
        <v>78</v>
      </c>
      <c r="N625" s="1" t="s">
        <v>79</v>
      </c>
      <c r="O625" s="1" t="s">
        <v>5154</v>
      </c>
      <c r="P625" s="1" t="s">
        <v>5155</v>
      </c>
      <c r="Q625" s="1" t="s">
        <v>5156</v>
      </c>
      <c r="R625" s="1" t="s">
        <v>5157</v>
      </c>
      <c r="S625" s="1"/>
      <c r="T625" s="1"/>
      <c r="U625" s="1" t="s">
        <v>11198</v>
      </c>
      <c r="V625" s="1" t="s">
        <v>11199</v>
      </c>
      <c r="W625" s="1" t="s">
        <v>11200</v>
      </c>
      <c r="X625" s="1" t="s">
        <v>11201</v>
      </c>
      <c r="Y625" s="1" t="s">
        <v>5252</v>
      </c>
      <c r="Z625" s="1" t="s">
        <v>5253</v>
      </c>
      <c r="AA625" s="1" t="s">
        <v>5164</v>
      </c>
      <c r="AB625" s="1" t="s">
        <v>5165</v>
      </c>
      <c r="AC625" s="1" t="s">
        <v>9702</v>
      </c>
      <c r="AD625" s="1" t="s">
        <v>10340</v>
      </c>
      <c r="AE625" s="1" t="s">
        <v>9704</v>
      </c>
      <c r="AF625" s="1"/>
      <c r="AG625" s="1" t="n">
        <v>9</v>
      </c>
      <c r="AH625" s="1" t="n">
        <v>0</v>
      </c>
      <c r="AI625" s="1" t="n">
        <v>0</v>
      </c>
      <c r="AJ625" s="1" t="n">
        <v>0</v>
      </c>
      <c r="AK625" s="1" t="n">
        <v>1</v>
      </c>
      <c r="AL625" s="1" t="s">
        <v>5169</v>
      </c>
      <c r="AM625" s="1" t="s">
        <v>5170</v>
      </c>
      <c r="AN625" s="1" t="s">
        <v>5171</v>
      </c>
      <c r="AO625" s="1" t="s">
        <v>5172</v>
      </c>
      <c r="AP625" s="1"/>
      <c r="AQ625" s="1"/>
      <c r="AR625" s="1" t="s">
        <v>5173</v>
      </c>
      <c r="AS625" s="1"/>
      <c r="AT625" s="1"/>
      <c r="AU625" s="1" t="n">
        <v>2023</v>
      </c>
      <c r="AV625" s="1" t="n">
        <v>1284</v>
      </c>
      <c r="AW625" s="1"/>
      <c r="AX625" s="1"/>
      <c r="AY625" s="1"/>
      <c r="AZ625" s="1"/>
      <c r="BA625" s="1"/>
      <c r="BB625" s="1"/>
      <c r="BC625" s="1"/>
      <c r="BD625" s="1" t="n">
        <v>12079</v>
      </c>
      <c r="BE625" s="1" t="s">
        <v>11202</v>
      </c>
      <c r="BF625" s="1" t="str">
        <f aca="false">HYPERLINK("http://dx.doi.org/10.1088/1757-899X/1284/1/012079","http://dx.doi.org/10.1088/1757-899X/1284/1/012079")</f>
        <v>http://dx.doi.org/10.1088/1757-899X/1284/1/012079</v>
      </c>
      <c r="BG625" s="1"/>
      <c r="BH625" s="1"/>
      <c r="BI625" s="1" t="n">
        <v>9</v>
      </c>
      <c r="BJ625" s="1" t="s">
        <v>5175</v>
      </c>
      <c r="BK625" s="1" t="s">
        <v>100</v>
      </c>
      <c r="BL625" s="1" t="s">
        <v>5176</v>
      </c>
      <c r="BM625" s="1" t="s">
        <v>5177</v>
      </c>
      <c r="BN625" s="1"/>
      <c r="BO625" s="1" t="s">
        <v>376</v>
      </c>
      <c r="BP625" s="1"/>
      <c r="BQ625" s="1"/>
      <c r="BR625" s="1" t="s">
        <v>103</v>
      </c>
      <c r="BS625" s="1" t="s">
        <v>11203</v>
      </c>
      <c r="BT625" s="1" t="str">
        <f aca="false">HYPERLINK("https%3A%2F%2Fwww.webofscience.com%2Fwos%2Fwoscc%2Ffull-record%2FWOS:001017824300079","View Full Record in Web of Science")</f>
        <v>View Full Record in Web of Science</v>
      </c>
    </row>
    <row r="626" customFormat="false" ht="12.75" hidden="false" customHeight="false" outlineLevel="0" collapsed="false">
      <c r="A626" s="1" t="s">
        <v>181</v>
      </c>
      <c r="B626" s="1" t="s">
        <v>11204</v>
      </c>
      <c r="C626" s="1"/>
      <c r="D626" s="1"/>
      <c r="E626" s="1"/>
      <c r="F626" s="1" t="s">
        <v>11205</v>
      </c>
      <c r="G626" s="1"/>
      <c r="H626" s="1"/>
      <c r="I626" s="1" t="s">
        <v>11206</v>
      </c>
      <c r="J626" s="1" t="s">
        <v>5949</v>
      </c>
      <c r="K626" s="1"/>
      <c r="L626" s="1"/>
      <c r="M626" s="1" t="s">
        <v>78</v>
      </c>
      <c r="N626" s="1" t="s">
        <v>186</v>
      </c>
      <c r="O626" s="1"/>
      <c r="P626" s="1"/>
      <c r="Q626" s="1"/>
      <c r="R626" s="1"/>
      <c r="S626" s="1"/>
      <c r="T626" s="1" t="s">
        <v>11207</v>
      </c>
      <c r="U626" s="1" t="s">
        <v>11208</v>
      </c>
      <c r="V626" s="1" t="s">
        <v>11209</v>
      </c>
      <c r="W626" s="1" t="s">
        <v>11210</v>
      </c>
      <c r="X626" s="1" t="s">
        <v>11211</v>
      </c>
      <c r="Y626" s="1" t="s">
        <v>11212</v>
      </c>
      <c r="Z626" s="1" t="s">
        <v>11213</v>
      </c>
      <c r="AA626" s="1" t="s">
        <v>5956</v>
      </c>
      <c r="AB626" s="1" t="s">
        <v>11214</v>
      </c>
      <c r="AC626" s="1" t="s">
        <v>11215</v>
      </c>
      <c r="AD626" s="1" t="s">
        <v>11216</v>
      </c>
      <c r="AE626" s="1" t="s">
        <v>11217</v>
      </c>
      <c r="AF626" s="1"/>
      <c r="AG626" s="1" t="n">
        <v>51</v>
      </c>
      <c r="AH626" s="1" t="n">
        <v>1</v>
      </c>
      <c r="AI626" s="1" t="n">
        <v>1</v>
      </c>
      <c r="AJ626" s="1" t="n">
        <v>1</v>
      </c>
      <c r="AK626" s="1" t="n">
        <v>6</v>
      </c>
      <c r="AL626" s="1" t="s">
        <v>1220</v>
      </c>
      <c r="AM626" s="1" t="s">
        <v>1221</v>
      </c>
      <c r="AN626" s="1" t="s">
        <v>1222</v>
      </c>
      <c r="AO626" s="1" t="s">
        <v>5961</v>
      </c>
      <c r="AP626" s="1" t="s">
        <v>5962</v>
      </c>
      <c r="AQ626" s="1"/>
      <c r="AR626" s="1" t="s">
        <v>5963</v>
      </c>
      <c r="AS626" s="1" t="s">
        <v>5964</v>
      </c>
      <c r="AT626" s="1" t="s">
        <v>11218</v>
      </c>
      <c r="AU626" s="1" t="n">
        <v>2023</v>
      </c>
      <c r="AV626" s="1" t="n">
        <v>38</v>
      </c>
      <c r="AW626" s="1" t="n">
        <v>2</v>
      </c>
      <c r="AX626" s="1"/>
      <c r="AY626" s="1"/>
      <c r="AZ626" s="1"/>
      <c r="BA626" s="1"/>
      <c r="BB626" s="1" t="n">
        <v>236</v>
      </c>
      <c r="BC626" s="1" t="n">
        <v>252</v>
      </c>
      <c r="BD626" s="1"/>
      <c r="BE626" s="1" t="s">
        <v>11219</v>
      </c>
      <c r="BF626" s="1" t="str">
        <f aca="false">HYPERLINK("http://dx.doi.org/10.1080/02697459.2022.2147643","http://dx.doi.org/10.1080/02697459.2022.2147643")</f>
        <v>http://dx.doi.org/10.1080/02697459.2022.2147643</v>
      </c>
      <c r="BG626" s="1"/>
      <c r="BH626" s="1" t="s">
        <v>279</v>
      </c>
      <c r="BI626" s="1" t="n">
        <v>17</v>
      </c>
      <c r="BJ626" s="1" t="s">
        <v>5967</v>
      </c>
      <c r="BK626" s="1" t="s">
        <v>253</v>
      </c>
      <c r="BL626" s="1" t="s">
        <v>5968</v>
      </c>
      <c r="BM626" s="1" t="s">
        <v>11220</v>
      </c>
      <c r="BN626" s="1"/>
      <c r="BO626" s="1" t="s">
        <v>207</v>
      </c>
      <c r="BP626" s="1"/>
      <c r="BQ626" s="1"/>
      <c r="BR626" s="1" t="s">
        <v>103</v>
      </c>
      <c r="BS626" s="1" t="s">
        <v>11221</v>
      </c>
      <c r="BT626" s="1" t="str">
        <f aca="false">HYPERLINK("https%3A%2F%2Fwww.webofscience.com%2Fwos%2Fwoscc%2Ffull-record%2FWOS:000889659400001","View Full Record in Web of Science")</f>
        <v>View Full Record in Web of Science</v>
      </c>
    </row>
    <row r="627" customFormat="false" ht="12.75" hidden="false" customHeight="false" outlineLevel="0" collapsed="false">
      <c r="A627" s="1" t="s">
        <v>181</v>
      </c>
      <c r="B627" s="1" t="s">
        <v>11222</v>
      </c>
      <c r="C627" s="1"/>
      <c r="D627" s="1"/>
      <c r="E627" s="1"/>
      <c r="F627" s="1" t="s">
        <v>11223</v>
      </c>
      <c r="G627" s="1"/>
      <c r="H627" s="1"/>
      <c r="I627" s="1" t="s">
        <v>11224</v>
      </c>
      <c r="J627" s="1" t="s">
        <v>2753</v>
      </c>
      <c r="K627" s="1"/>
      <c r="L627" s="1"/>
      <c r="M627" s="1" t="s">
        <v>78</v>
      </c>
      <c r="N627" s="1" t="s">
        <v>186</v>
      </c>
      <c r="O627" s="1"/>
      <c r="P627" s="1"/>
      <c r="Q627" s="1"/>
      <c r="R627" s="1"/>
      <c r="S627" s="1"/>
      <c r="T627" s="1" t="s">
        <v>11225</v>
      </c>
      <c r="U627" s="1" t="s">
        <v>11226</v>
      </c>
      <c r="V627" s="1" t="s">
        <v>11227</v>
      </c>
      <c r="W627" s="1" t="s">
        <v>11228</v>
      </c>
      <c r="X627" s="1" t="s">
        <v>11229</v>
      </c>
      <c r="Y627" s="1" t="s">
        <v>11230</v>
      </c>
      <c r="Z627" s="1" t="s">
        <v>11231</v>
      </c>
      <c r="AA627" s="1" t="s">
        <v>11232</v>
      </c>
      <c r="AB627" s="1" t="s">
        <v>11233</v>
      </c>
      <c r="AC627" s="1" t="s">
        <v>11234</v>
      </c>
      <c r="AD627" s="1" t="s">
        <v>11234</v>
      </c>
      <c r="AE627" s="1" t="s">
        <v>11235</v>
      </c>
      <c r="AF627" s="1"/>
      <c r="AG627" s="1" t="n">
        <v>49</v>
      </c>
      <c r="AH627" s="1" t="n">
        <v>18</v>
      </c>
      <c r="AI627" s="1" t="n">
        <v>18</v>
      </c>
      <c r="AJ627" s="1" t="n">
        <v>0</v>
      </c>
      <c r="AK627" s="1" t="n">
        <v>13</v>
      </c>
      <c r="AL627" s="1" t="s">
        <v>2761</v>
      </c>
      <c r="AM627" s="1" t="s">
        <v>1908</v>
      </c>
      <c r="AN627" s="1" t="s">
        <v>2762</v>
      </c>
      <c r="AO627" s="1" t="s">
        <v>2763</v>
      </c>
      <c r="AP627" s="1" t="s">
        <v>2764</v>
      </c>
      <c r="AQ627" s="1"/>
      <c r="AR627" s="1" t="s">
        <v>2765</v>
      </c>
      <c r="AS627" s="1" t="s">
        <v>2766</v>
      </c>
      <c r="AT627" s="1" t="s">
        <v>1362</v>
      </c>
      <c r="AU627" s="1" t="n">
        <v>2022</v>
      </c>
      <c r="AV627" s="1" t="n">
        <v>34</v>
      </c>
      <c r="AW627" s="1" t="n">
        <v>20</v>
      </c>
      <c r="AX627" s="1"/>
      <c r="AY627" s="1"/>
      <c r="AZ627" s="1"/>
      <c r="BA627" s="1"/>
      <c r="BB627" s="1" t="n">
        <v>17837</v>
      </c>
      <c r="BC627" s="1" t="n">
        <v>17851</v>
      </c>
      <c r="BD627" s="1"/>
      <c r="BE627" s="1" t="s">
        <v>11236</v>
      </c>
      <c r="BF627" s="1" t="str">
        <f aca="false">HYPERLINK("http://dx.doi.org/10.1007/s00521-022-07441-9","http://dx.doi.org/10.1007/s00521-022-07441-9")</f>
        <v>http://dx.doi.org/10.1007/s00521-022-07441-9</v>
      </c>
      <c r="BG627" s="1"/>
      <c r="BH627" s="1" t="s">
        <v>4482</v>
      </c>
      <c r="BI627" s="1" t="n">
        <v>15</v>
      </c>
      <c r="BJ627" s="1" t="s">
        <v>1625</v>
      </c>
      <c r="BK627" s="1" t="s">
        <v>204</v>
      </c>
      <c r="BL627" s="1" t="s">
        <v>101</v>
      </c>
      <c r="BM627" s="1" t="s">
        <v>11237</v>
      </c>
      <c r="BN627" s="1"/>
      <c r="BO627" s="1" t="s">
        <v>282</v>
      </c>
      <c r="BP627" s="1"/>
      <c r="BQ627" s="1"/>
      <c r="BR627" s="1" t="s">
        <v>103</v>
      </c>
      <c r="BS627" s="1" t="s">
        <v>11238</v>
      </c>
      <c r="BT627" s="1" t="str">
        <f aca="false">HYPERLINK("https%3A%2F%2Fwww.webofscience.com%2Fwos%2Fwoscc%2Ffull-record%2FWOS:000805925400005","View Full Record in Web of Science")</f>
        <v>View Full Record in Web of Science</v>
      </c>
    </row>
    <row r="628" customFormat="false" ht="12.75" hidden="false" customHeight="false" outlineLevel="0" collapsed="false">
      <c r="A628" s="1" t="s">
        <v>181</v>
      </c>
      <c r="B628" s="1" t="s">
        <v>11239</v>
      </c>
      <c r="C628" s="1"/>
      <c r="D628" s="1"/>
      <c r="E628" s="1"/>
      <c r="F628" s="1" t="s">
        <v>11240</v>
      </c>
      <c r="G628" s="1"/>
      <c r="H628" s="1"/>
      <c r="I628" s="1" t="s">
        <v>11241</v>
      </c>
      <c r="J628" s="1" t="s">
        <v>10725</v>
      </c>
      <c r="K628" s="1"/>
      <c r="L628" s="1"/>
      <c r="M628" s="1" t="s">
        <v>78</v>
      </c>
      <c r="N628" s="1" t="s">
        <v>186</v>
      </c>
      <c r="O628" s="1"/>
      <c r="P628" s="1"/>
      <c r="Q628" s="1"/>
      <c r="R628" s="1"/>
      <c r="S628" s="1"/>
      <c r="T628" s="1" t="s">
        <v>11242</v>
      </c>
      <c r="U628" s="1" t="s">
        <v>11243</v>
      </c>
      <c r="V628" s="1" t="s">
        <v>11244</v>
      </c>
      <c r="W628" s="1" t="s">
        <v>11245</v>
      </c>
      <c r="X628" s="1" t="s">
        <v>10761</v>
      </c>
      <c r="Y628" s="1" t="s">
        <v>11246</v>
      </c>
      <c r="Z628" s="1" t="s">
        <v>11247</v>
      </c>
      <c r="AA628" s="1" t="s">
        <v>6307</v>
      </c>
      <c r="AB628" s="1" t="s">
        <v>6308</v>
      </c>
      <c r="AC628" s="1" t="s">
        <v>11248</v>
      </c>
      <c r="AD628" s="1" t="s">
        <v>11249</v>
      </c>
      <c r="AE628" s="1" t="s">
        <v>11250</v>
      </c>
      <c r="AF628" s="1"/>
      <c r="AG628" s="1" t="n">
        <v>75</v>
      </c>
      <c r="AH628" s="1" t="n">
        <v>4</v>
      </c>
      <c r="AI628" s="1" t="n">
        <v>4</v>
      </c>
      <c r="AJ628" s="1" t="n">
        <v>0</v>
      </c>
      <c r="AK628" s="1" t="n">
        <v>14</v>
      </c>
      <c r="AL628" s="1" t="s">
        <v>893</v>
      </c>
      <c r="AM628" s="1" t="s">
        <v>894</v>
      </c>
      <c r="AN628" s="1" t="s">
        <v>895</v>
      </c>
      <c r="AO628" s="1" t="s">
        <v>10735</v>
      </c>
      <c r="AP628" s="1" t="s">
        <v>10736</v>
      </c>
      <c r="AQ628" s="1"/>
      <c r="AR628" s="1" t="s">
        <v>10737</v>
      </c>
      <c r="AS628" s="1" t="s">
        <v>10738</v>
      </c>
      <c r="AT628" s="1" t="s">
        <v>537</v>
      </c>
      <c r="AU628" s="1" t="n">
        <v>2021</v>
      </c>
      <c r="AV628" s="1" t="n">
        <v>115</v>
      </c>
      <c r="AW628" s="1"/>
      <c r="AX628" s="1"/>
      <c r="AY628" s="1"/>
      <c r="AZ628" s="1"/>
      <c r="BA628" s="1"/>
      <c r="BB628" s="1" t="n">
        <v>213</v>
      </c>
      <c r="BC628" s="1" t="n">
        <v>235</v>
      </c>
      <c r="BD628" s="1"/>
      <c r="BE628" s="1" t="s">
        <v>11251</v>
      </c>
      <c r="BF628" s="1" t="str">
        <f aca="false">HYPERLINK("http://dx.doi.org/10.1016/j.future.2020.09.003","http://dx.doi.org/10.1016/j.future.2020.09.003")</f>
        <v>http://dx.doi.org/10.1016/j.future.2020.09.003</v>
      </c>
      <c r="BG628" s="1"/>
      <c r="BH628" s="1"/>
      <c r="BI628" s="1" t="n">
        <v>23</v>
      </c>
      <c r="BJ628" s="1" t="s">
        <v>2136</v>
      </c>
      <c r="BK628" s="1" t="s">
        <v>204</v>
      </c>
      <c r="BL628" s="1" t="s">
        <v>101</v>
      </c>
      <c r="BM628" s="1" t="s">
        <v>11252</v>
      </c>
      <c r="BN628" s="1"/>
      <c r="BO628" s="1"/>
      <c r="BP628" s="1"/>
      <c r="BQ628" s="1"/>
      <c r="BR628" s="1" t="s">
        <v>103</v>
      </c>
      <c r="BS628" s="1" t="s">
        <v>11253</v>
      </c>
      <c r="BT628" s="1" t="str">
        <f aca="false">HYPERLINK("https%3A%2F%2Fwww.webofscience.com%2Fwos%2Fwoscc%2Ffull-record%2FWOS:000591438600009","View Full Record in Web of Science")</f>
        <v>View Full Record in Web of Science</v>
      </c>
    </row>
    <row r="629" customFormat="false" ht="12.75" hidden="false" customHeight="false" outlineLevel="0" collapsed="false">
      <c r="A629" s="1" t="s">
        <v>72</v>
      </c>
      <c r="B629" s="1" t="s">
        <v>11254</v>
      </c>
      <c r="C629" s="1"/>
      <c r="D629" s="1"/>
      <c r="E629" s="1" t="s">
        <v>106</v>
      </c>
      <c r="F629" s="1" t="s">
        <v>11255</v>
      </c>
      <c r="G629" s="1"/>
      <c r="H629" s="1"/>
      <c r="I629" s="1" t="s">
        <v>11256</v>
      </c>
      <c r="J629" s="1" t="s">
        <v>4109</v>
      </c>
      <c r="K629" s="1" t="s">
        <v>4110</v>
      </c>
      <c r="L629" s="1"/>
      <c r="M629" s="1" t="s">
        <v>78</v>
      </c>
      <c r="N629" s="1" t="s">
        <v>79</v>
      </c>
      <c r="O629" s="1" t="s">
        <v>3389</v>
      </c>
      <c r="P629" s="1" t="s">
        <v>4111</v>
      </c>
      <c r="Q629" s="1" t="s">
        <v>4112</v>
      </c>
      <c r="R629" s="1" t="s">
        <v>106</v>
      </c>
      <c r="S629" s="1"/>
      <c r="T629" s="1"/>
      <c r="U629" s="1"/>
      <c r="V629" s="1" t="s">
        <v>11257</v>
      </c>
      <c r="W629" s="1" t="s">
        <v>11258</v>
      </c>
      <c r="X629" s="1" t="s">
        <v>8195</v>
      </c>
      <c r="Y629" s="1" t="s">
        <v>11259</v>
      </c>
      <c r="Z629" s="1" t="s">
        <v>11260</v>
      </c>
      <c r="AA629" s="1" t="s">
        <v>11261</v>
      </c>
      <c r="AB629" s="1" t="s">
        <v>11262</v>
      </c>
      <c r="AC629" s="1" t="s">
        <v>11263</v>
      </c>
      <c r="AD629" s="1" t="s">
        <v>11264</v>
      </c>
      <c r="AE629" s="1" t="s">
        <v>11265</v>
      </c>
      <c r="AF629" s="1"/>
      <c r="AG629" s="1" t="n">
        <v>24</v>
      </c>
      <c r="AH629" s="1" t="n">
        <v>0</v>
      </c>
      <c r="AI629" s="1" t="n">
        <v>0</v>
      </c>
      <c r="AJ629" s="1" t="n">
        <v>0</v>
      </c>
      <c r="AK629" s="1" t="n">
        <v>1</v>
      </c>
      <c r="AL629" s="1" t="s">
        <v>106</v>
      </c>
      <c r="AM629" s="1" t="s">
        <v>95</v>
      </c>
      <c r="AN629" s="1" t="s">
        <v>122</v>
      </c>
      <c r="AO629" s="1" t="s">
        <v>4118</v>
      </c>
      <c r="AP629" s="1"/>
      <c r="AQ629" s="1" t="s">
        <v>4119</v>
      </c>
      <c r="AR629" s="1" t="s">
        <v>4120</v>
      </c>
      <c r="AS629" s="1"/>
      <c r="AT629" s="1"/>
      <c r="AU629" s="1" t="n">
        <v>2020</v>
      </c>
      <c r="AV629" s="1"/>
      <c r="AW629" s="1"/>
      <c r="AX629" s="1"/>
      <c r="AY629" s="1"/>
      <c r="AZ629" s="1"/>
      <c r="BA629" s="1"/>
      <c r="BB629" s="1"/>
      <c r="BC629" s="1"/>
      <c r="BD629" s="1"/>
      <c r="BE629" s="1"/>
      <c r="BF629" s="1"/>
      <c r="BG629" s="1"/>
      <c r="BH629" s="1"/>
      <c r="BI629" s="1" t="n">
        <v>6</v>
      </c>
      <c r="BJ629" s="1" t="s">
        <v>4122</v>
      </c>
      <c r="BK629" s="1" t="s">
        <v>100</v>
      </c>
      <c r="BL629" s="1" t="s">
        <v>4123</v>
      </c>
      <c r="BM629" s="1" t="s">
        <v>4124</v>
      </c>
      <c r="BN629" s="1"/>
      <c r="BO629" s="1"/>
      <c r="BP629" s="1"/>
      <c r="BQ629" s="1"/>
      <c r="BR629" s="1" t="s">
        <v>103</v>
      </c>
      <c r="BS629" s="1" t="s">
        <v>11266</v>
      </c>
      <c r="BT629" s="1" t="str">
        <f aca="false">HYPERLINK("https%3A%2F%2Fwww.webofscience.com%2Fwos%2Fwoscc%2Ffull-record%2FWOS:000612224900122","View Full Record in Web of Science")</f>
        <v>View Full Record in Web of Science</v>
      </c>
    </row>
    <row r="630" customFormat="false" ht="12.75" hidden="false" customHeight="false" outlineLevel="0" collapsed="false">
      <c r="A630" s="1" t="s">
        <v>72</v>
      </c>
      <c r="B630" s="1" t="s">
        <v>11267</v>
      </c>
      <c r="C630" s="1"/>
      <c r="D630" s="1" t="s">
        <v>11268</v>
      </c>
      <c r="E630" s="1"/>
      <c r="F630" s="1" t="s">
        <v>11269</v>
      </c>
      <c r="G630" s="1"/>
      <c r="H630" s="1"/>
      <c r="I630" s="1" t="s">
        <v>11270</v>
      </c>
      <c r="J630" s="1" t="s">
        <v>11271</v>
      </c>
      <c r="K630" s="1" t="s">
        <v>11272</v>
      </c>
      <c r="L630" s="1"/>
      <c r="M630" s="1" t="s">
        <v>78</v>
      </c>
      <c r="N630" s="1" t="s">
        <v>79</v>
      </c>
      <c r="O630" s="1" t="s">
        <v>11273</v>
      </c>
      <c r="P630" s="1" t="s">
        <v>11274</v>
      </c>
      <c r="Q630" s="1" t="s">
        <v>320</v>
      </c>
      <c r="R630" s="1" t="s">
        <v>1086</v>
      </c>
      <c r="S630" s="1"/>
      <c r="T630" s="1" t="s">
        <v>11275</v>
      </c>
      <c r="U630" s="1" t="s">
        <v>11276</v>
      </c>
      <c r="V630" s="1" t="s">
        <v>11277</v>
      </c>
      <c r="W630" s="1" t="s">
        <v>11278</v>
      </c>
      <c r="X630" s="1" t="s">
        <v>11279</v>
      </c>
      <c r="Y630" s="1" t="s">
        <v>11280</v>
      </c>
      <c r="Z630" s="1" t="s">
        <v>11281</v>
      </c>
      <c r="AA630" s="1" t="s">
        <v>11282</v>
      </c>
      <c r="AB630" s="1" t="s">
        <v>11283</v>
      </c>
      <c r="AC630" s="1" t="s">
        <v>11284</v>
      </c>
      <c r="AD630" s="1" t="s">
        <v>11285</v>
      </c>
      <c r="AE630" s="1" t="s">
        <v>11286</v>
      </c>
      <c r="AF630" s="1"/>
      <c r="AG630" s="1" t="n">
        <v>48</v>
      </c>
      <c r="AH630" s="1" t="n">
        <v>7</v>
      </c>
      <c r="AI630" s="1" t="n">
        <v>7</v>
      </c>
      <c r="AJ630" s="1" t="n">
        <v>0</v>
      </c>
      <c r="AK630" s="1" t="n">
        <v>1</v>
      </c>
      <c r="AL630" s="1" t="s">
        <v>106</v>
      </c>
      <c r="AM630" s="1" t="s">
        <v>95</v>
      </c>
      <c r="AN630" s="1" t="s">
        <v>122</v>
      </c>
      <c r="AO630" s="1" t="s">
        <v>11287</v>
      </c>
      <c r="AP630" s="1"/>
      <c r="AQ630" s="1" t="s">
        <v>11288</v>
      </c>
      <c r="AR630" s="1" t="s">
        <v>11289</v>
      </c>
      <c r="AS630" s="1"/>
      <c r="AT630" s="1"/>
      <c r="AU630" s="1" t="n">
        <v>2020</v>
      </c>
      <c r="AV630" s="1"/>
      <c r="AW630" s="1"/>
      <c r="AX630" s="1"/>
      <c r="AY630" s="1"/>
      <c r="AZ630" s="1"/>
      <c r="BA630" s="1"/>
      <c r="BB630" s="1" t="n">
        <v>882</v>
      </c>
      <c r="BC630" s="1" t="n">
        <v>891</v>
      </c>
      <c r="BD630" s="1"/>
      <c r="BE630" s="1" t="s">
        <v>11290</v>
      </c>
      <c r="BF630" s="1" t="str">
        <f aca="false">HYPERLINK("http://dx.doi.org/10.1109/COMPSAC48688.2020.0-154","http://dx.doi.org/10.1109/COMPSAC48688.2020.0-154")</f>
        <v>http://dx.doi.org/10.1109/COMPSAC48688.2020.0-154</v>
      </c>
      <c r="BG630" s="1"/>
      <c r="BH630" s="1"/>
      <c r="BI630" s="1" t="n">
        <v>10</v>
      </c>
      <c r="BJ630" s="1" t="s">
        <v>99</v>
      </c>
      <c r="BK630" s="1" t="s">
        <v>100</v>
      </c>
      <c r="BL630" s="1" t="s">
        <v>101</v>
      </c>
      <c r="BM630" s="1" t="s">
        <v>11291</v>
      </c>
      <c r="BN630" s="1"/>
      <c r="BO630" s="1"/>
      <c r="BP630" s="1"/>
      <c r="BQ630" s="1"/>
      <c r="BR630" s="1" t="s">
        <v>103</v>
      </c>
      <c r="BS630" s="1" t="s">
        <v>11292</v>
      </c>
      <c r="BT630" s="1" t="str">
        <f aca="false">HYPERLINK("https%3A%2F%2Fwww.webofscience.com%2Fwos%2Fwoscc%2Ffull-record%2FWOS:000629086600115","View Full Record in Web of Science")</f>
        <v>View Full Record in Web of Science</v>
      </c>
    </row>
    <row r="631" customFormat="false" ht="12.75" hidden="false" customHeight="false" outlineLevel="0" collapsed="false">
      <c r="A631" s="1" t="s">
        <v>181</v>
      </c>
      <c r="B631" s="1" t="s">
        <v>10257</v>
      </c>
      <c r="C631" s="1"/>
      <c r="D631" s="1"/>
      <c r="E631" s="1"/>
      <c r="F631" s="1" t="s">
        <v>10258</v>
      </c>
      <c r="G631" s="1"/>
      <c r="H631" s="1"/>
      <c r="I631" s="1" t="s">
        <v>11293</v>
      </c>
      <c r="J631" s="1" t="s">
        <v>10260</v>
      </c>
      <c r="K631" s="1"/>
      <c r="L631" s="1"/>
      <c r="M631" s="1" t="s">
        <v>78</v>
      </c>
      <c r="N631" s="1" t="s">
        <v>186</v>
      </c>
      <c r="O631" s="1"/>
      <c r="P631" s="1"/>
      <c r="Q631" s="1"/>
      <c r="R631" s="1"/>
      <c r="S631" s="1"/>
      <c r="T631" s="1" t="s">
        <v>11294</v>
      </c>
      <c r="U631" s="1" t="s">
        <v>11295</v>
      </c>
      <c r="V631" s="1" t="s">
        <v>11296</v>
      </c>
      <c r="W631" s="1" t="s">
        <v>11297</v>
      </c>
      <c r="X631" s="1" t="s">
        <v>10262</v>
      </c>
      <c r="Y631" s="1" t="s">
        <v>11298</v>
      </c>
      <c r="Z631" s="1" t="s">
        <v>11299</v>
      </c>
      <c r="AA631" s="1" t="s">
        <v>10263</v>
      </c>
      <c r="AB631" s="1"/>
      <c r="AC631" s="1" t="s">
        <v>11300</v>
      </c>
      <c r="AD631" s="1" t="s">
        <v>677</v>
      </c>
      <c r="AE631" s="1" t="s">
        <v>11301</v>
      </c>
      <c r="AF631" s="1"/>
      <c r="AG631" s="1" t="n">
        <v>36</v>
      </c>
      <c r="AH631" s="1" t="n">
        <v>1</v>
      </c>
      <c r="AI631" s="1" t="n">
        <v>1</v>
      </c>
      <c r="AJ631" s="1" t="n">
        <v>3</v>
      </c>
      <c r="AK631" s="1" t="n">
        <v>16</v>
      </c>
      <c r="AL631" s="1" t="s">
        <v>5232</v>
      </c>
      <c r="AM631" s="1" t="s">
        <v>894</v>
      </c>
      <c r="AN631" s="1" t="s">
        <v>5233</v>
      </c>
      <c r="AO631" s="1" t="s">
        <v>10264</v>
      </c>
      <c r="AP631" s="1" t="s">
        <v>10265</v>
      </c>
      <c r="AQ631" s="1"/>
      <c r="AR631" s="1" t="s">
        <v>10266</v>
      </c>
      <c r="AS631" s="1" t="s">
        <v>10267</v>
      </c>
      <c r="AT631" s="1"/>
      <c r="AU631" s="1" t="n">
        <v>2023</v>
      </c>
      <c r="AV631" s="1" t="n">
        <v>27</v>
      </c>
      <c r="AW631" s="1" t="n">
        <v>2</v>
      </c>
      <c r="AX631" s="1"/>
      <c r="AY631" s="1"/>
      <c r="AZ631" s="1"/>
      <c r="BA631" s="1"/>
      <c r="BB631" s="1" t="n">
        <v>535</v>
      </c>
      <c r="BC631" s="1" t="n">
        <v>554</v>
      </c>
      <c r="BD631" s="1"/>
      <c r="BE631" s="1" t="s">
        <v>11302</v>
      </c>
      <c r="BF631" s="1" t="str">
        <f aca="false">HYPERLINK("http://dx.doi.org/10.3233/IDA-216457","http://dx.doi.org/10.3233/IDA-216457")</f>
        <v>http://dx.doi.org/10.3233/IDA-216457</v>
      </c>
      <c r="BG631" s="1"/>
      <c r="BH631" s="1"/>
      <c r="BI631" s="1" t="n">
        <v>20</v>
      </c>
      <c r="BJ631" s="1" t="s">
        <v>1625</v>
      </c>
      <c r="BK631" s="1" t="s">
        <v>204</v>
      </c>
      <c r="BL631" s="1" t="s">
        <v>101</v>
      </c>
      <c r="BM631" s="1" t="s">
        <v>11303</v>
      </c>
      <c r="BN631" s="1"/>
      <c r="BO631" s="1" t="s">
        <v>282</v>
      </c>
      <c r="BP631" s="1"/>
      <c r="BQ631" s="1"/>
      <c r="BR631" s="1" t="s">
        <v>103</v>
      </c>
      <c r="BS631" s="1" t="s">
        <v>11304</v>
      </c>
      <c r="BT631" s="1" t="str">
        <f aca="false">HYPERLINK("https%3A%2F%2Fwww.webofscience.com%2Fwos%2Fwoscc%2Ffull-record%2FWOS:000970251100014","View Full Record in Web of Science")</f>
        <v>View Full Record in Web of Science</v>
      </c>
    </row>
    <row r="632" customFormat="false" ht="12.75" hidden="false" customHeight="false" outlineLevel="0" collapsed="false">
      <c r="A632" s="1" t="s">
        <v>181</v>
      </c>
      <c r="B632" s="1" t="s">
        <v>11305</v>
      </c>
      <c r="C632" s="1"/>
      <c r="D632" s="1"/>
      <c r="E632" s="1"/>
      <c r="F632" s="1" t="s">
        <v>11306</v>
      </c>
      <c r="G632" s="1"/>
      <c r="H632" s="1"/>
      <c r="I632" s="1" t="s">
        <v>11307</v>
      </c>
      <c r="J632" s="1" t="s">
        <v>11308</v>
      </c>
      <c r="K632" s="1"/>
      <c r="L632" s="1"/>
      <c r="M632" s="1" t="s">
        <v>78</v>
      </c>
      <c r="N632" s="1" t="s">
        <v>186</v>
      </c>
      <c r="O632" s="1"/>
      <c r="P632" s="1"/>
      <c r="Q632" s="1"/>
      <c r="R632" s="1"/>
      <c r="S632" s="1"/>
      <c r="T632" s="1" t="s">
        <v>11309</v>
      </c>
      <c r="U632" s="1" t="s">
        <v>11310</v>
      </c>
      <c r="V632" s="1" t="s">
        <v>11311</v>
      </c>
      <c r="W632" s="1" t="s">
        <v>11312</v>
      </c>
      <c r="X632" s="1" t="s">
        <v>7049</v>
      </c>
      <c r="Y632" s="1" t="s">
        <v>11313</v>
      </c>
      <c r="Z632" s="1" t="s">
        <v>11314</v>
      </c>
      <c r="AA632" s="1"/>
      <c r="AB632" s="1"/>
      <c r="AC632" s="1" t="s">
        <v>11315</v>
      </c>
      <c r="AD632" s="1" t="s">
        <v>11315</v>
      </c>
      <c r="AE632" s="1" t="s">
        <v>11316</v>
      </c>
      <c r="AF632" s="1"/>
      <c r="AG632" s="1" t="n">
        <v>37</v>
      </c>
      <c r="AH632" s="1" t="n">
        <v>0</v>
      </c>
      <c r="AI632" s="1" t="n">
        <v>0</v>
      </c>
      <c r="AJ632" s="1" t="n">
        <v>2</v>
      </c>
      <c r="AK632" s="1" t="n">
        <v>2</v>
      </c>
      <c r="AL632" s="1" t="s">
        <v>679</v>
      </c>
      <c r="AM632" s="1" t="s">
        <v>95</v>
      </c>
      <c r="AN632" s="1" t="s">
        <v>803</v>
      </c>
      <c r="AO632" s="1"/>
      <c r="AP632" s="1" t="s">
        <v>11317</v>
      </c>
      <c r="AQ632" s="1"/>
      <c r="AR632" s="1" t="s">
        <v>11318</v>
      </c>
      <c r="AS632" s="1" t="s">
        <v>11319</v>
      </c>
      <c r="AT632" s="1" t="s">
        <v>11320</v>
      </c>
      <c r="AU632" s="1" t="n">
        <v>2024</v>
      </c>
      <c r="AV632" s="1" t="n">
        <v>6</v>
      </c>
      <c r="AW632" s="1" t="n">
        <v>9</v>
      </c>
      <c r="AX632" s="1"/>
      <c r="AY632" s="1"/>
      <c r="AZ632" s="1"/>
      <c r="BA632" s="1"/>
      <c r="BB632" s="1"/>
      <c r="BC632" s="1"/>
      <c r="BD632" s="1" t="n">
        <v>456</v>
      </c>
      <c r="BE632" s="1" t="s">
        <v>11321</v>
      </c>
      <c r="BF632" s="1" t="str">
        <f aca="false">HYPERLINK("http://dx.doi.org/10.1007/s42452-024-06037-3","http://dx.doi.org/10.1007/s42452-024-06037-3")</f>
        <v>http://dx.doi.org/10.1007/s42452-024-06037-3</v>
      </c>
      <c r="BG632" s="1"/>
      <c r="BH632" s="1"/>
      <c r="BI632" s="1" t="n">
        <v>12</v>
      </c>
      <c r="BJ632" s="1" t="s">
        <v>6557</v>
      </c>
      <c r="BK632" s="1" t="s">
        <v>253</v>
      </c>
      <c r="BL632" s="1" t="s">
        <v>6558</v>
      </c>
      <c r="BM632" s="1" t="s">
        <v>11322</v>
      </c>
      <c r="BN632" s="1"/>
      <c r="BO632" s="1" t="s">
        <v>642</v>
      </c>
      <c r="BP632" s="1"/>
      <c r="BQ632" s="1"/>
      <c r="BR632" s="1" t="s">
        <v>103</v>
      </c>
      <c r="BS632" s="1" t="s">
        <v>11323</v>
      </c>
      <c r="BT632" s="1" t="str">
        <f aca="false">HYPERLINK("https%3A%2F%2Fwww.webofscience.com%2Fwos%2Fwoscc%2Ffull-record%2FWOS:001296619200001","View Full Record in Web of Science")</f>
        <v>View Full Record in Web of Science</v>
      </c>
    </row>
    <row r="633" customFormat="false" ht="12.75" hidden="false" customHeight="false" outlineLevel="0" collapsed="false">
      <c r="A633" s="1" t="s">
        <v>181</v>
      </c>
      <c r="B633" s="1" t="s">
        <v>11324</v>
      </c>
      <c r="C633" s="1"/>
      <c r="D633" s="1"/>
      <c r="E633" s="1"/>
      <c r="F633" s="1" t="s">
        <v>11325</v>
      </c>
      <c r="G633" s="1"/>
      <c r="H633" s="1"/>
      <c r="I633" s="1" t="s">
        <v>11326</v>
      </c>
      <c r="J633" s="1" t="s">
        <v>7724</v>
      </c>
      <c r="K633" s="1"/>
      <c r="L633" s="1"/>
      <c r="M633" s="1" t="s">
        <v>78</v>
      </c>
      <c r="N633" s="1" t="s">
        <v>186</v>
      </c>
      <c r="O633" s="1"/>
      <c r="P633" s="1"/>
      <c r="Q633" s="1"/>
      <c r="R633" s="1"/>
      <c r="S633" s="1"/>
      <c r="T633" s="1" t="s">
        <v>11327</v>
      </c>
      <c r="U633" s="1" t="s">
        <v>11328</v>
      </c>
      <c r="V633" s="1" t="s">
        <v>11329</v>
      </c>
      <c r="W633" s="1" t="s">
        <v>11330</v>
      </c>
      <c r="X633" s="1" t="s">
        <v>11331</v>
      </c>
      <c r="Y633" s="1" t="s">
        <v>5162</v>
      </c>
      <c r="Z633" s="1" t="s">
        <v>5163</v>
      </c>
      <c r="AA633" s="1" t="s">
        <v>11332</v>
      </c>
      <c r="AB633" s="1" t="s">
        <v>11333</v>
      </c>
      <c r="AC633" s="1" t="s">
        <v>11334</v>
      </c>
      <c r="AD633" s="1" t="s">
        <v>11335</v>
      </c>
      <c r="AE633" s="1" t="s">
        <v>11336</v>
      </c>
      <c r="AF633" s="1"/>
      <c r="AG633" s="1" t="n">
        <v>56</v>
      </c>
      <c r="AH633" s="1" t="n">
        <v>3</v>
      </c>
      <c r="AI633" s="1" t="n">
        <v>3</v>
      </c>
      <c r="AJ633" s="1" t="n">
        <v>8</v>
      </c>
      <c r="AK633" s="1" t="n">
        <v>19</v>
      </c>
      <c r="AL633" s="1" t="s">
        <v>1025</v>
      </c>
      <c r="AM633" s="1" t="s">
        <v>3615</v>
      </c>
      <c r="AN633" s="1" t="s">
        <v>3616</v>
      </c>
      <c r="AO633" s="1" t="s">
        <v>7735</v>
      </c>
      <c r="AP633" s="1" t="s">
        <v>7736</v>
      </c>
      <c r="AQ633" s="1"/>
      <c r="AR633" s="1" t="s">
        <v>7737</v>
      </c>
      <c r="AS633" s="1" t="s">
        <v>7738</v>
      </c>
      <c r="AT633" s="1" t="s">
        <v>808</v>
      </c>
      <c r="AU633" s="1" t="n">
        <v>2023</v>
      </c>
      <c r="AV633" s="1" t="n">
        <v>188</v>
      </c>
      <c r="AW633" s="1"/>
      <c r="AX633" s="1"/>
      <c r="AY633" s="1"/>
      <c r="AZ633" s="1"/>
      <c r="BA633" s="1"/>
      <c r="BB633" s="1"/>
      <c r="BC633" s="1"/>
      <c r="BD633" s="1" t="n">
        <v>110804</v>
      </c>
      <c r="BE633" s="1" t="s">
        <v>11337</v>
      </c>
      <c r="BF633" s="1" t="str">
        <f aca="false">HYPERLINK("http://dx.doi.org/10.1016/j.tws.2023.110804","http://dx.doi.org/10.1016/j.tws.2023.110804")</f>
        <v>http://dx.doi.org/10.1016/j.tws.2023.110804</v>
      </c>
      <c r="BG633" s="1"/>
      <c r="BH633" s="1" t="s">
        <v>5511</v>
      </c>
      <c r="BI633" s="1" t="n">
        <v>15</v>
      </c>
      <c r="BJ633" s="1" t="s">
        <v>7741</v>
      </c>
      <c r="BK633" s="1" t="s">
        <v>204</v>
      </c>
      <c r="BL633" s="1" t="s">
        <v>7742</v>
      </c>
      <c r="BM633" s="1" t="s">
        <v>11338</v>
      </c>
      <c r="BN633" s="1"/>
      <c r="BO633" s="1" t="s">
        <v>207</v>
      </c>
      <c r="BP633" s="1"/>
      <c r="BQ633" s="1"/>
      <c r="BR633" s="1" t="s">
        <v>103</v>
      </c>
      <c r="BS633" s="1" t="s">
        <v>11339</v>
      </c>
      <c r="BT633" s="1" t="str">
        <f aca="false">HYPERLINK("https%3A%2F%2Fwww.webofscience.com%2Fwos%2Fwoscc%2Ffull-record%2FWOS:001001901300001","View Full Record in Web of Science")</f>
        <v>View Full Record in Web of Science</v>
      </c>
    </row>
    <row r="634" customFormat="false" ht="12.75" hidden="false" customHeight="false" outlineLevel="0" collapsed="false">
      <c r="A634" s="1" t="s">
        <v>181</v>
      </c>
      <c r="B634" s="1" t="s">
        <v>11340</v>
      </c>
      <c r="C634" s="1"/>
      <c r="D634" s="1"/>
      <c r="E634" s="1"/>
      <c r="F634" s="1" t="s">
        <v>11341</v>
      </c>
      <c r="G634" s="1"/>
      <c r="H634" s="1"/>
      <c r="I634" s="1" t="s">
        <v>11342</v>
      </c>
      <c r="J634" s="1" t="s">
        <v>11343</v>
      </c>
      <c r="K634" s="1"/>
      <c r="L634" s="1"/>
      <c r="M634" s="1" t="s">
        <v>78</v>
      </c>
      <c r="N634" s="1" t="s">
        <v>186</v>
      </c>
      <c r="O634" s="1"/>
      <c r="P634" s="1"/>
      <c r="Q634" s="1"/>
      <c r="R634" s="1"/>
      <c r="S634" s="1"/>
      <c r="T634" s="1" t="s">
        <v>11344</v>
      </c>
      <c r="U634" s="1" t="s">
        <v>11345</v>
      </c>
      <c r="V634" s="1" t="s">
        <v>11346</v>
      </c>
      <c r="W634" s="1" t="s">
        <v>11347</v>
      </c>
      <c r="X634" s="1" t="s">
        <v>11348</v>
      </c>
      <c r="Y634" s="1" t="s">
        <v>4785</v>
      </c>
      <c r="Z634" s="1"/>
      <c r="AA634" s="1" t="s">
        <v>11349</v>
      </c>
      <c r="AB634" s="1" t="s">
        <v>11350</v>
      </c>
      <c r="AC634" s="1" t="s">
        <v>11351</v>
      </c>
      <c r="AD634" s="1" t="s">
        <v>11351</v>
      </c>
      <c r="AE634" s="1" t="s">
        <v>11352</v>
      </c>
      <c r="AF634" s="1"/>
      <c r="AG634" s="1" t="n">
        <v>65</v>
      </c>
      <c r="AH634" s="1" t="n">
        <v>0</v>
      </c>
      <c r="AI634" s="1" t="n">
        <v>0</v>
      </c>
      <c r="AJ634" s="1" t="n">
        <v>1</v>
      </c>
      <c r="AK634" s="1" t="n">
        <v>7</v>
      </c>
      <c r="AL634" s="1" t="s">
        <v>5685</v>
      </c>
      <c r="AM634" s="1" t="s">
        <v>11353</v>
      </c>
      <c r="AN634" s="1" t="s">
        <v>11354</v>
      </c>
      <c r="AO634" s="1" t="s">
        <v>11355</v>
      </c>
      <c r="AP634" s="1"/>
      <c r="AQ634" s="1"/>
      <c r="AR634" s="1" t="s">
        <v>11356</v>
      </c>
      <c r="AS634" s="1"/>
      <c r="AT634" s="1" t="s">
        <v>11357</v>
      </c>
      <c r="AU634" s="1" t="n">
        <v>2023</v>
      </c>
      <c r="AV634" s="1" t="n">
        <v>50</v>
      </c>
      <c r="AW634" s="1" t="n">
        <v>4</v>
      </c>
      <c r="AX634" s="1"/>
      <c r="AY634" s="1"/>
      <c r="AZ634" s="1"/>
      <c r="BA634" s="1"/>
      <c r="BB634" s="1" t="n">
        <v>718</v>
      </c>
      <c r="BC634" s="1" t="n">
        <v>733</v>
      </c>
      <c r="BD634" s="1"/>
      <c r="BE634" s="1" t="s">
        <v>11358</v>
      </c>
      <c r="BF634" s="1" t="str">
        <f aca="false">HYPERLINK("http://dx.doi.org/10.1108/JES-12-2021-0605","http://dx.doi.org/10.1108/JES-12-2021-0605")</f>
        <v>http://dx.doi.org/10.1108/JES-12-2021-0605</v>
      </c>
      <c r="BG634" s="1"/>
      <c r="BH634" s="1" t="s">
        <v>1701</v>
      </c>
      <c r="BI634" s="1" t="n">
        <v>16</v>
      </c>
      <c r="BJ634" s="1" t="s">
        <v>3680</v>
      </c>
      <c r="BK634" s="1" t="s">
        <v>253</v>
      </c>
      <c r="BL634" s="1" t="s">
        <v>715</v>
      </c>
      <c r="BM634" s="1" t="s">
        <v>11359</v>
      </c>
      <c r="BN634" s="1"/>
      <c r="BO634" s="1" t="s">
        <v>1373</v>
      </c>
      <c r="BP634" s="1"/>
      <c r="BQ634" s="1"/>
      <c r="BR634" s="1" t="s">
        <v>103</v>
      </c>
      <c r="BS634" s="1" t="s">
        <v>11360</v>
      </c>
      <c r="BT634" s="1" t="str">
        <f aca="false">HYPERLINK("https%3A%2F%2Fwww.webofscience.com%2Fwos%2Fwoscc%2Ffull-record%2FWOS:000825632300001","View Full Record in Web of Science")</f>
        <v>View Full Record in Web of Science</v>
      </c>
    </row>
    <row r="635" customFormat="false" ht="12.75" hidden="false" customHeight="false" outlineLevel="0" collapsed="false">
      <c r="A635" s="1" t="s">
        <v>181</v>
      </c>
      <c r="B635" s="1" t="s">
        <v>11361</v>
      </c>
      <c r="C635" s="1"/>
      <c r="D635" s="1"/>
      <c r="E635" s="1"/>
      <c r="F635" s="1" t="s">
        <v>11362</v>
      </c>
      <c r="G635" s="1"/>
      <c r="H635" s="1"/>
      <c r="I635" s="1" t="s">
        <v>11363</v>
      </c>
      <c r="J635" s="1" t="s">
        <v>11364</v>
      </c>
      <c r="K635" s="1"/>
      <c r="L635" s="1"/>
      <c r="M635" s="1" t="s">
        <v>78</v>
      </c>
      <c r="N635" s="1" t="s">
        <v>186</v>
      </c>
      <c r="O635" s="1"/>
      <c r="P635" s="1"/>
      <c r="Q635" s="1"/>
      <c r="R635" s="1"/>
      <c r="S635" s="1"/>
      <c r="T635" s="1" t="s">
        <v>11365</v>
      </c>
      <c r="U635" s="1" t="s">
        <v>11366</v>
      </c>
      <c r="V635" s="1" t="s">
        <v>11367</v>
      </c>
      <c r="W635" s="1" t="s">
        <v>11368</v>
      </c>
      <c r="X635" s="1" t="s">
        <v>86</v>
      </c>
      <c r="Y635" s="1" t="s">
        <v>11369</v>
      </c>
      <c r="Z635" s="1" t="s">
        <v>11370</v>
      </c>
      <c r="AA635" s="1"/>
      <c r="AB635" s="1"/>
      <c r="AC635" s="1" t="s">
        <v>11371</v>
      </c>
      <c r="AD635" s="1" t="s">
        <v>11372</v>
      </c>
      <c r="AE635" s="1" t="s">
        <v>11373</v>
      </c>
      <c r="AF635" s="1"/>
      <c r="AG635" s="1" t="n">
        <v>18</v>
      </c>
      <c r="AH635" s="1" t="n">
        <v>0</v>
      </c>
      <c r="AI635" s="1" t="n">
        <v>0</v>
      </c>
      <c r="AJ635" s="1" t="n">
        <v>1</v>
      </c>
      <c r="AK635" s="1" t="n">
        <v>17</v>
      </c>
      <c r="AL635" s="1" t="s">
        <v>600</v>
      </c>
      <c r="AM635" s="1" t="s">
        <v>601</v>
      </c>
      <c r="AN635" s="1" t="s">
        <v>602</v>
      </c>
      <c r="AO635" s="1" t="s">
        <v>11374</v>
      </c>
      <c r="AP635" s="1" t="s">
        <v>11375</v>
      </c>
      <c r="AQ635" s="1"/>
      <c r="AR635" s="1" t="s">
        <v>11376</v>
      </c>
      <c r="AS635" s="1" t="s">
        <v>11377</v>
      </c>
      <c r="AT635" s="1" t="s">
        <v>1453</v>
      </c>
      <c r="AU635" s="1" t="n">
        <v>2022</v>
      </c>
      <c r="AV635" s="1" t="n">
        <v>32</v>
      </c>
      <c r="AW635" s="1" t="n">
        <v>1</v>
      </c>
      <c r="AX635" s="1"/>
      <c r="AY635" s="1"/>
      <c r="AZ635" s="1"/>
      <c r="BA635" s="1"/>
      <c r="BB635" s="1"/>
      <c r="BC635" s="1"/>
      <c r="BD635" s="1" t="s">
        <v>11378</v>
      </c>
      <c r="BE635" s="1" t="s">
        <v>11379</v>
      </c>
      <c r="BF635" s="1" t="str">
        <f aca="false">HYPERLINK("http://dx.doi.org/10.1002/mmce.22936","http://dx.doi.org/10.1002/mmce.22936")</f>
        <v>http://dx.doi.org/10.1002/mmce.22936</v>
      </c>
      <c r="BG635" s="1"/>
      <c r="BH635" s="1" t="s">
        <v>4153</v>
      </c>
      <c r="BI635" s="1" t="n">
        <v>9</v>
      </c>
      <c r="BJ635" s="1" t="s">
        <v>5008</v>
      </c>
      <c r="BK635" s="1" t="s">
        <v>204</v>
      </c>
      <c r="BL635" s="1" t="s">
        <v>1255</v>
      </c>
      <c r="BM635" s="1" t="s">
        <v>11380</v>
      </c>
      <c r="BN635" s="1"/>
      <c r="BO635" s="1" t="s">
        <v>642</v>
      </c>
      <c r="BP635" s="1"/>
      <c r="BQ635" s="1"/>
      <c r="BR635" s="1" t="s">
        <v>103</v>
      </c>
      <c r="BS635" s="1" t="s">
        <v>11381</v>
      </c>
      <c r="BT635" s="1" t="str">
        <f aca="false">HYPERLINK("https%3A%2F%2Fwww.webofscience.com%2Fwos%2Fwoscc%2Ffull-record%2FWOS:000704290300001","View Full Record in Web of Science")</f>
        <v>View Full Record in Web of Science</v>
      </c>
    </row>
    <row r="636" customFormat="false" ht="12.75" hidden="false" customHeight="false" outlineLevel="0" collapsed="false">
      <c r="A636" s="1" t="s">
        <v>181</v>
      </c>
      <c r="B636" s="1" t="s">
        <v>11382</v>
      </c>
      <c r="C636" s="1"/>
      <c r="D636" s="1"/>
      <c r="E636" s="1"/>
      <c r="F636" s="1" t="s">
        <v>10926</v>
      </c>
      <c r="G636" s="1"/>
      <c r="H636" s="1"/>
      <c r="I636" s="1" t="s">
        <v>11383</v>
      </c>
      <c r="J636" s="1" t="s">
        <v>10237</v>
      </c>
      <c r="K636" s="1"/>
      <c r="L636" s="1"/>
      <c r="M636" s="1" t="s">
        <v>78</v>
      </c>
      <c r="N636" s="1" t="s">
        <v>907</v>
      </c>
      <c r="O636" s="1"/>
      <c r="P636" s="1"/>
      <c r="Q636" s="1"/>
      <c r="R636" s="1"/>
      <c r="S636" s="1"/>
      <c r="T636" s="1" t="s">
        <v>11384</v>
      </c>
      <c r="U636" s="1" t="s">
        <v>11385</v>
      </c>
      <c r="V636" s="1" t="s">
        <v>11386</v>
      </c>
      <c r="W636" s="1" t="s">
        <v>11387</v>
      </c>
      <c r="X636" s="1" t="s">
        <v>10933</v>
      </c>
      <c r="Y636" s="1" t="s">
        <v>11388</v>
      </c>
      <c r="Z636" s="1" t="s">
        <v>11389</v>
      </c>
      <c r="AA636" s="1" t="s">
        <v>10245</v>
      </c>
      <c r="AB636" s="1" t="s">
        <v>11390</v>
      </c>
      <c r="AC636" s="1" t="s">
        <v>11391</v>
      </c>
      <c r="AD636" s="1" t="s">
        <v>11391</v>
      </c>
      <c r="AE636" s="1" t="s">
        <v>11392</v>
      </c>
      <c r="AF636" s="1"/>
      <c r="AG636" s="1" t="n">
        <v>57</v>
      </c>
      <c r="AH636" s="1" t="n">
        <v>0</v>
      </c>
      <c r="AI636" s="1" t="n">
        <v>0</v>
      </c>
      <c r="AJ636" s="1" t="n">
        <v>2</v>
      </c>
      <c r="AK636" s="1" t="n">
        <v>2</v>
      </c>
      <c r="AL636" s="1" t="s">
        <v>600</v>
      </c>
      <c r="AM636" s="1" t="s">
        <v>601</v>
      </c>
      <c r="AN636" s="1" t="s">
        <v>602</v>
      </c>
      <c r="AO636" s="1" t="s">
        <v>10249</v>
      </c>
      <c r="AP636" s="1" t="s">
        <v>10250</v>
      </c>
      <c r="AQ636" s="1"/>
      <c r="AR636" s="1" t="s">
        <v>10251</v>
      </c>
      <c r="AS636" s="1" t="s">
        <v>10252</v>
      </c>
      <c r="AT636" s="1" t="s">
        <v>11393</v>
      </c>
      <c r="AU636" s="1" t="n">
        <v>2024</v>
      </c>
      <c r="AV636" s="1"/>
      <c r="AW636" s="1"/>
      <c r="AX636" s="1"/>
      <c r="AY636" s="1"/>
      <c r="AZ636" s="1"/>
      <c r="BA636" s="1"/>
      <c r="BB636" s="1"/>
      <c r="BC636" s="1"/>
      <c r="BD636" s="1"/>
      <c r="BE636" s="1" t="s">
        <v>11394</v>
      </c>
      <c r="BF636" s="1" t="str">
        <f aca="false">HYPERLINK("http://dx.doi.org/10.1111/idh.12846","http://dx.doi.org/10.1111/idh.12846")</f>
        <v>http://dx.doi.org/10.1111/idh.12846</v>
      </c>
      <c r="BG636" s="1"/>
      <c r="BH636" s="1" t="s">
        <v>5135</v>
      </c>
      <c r="BI636" s="1" t="n">
        <v>9</v>
      </c>
      <c r="BJ636" s="1" t="s">
        <v>4910</v>
      </c>
      <c r="BK636" s="1" t="s">
        <v>204</v>
      </c>
      <c r="BL636" s="1" t="s">
        <v>4910</v>
      </c>
      <c r="BM636" s="1" t="s">
        <v>11395</v>
      </c>
      <c r="BN636" s="1" t="n">
        <v>39415329</v>
      </c>
      <c r="BO636" s="1" t="s">
        <v>282</v>
      </c>
      <c r="BP636" s="1"/>
      <c r="BQ636" s="1"/>
      <c r="BR636" s="1" t="s">
        <v>103</v>
      </c>
      <c r="BS636" s="1" t="s">
        <v>11396</v>
      </c>
      <c r="BT636" s="1" t="str">
        <f aca="false">HYPERLINK("https%3A%2F%2Fwww.webofscience.com%2Fwos%2Fwoscc%2Ffull-record%2FWOS:001336168800001","View Full Record in Web of Science")</f>
        <v>View Full Record in Web of Science</v>
      </c>
    </row>
    <row r="637" customFormat="false" ht="12.75" hidden="false" customHeight="false" outlineLevel="0" collapsed="false">
      <c r="A637" s="1" t="s">
        <v>181</v>
      </c>
      <c r="B637" s="1" t="s">
        <v>11397</v>
      </c>
      <c r="C637" s="1"/>
      <c r="D637" s="1"/>
      <c r="E637" s="1"/>
      <c r="F637" s="1" t="s">
        <v>11398</v>
      </c>
      <c r="G637" s="1"/>
      <c r="H637" s="1"/>
      <c r="I637" s="1" t="s">
        <v>11399</v>
      </c>
      <c r="J637" s="1" t="s">
        <v>671</v>
      </c>
      <c r="K637" s="1"/>
      <c r="L637" s="1"/>
      <c r="M637" s="1" t="s">
        <v>78</v>
      </c>
      <c r="N637" s="1" t="s">
        <v>618</v>
      </c>
      <c r="O637" s="1"/>
      <c r="P637" s="1"/>
      <c r="Q637" s="1"/>
      <c r="R637" s="1"/>
      <c r="S637" s="1"/>
      <c r="T637" s="1" t="s">
        <v>11400</v>
      </c>
      <c r="U637" s="1" t="s">
        <v>11401</v>
      </c>
      <c r="V637" s="1" t="s">
        <v>11402</v>
      </c>
      <c r="W637" s="1" t="s">
        <v>11403</v>
      </c>
      <c r="X637" s="1" t="s">
        <v>11404</v>
      </c>
      <c r="Y637" s="1" t="s">
        <v>11405</v>
      </c>
      <c r="Z637" s="1" t="s">
        <v>11406</v>
      </c>
      <c r="AA637" s="1" t="s">
        <v>11407</v>
      </c>
      <c r="AB637" s="1" t="s">
        <v>11408</v>
      </c>
      <c r="AC637" s="1" t="s">
        <v>11409</v>
      </c>
      <c r="AD637" s="1" t="s">
        <v>11409</v>
      </c>
      <c r="AE637" s="1" t="s">
        <v>11410</v>
      </c>
      <c r="AF637" s="1"/>
      <c r="AG637" s="1" t="n">
        <v>63</v>
      </c>
      <c r="AH637" s="1" t="n">
        <v>2</v>
      </c>
      <c r="AI637" s="1" t="n">
        <v>2</v>
      </c>
      <c r="AJ637" s="1" t="n">
        <v>3</v>
      </c>
      <c r="AK637" s="1" t="n">
        <v>9</v>
      </c>
      <c r="AL637" s="1" t="s">
        <v>679</v>
      </c>
      <c r="AM637" s="1" t="s">
        <v>680</v>
      </c>
      <c r="AN637" s="1" t="s">
        <v>681</v>
      </c>
      <c r="AO637" s="1" t="s">
        <v>682</v>
      </c>
      <c r="AP637" s="1" t="s">
        <v>683</v>
      </c>
      <c r="AQ637" s="1"/>
      <c r="AR637" s="1" t="s">
        <v>684</v>
      </c>
      <c r="AS637" s="1" t="s">
        <v>685</v>
      </c>
      <c r="AT637" s="1" t="s">
        <v>277</v>
      </c>
      <c r="AU637" s="1" t="n">
        <v>2023</v>
      </c>
      <c r="AV637" s="1" t="n">
        <v>28</v>
      </c>
      <c r="AW637" s="1" t="n">
        <v>2</v>
      </c>
      <c r="AX637" s="1"/>
      <c r="AY637" s="1"/>
      <c r="AZ637" s="1"/>
      <c r="BA637" s="1"/>
      <c r="BB637" s="1"/>
      <c r="BC637" s="1"/>
      <c r="BD637" s="1" t="n">
        <v>51</v>
      </c>
      <c r="BE637" s="1" t="s">
        <v>11411</v>
      </c>
      <c r="BF637" s="1" t="str">
        <f aca="false">HYPERLINK("http://dx.doi.org/10.1007/s10664-023-10288-w","http://dx.doi.org/10.1007/s10664-023-10288-w")</f>
        <v>http://dx.doi.org/10.1007/s10664-023-10288-w</v>
      </c>
      <c r="BG637" s="1"/>
      <c r="BH637" s="1"/>
      <c r="BI637" s="1" t="n">
        <v>38</v>
      </c>
      <c r="BJ637" s="1" t="s">
        <v>252</v>
      </c>
      <c r="BK637" s="1" t="s">
        <v>204</v>
      </c>
      <c r="BL637" s="1" t="s">
        <v>101</v>
      </c>
      <c r="BM637" s="1" t="s">
        <v>11412</v>
      </c>
      <c r="BN637" s="1" t="n">
        <v>36875006</v>
      </c>
      <c r="BO637" s="1" t="s">
        <v>207</v>
      </c>
      <c r="BP637" s="1"/>
      <c r="BQ637" s="1"/>
      <c r="BR637" s="1" t="s">
        <v>103</v>
      </c>
      <c r="BS637" s="1" t="s">
        <v>11413</v>
      </c>
      <c r="BT637" s="1" t="str">
        <f aca="false">HYPERLINK("https%3A%2F%2Fwww.webofscience.com%2Fwos%2Fwoscc%2Ffull-record%2FWOS:000941140100001","View Full Record in Web of Science")</f>
        <v>View Full Record in Web of Science</v>
      </c>
    </row>
    <row r="638" customFormat="false" ht="12.75" hidden="false" customHeight="false" outlineLevel="0" collapsed="false">
      <c r="A638" s="1" t="s">
        <v>181</v>
      </c>
      <c r="B638" s="1" t="s">
        <v>11414</v>
      </c>
      <c r="C638" s="1"/>
      <c r="D638" s="1"/>
      <c r="E638" s="1"/>
      <c r="F638" s="1" t="s">
        <v>11415</v>
      </c>
      <c r="G638" s="1"/>
      <c r="H638" s="1"/>
      <c r="I638" s="1" t="s">
        <v>11416</v>
      </c>
      <c r="J638" s="1" t="s">
        <v>11417</v>
      </c>
      <c r="K638" s="1"/>
      <c r="L638" s="1"/>
      <c r="M638" s="1" t="s">
        <v>78</v>
      </c>
      <c r="N638" s="1" t="s">
        <v>186</v>
      </c>
      <c r="O638" s="1"/>
      <c r="P638" s="1"/>
      <c r="Q638" s="1"/>
      <c r="R638" s="1"/>
      <c r="S638" s="1"/>
      <c r="T638" s="1" t="s">
        <v>11418</v>
      </c>
      <c r="U638" s="1" t="s">
        <v>11419</v>
      </c>
      <c r="V638" s="1" t="s">
        <v>11420</v>
      </c>
      <c r="W638" s="1" t="s">
        <v>11421</v>
      </c>
      <c r="X638" s="1" t="s">
        <v>11422</v>
      </c>
      <c r="Y638" s="1" t="s">
        <v>11423</v>
      </c>
      <c r="Z638" s="1" t="s">
        <v>11424</v>
      </c>
      <c r="AA638" s="1" t="s">
        <v>11425</v>
      </c>
      <c r="AB638" s="1" t="s">
        <v>11426</v>
      </c>
      <c r="AC638" s="1" t="s">
        <v>11427</v>
      </c>
      <c r="AD638" s="1" t="s">
        <v>11428</v>
      </c>
      <c r="AE638" s="1" t="s">
        <v>11429</v>
      </c>
      <c r="AF638" s="1"/>
      <c r="AG638" s="1" t="n">
        <v>162</v>
      </c>
      <c r="AH638" s="1" t="n">
        <v>10</v>
      </c>
      <c r="AI638" s="1" t="n">
        <v>10</v>
      </c>
      <c r="AJ638" s="1" t="n">
        <v>5</v>
      </c>
      <c r="AK638" s="1" t="n">
        <v>28</v>
      </c>
      <c r="AL638" s="1" t="s">
        <v>270</v>
      </c>
      <c r="AM638" s="1" t="s">
        <v>271</v>
      </c>
      <c r="AN638" s="1" t="s">
        <v>272</v>
      </c>
      <c r="AO638" s="1" t="s">
        <v>11430</v>
      </c>
      <c r="AP638" s="1" t="s">
        <v>11431</v>
      </c>
      <c r="AQ638" s="1"/>
      <c r="AR638" s="1" t="s">
        <v>11432</v>
      </c>
      <c r="AS638" s="1" t="s">
        <v>11433</v>
      </c>
      <c r="AT638" s="1" t="s">
        <v>1391</v>
      </c>
      <c r="AU638" s="1" t="n">
        <v>2023</v>
      </c>
      <c r="AV638" s="1" t="n">
        <v>17</v>
      </c>
      <c r="AW638" s="1" t="n">
        <v>8</v>
      </c>
      <c r="AX638" s="1"/>
      <c r="AY638" s="1"/>
      <c r="AZ638" s="1"/>
      <c r="BA638" s="1"/>
      <c r="BB638" s="1" t="n">
        <v>2797</v>
      </c>
      <c r="BC638" s="1" t="n">
        <v>2830</v>
      </c>
      <c r="BD638" s="1"/>
      <c r="BE638" s="1" t="s">
        <v>11434</v>
      </c>
      <c r="BF638" s="1" t="str">
        <f aca="false">HYPERLINK("http://dx.doi.org/10.1007/s11846-022-00602-z","http://dx.doi.org/10.1007/s11846-022-00602-z")</f>
        <v>http://dx.doi.org/10.1007/s11846-022-00602-z</v>
      </c>
      <c r="BG638" s="1"/>
      <c r="BH638" s="1" t="s">
        <v>279</v>
      </c>
      <c r="BI638" s="1" t="n">
        <v>34</v>
      </c>
      <c r="BJ638" s="1" t="s">
        <v>714</v>
      </c>
      <c r="BK638" s="1" t="s">
        <v>610</v>
      </c>
      <c r="BL638" s="1" t="s">
        <v>715</v>
      </c>
      <c r="BM638" s="1" t="s">
        <v>11435</v>
      </c>
      <c r="BN638" s="1"/>
      <c r="BO638" s="1" t="s">
        <v>207</v>
      </c>
      <c r="BP638" s="1"/>
      <c r="BQ638" s="1"/>
      <c r="BR638" s="1" t="s">
        <v>103</v>
      </c>
      <c r="BS638" s="1" t="s">
        <v>11436</v>
      </c>
      <c r="BT638" s="1" t="str">
        <f aca="false">HYPERLINK("https%3A%2F%2Fwww.webofscience.com%2Fwos%2Fwoscc%2Ffull-record%2FWOS:000885416300001","View Full Record in Web of Science")</f>
        <v>View Full Record in Web of Science</v>
      </c>
    </row>
    <row r="639" customFormat="false" ht="12.75" hidden="false" customHeight="false" outlineLevel="0" collapsed="false">
      <c r="A639" s="1" t="s">
        <v>181</v>
      </c>
      <c r="B639" s="1" t="s">
        <v>11437</v>
      </c>
      <c r="C639" s="1"/>
      <c r="D639" s="1"/>
      <c r="E639" s="1"/>
      <c r="F639" s="1" t="s">
        <v>11438</v>
      </c>
      <c r="G639" s="1"/>
      <c r="H639" s="1"/>
      <c r="I639" s="1" t="s">
        <v>11439</v>
      </c>
      <c r="J639" s="1" t="s">
        <v>381</v>
      </c>
      <c r="K639" s="1"/>
      <c r="L639" s="1"/>
      <c r="M639" s="1" t="s">
        <v>78</v>
      </c>
      <c r="N639" s="1" t="s">
        <v>186</v>
      </c>
      <c r="O639" s="1"/>
      <c r="P639" s="1"/>
      <c r="Q639" s="1"/>
      <c r="R639" s="1"/>
      <c r="S639" s="1"/>
      <c r="T639" s="1" t="s">
        <v>11440</v>
      </c>
      <c r="U639" s="1" t="s">
        <v>11441</v>
      </c>
      <c r="V639" s="1" t="s">
        <v>11442</v>
      </c>
      <c r="W639" s="1" t="s">
        <v>11443</v>
      </c>
      <c r="X639" s="1" t="s">
        <v>11444</v>
      </c>
      <c r="Y639" s="1" t="s">
        <v>11445</v>
      </c>
      <c r="Z639" s="1" t="s">
        <v>11446</v>
      </c>
      <c r="AA639" s="1"/>
      <c r="AB639" s="1" t="s">
        <v>11447</v>
      </c>
      <c r="AC639" s="1" t="s">
        <v>11448</v>
      </c>
      <c r="AD639" s="1" t="s">
        <v>11449</v>
      </c>
      <c r="AE639" s="1" t="s">
        <v>11450</v>
      </c>
      <c r="AF639" s="1"/>
      <c r="AG639" s="1" t="n">
        <v>64</v>
      </c>
      <c r="AH639" s="1" t="n">
        <v>7</v>
      </c>
      <c r="AI639" s="1" t="n">
        <v>8</v>
      </c>
      <c r="AJ639" s="1" t="n">
        <v>0</v>
      </c>
      <c r="AK639" s="1" t="n">
        <v>23</v>
      </c>
      <c r="AL639" s="1" t="s">
        <v>367</v>
      </c>
      <c r="AM639" s="1" t="s">
        <v>368</v>
      </c>
      <c r="AN639" s="1" t="s">
        <v>369</v>
      </c>
      <c r="AO639" s="1"/>
      <c r="AP639" s="1" t="s">
        <v>393</v>
      </c>
      <c r="AQ639" s="1"/>
      <c r="AR639" s="1" t="s">
        <v>394</v>
      </c>
      <c r="AS639" s="1" t="s">
        <v>395</v>
      </c>
      <c r="AT639" s="1" t="s">
        <v>754</v>
      </c>
      <c r="AU639" s="1" t="n">
        <v>2020</v>
      </c>
      <c r="AV639" s="1" t="n">
        <v>12</v>
      </c>
      <c r="AW639" s="1" t="n">
        <v>9</v>
      </c>
      <c r="AX639" s="1"/>
      <c r="AY639" s="1"/>
      <c r="AZ639" s="1"/>
      <c r="BA639" s="1"/>
      <c r="BB639" s="1"/>
      <c r="BC639" s="1"/>
      <c r="BD639" s="1" t="n">
        <v>3533</v>
      </c>
      <c r="BE639" s="1" t="s">
        <v>11451</v>
      </c>
      <c r="BF639" s="1" t="str">
        <f aca="false">HYPERLINK("http://dx.doi.org/10.3390/su12093533","http://dx.doi.org/10.3390/su12093533")</f>
        <v>http://dx.doi.org/10.3390/su12093533</v>
      </c>
      <c r="BG639" s="1"/>
      <c r="BH639" s="1"/>
      <c r="BI639" s="1" t="n">
        <v>15</v>
      </c>
      <c r="BJ639" s="1" t="s">
        <v>397</v>
      </c>
      <c r="BK639" s="1" t="s">
        <v>398</v>
      </c>
      <c r="BL639" s="1" t="s">
        <v>399</v>
      </c>
      <c r="BM639" s="1" t="s">
        <v>11452</v>
      </c>
      <c r="BN639" s="1"/>
      <c r="BO639" s="1" t="s">
        <v>401</v>
      </c>
      <c r="BP639" s="1"/>
      <c r="BQ639" s="1"/>
      <c r="BR639" s="1" t="s">
        <v>103</v>
      </c>
      <c r="BS639" s="1" t="s">
        <v>11453</v>
      </c>
      <c r="BT639" s="1" t="str">
        <f aca="false">HYPERLINK("https%3A%2F%2Fwww.webofscience.com%2Fwos%2Fwoscc%2Ffull-record%2FWOS:000537476200032","View Full Record in Web of Science")</f>
        <v>View Full Record in Web of Science</v>
      </c>
    </row>
    <row r="640" customFormat="false" ht="12.75" hidden="false" customHeight="false" outlineLevel="0" collapsed="false">
      <c r="A640" s="1" t="s">
        <v>181</v>
      </c>
      <c r="B640" s="1" t="s">
        <v>11454</v>
      </c>
      <c r="C640" s="1"/>
      <c r="D640" s="1"/>
      <c r="E640" s="1"/>
      <c r="F640" s="1" t="s">
        <v>11455</v>
      </c>
      <c r="G640" s="1"/>
      <c r="H640" s="1"/>
      <c r="I640" s="1" t="s">
        <v>11456</v>
      </c>
      <c r="J640" s="1" t="s">
        <v>4875</v>
      </c>
      <c r="K640" s="1"/>
      <c r="L640" s="1"/>
      <c r="M640" s="1" t="s">
        <v>78</v>
      </c>
      <c r="N640" s="1" t="s">
        <v>186</v>
      </c>
      <c r="O640" s="1"/>
      <c r="P640" s="1"/>
      <c r="Q640" s="1"/>
      <c r="R640" s="1"/>
      <c r="S640" s="1"/>
      <c r="T640" s="1" t="s">
        <v>11457</v>
      </c>
      <c r="U640" s="1" t="s">
        <v>672</v>
      </c>
      <c r="V640" s="1" t="s">
        <v>11458</v>
      </c>
      <c r="W640" s="1" t="s">
        <v>11459</v>
      </c>
      <c r="X640" s="1" t="s">
        <v>11460</v>
      </c>
      <c r="Y640" s="1" t="s">
        <v>8078</v>
      </c>
      <c r="Z640" s="1" t="s">
        <v>11461</v>
      </c>
      <c r="AA640" s="1"/>
      <c r="AB640" s="1" t="s">
        <v>11462</v>
      </c>
      <c r="AC640" s="1"/>
      <c r="AD640" s="1"/>
      <c r="AE640" s="1"/>
      <c r="AF640" s="1"/>
      <c r="AG640" s="1" t="n">
        <v>15</v>
      </c>
      <c r="AH640" s="1" t="n">
        <v>2</v>
      </c>
      <c r="AI640" s="1" t="n">
        <v>3</v>
      </c>
      <c r="AJ640" s="1" t="n">
        <v>0</v>
      </c>
      <c r="AK640" s="1" t="n">
        <v>9</v>
      </c>
      <c r="AL640" s="1" t="s">
        <v>172</v>
      </c>
      <c r="AM640" s="1" t="s">
        <v>173</v>
      </c>
      <c r="AN640" s="1" t="s">
        <v>4882</v>
      </c>
      <c r="AO640" s="1" t="s">
        <v>4883</v>
      </c>
      <c r="AP640" s="1" t="s">
        <v>4884</v>
      </c>
      <c r="AQ640" s="1"/>
      <c r="AR640" s="1" t="s">
        <v>4875</v>
      </c>
      <c r="AS640" s="1" t="s">
        <v>4885</v>
      </c>
      <c r="AT640" s="1" t="s">
        <v>8809</v>
      </c>
      <c r="AU640" s="1" t="n">
        <v>2020</v>
      </c>
      <c r="AV640" s="1" t="n">
        <v>37</v>
      </c>
      <c r="AW640" s="1" t="n">
        <v>3</v>
      </c>
      <c r="AX640" s="1"/>
      <c r="AY640" s="1"/>
      <c r="AZ640" s="1"/>
      <c r="BA640" s="1"/>
      <c r="BB640" s="1" t="n">
        <v>54</v>
      </c>
      <c r="BC640" s="1" t="n">
        <v>62</v>
      </c>
      <c r="BD640" s="1"/>
      <c r="BE640" s="1" t="s">
        <v>11463</v>
      </c>
      <c r="BF640" s="1" t="str">
        <f aca="false">HYPERLINK("http://dx.doi.org/10.1109/MS.2018.2886179","http://dx.doi.org/10.1109/MS.2018.2886179")</f>
        <v>http://dx.doi.org/10.1109/MS.2018.2886179</v>
      </c>
      <c r="BG640" s="1"/>
      <c r="BH640" s="1"/>
      <c r="BI640" s="1" t="n">
        <v>9</v>
      </c>
      <c r="BJ640" s="1" t="s">
        <v>252</v>
      </c>
      <c r="BK640" s="1" t="s">
        <v>398</v>
      </c>
      <c r="BL640" s="1" t="s">
        <v>101</v>
      </c>
      <c r="BM640" s="1" t="s">
        <v>11464</v>
      </c>
      <c r="BN640" s="1"/>
      <c r="BO640" s="1"/>
      <c r="BP640" s="1"/>
      <c r="BQ640" s="1"/>
      <c r="BR640" s="1" t="s">
        <v>103</v>
      </c>
      <c r="BS640" s="1" t="s">
        <v>11465</v>
      </c>
      <c r="BT640" s="1" t="str">
        <f aca="false">HYPERLINK("https%3A%2F%2Fwww.webofscience.com%2Fwos%2Fwoscc%2Ffull-record%2FWOS:000528835000008","View Full Record in Web of Science")</f>
        <v>View Full Record in Web of Science</v>
      </c>
    </row>
    <row r="641" customFormat="false" ht="12.75" hidden="false" customHeight="false" outlineLevel="0" collapsed="false">
      <c r="A641" s="1" t="s">
        <v>72</v>
      </c>
      <c r="B641" s="1" t="s">
        <v>10808</v>
      </c>
      <c r="C641" s="1"/>
      <c r="D641" s="1"/>
      <c r="E641" s="1" t="s">
        <v>106</v>
      </c>
      <c r="F641" s="1" t="s">
        <v>10809</v>
      </c>
      <c r="G641" s="1"/>
      <c r="H641" s="1"/>
      <c r="I641" s="1" t="s">
        <v>11466</v>
      </c>
      <c r="J641" s="1" t="s">
        <v>11467</v>
      </c>
      <c r="K641" s="1" t="s">
        <v>11468</v>
      </c>
      <c r="L641" s="1"/>
      <c r="M641" s="1" t="s">
        <v>78</v>
      </c>
      <c r="N641" s="1" t="s">
        <v>79</v>
      </c>
      <c r="O641" s="1" t="s">
        <v>11469</v>
      </c>
      <c r="P641" s="1" t="s">
        <v>11470</v>
      </c>
      <c r="Q641" s="1" t="s">
        <v>2606</v>
      </c>
      <c r="R641" s="1" t="s">
        <v>11471</v>
      </c>
      <c r="S641" s="1"/>
      <c r="T641" s="1" t="s">
        <v>11472</v>
      </c>
      <c r="U641" s="1"/>
      <c r="V641" s="1" t="s">
        <v>11473</v>
      </c>
      <c r="W641" s="1" t="s">
        <v>11474</v>
      </c>
      <c r="X641" s="1" t="s">
        <v>10816</v>
      </c>
      <c r="Y641" s="1" t="s">
        <v>11475</v>
      </c>
      <c r="Z641" s="1" t="s">
        <v>11476</v>
      </c>
      <c r="AA641" s="1" t="s">
        <v>11477</v>
      </c>
      <c r="AB641" s="1" t="s">
        <v>11478</v>
      </c>
      <c r="AC641" s="1" t="s">
        <v>11479</v>
      </c>
      <c r="AD641" s="1" t="s">
        <v>11479</v>
      </c>
      <c r="AE641" s="1" t="s">
        <v>11480</v>
      </c>
      <c r="AF641" s="1"/>
      <c r="AG641" s="1" t="n">
        <v>27</v>
      </c>
      <c r="AH641" s="1" t="n">
        <v>0</v>
      </c>
      <c r="AI641" s="1" t="n">
        <v>0</v>
      </c>
      <c r="AJ641" s="1" t="n">
        <v>0</v>
      </c>
      <c r="AK641" s="1" t="n">
        <v>0</v>
      </c>
      <c r="AL641" s="1" t="s">
        <v>172</v>
      </c>
      <c r="AM641" s="1" t="s">
        <v>173</v>
      </c>
      <c r="AN641" s="1" t="s">
        <v>174</v>
      </c>
      <c r="AO641" s="1" t="s">
        <v>11481</v>
      </c>
      <c r="AP641" s="1"/>
      <c r="AQ641" s="1" t="s">
        <v>11482</v>
      </c>
      <c r="AR641" s="1" t="s">
        <v>11483</v>
      </c>
      <c r="AS641" s="1"/>
      <c r="AT641" s="1"/>
      <c r="AU641" s="1" t="n">
        <v>2023</v>
      </c>
      <c r="AV641" s="1"/>
      <c r="AW641" s="1"/>
      <c r="AX641" s="1"/>
      <c r="AY641" s="1"/>
      <c r="AZ641" s="1"/>
      <c r="BA641" s="1"/>
      <c r="BB641" s="1" t="n">
        <v>212</v>
      </c>
      <c r="BC641" s="1" t="n">
        <v>216</v>
      </c>
      <c r="BD641" s="1"/>
      <c r="BE641" s="1" t="s">
        <v>11484</v>
      </c>
      <c r="BF641" s="1" t="str">
        <f aca="false">HYPERLINK("http://dx.doi.org/10.1109/PacificVis56936.2023.00031","http://dx.doi.org/10.1109/PacificVis56936.2023.00031")</f>
        <v>http://dx.doi.org/10.1109/PacificVis56936.2023.00031</v>
      </c>
      <c r="BG641" s="1"/>
      <c r="BH641" s="1"/>
      <c r="BI641" s="1" t="n">
        <v>5</v>
      </c>
      <c r="BJ641" s="1" t="s">
        <v>3772</v>
      </c>
      <c r="BK641" s="1" t="s">
        <v>100</v>
      </c>
      <c r="BL641" s="1" t="s">
        <v>101</v>
      </c>
      <c r="BM641" s="1" t="s">
        <v>11485</v>
      </c>
      <c r="BN641" s="1"/>
      <c r="BO641" s="1" t="s">
        <v>179</v>
      </c>
      <c r="BP641" s="1"/>
      <c r="BQ641" s="1"/>
      <c r="BR641" s="1" t="s">
        <v>103</v>
      </c>
      <c r="BS641" s="1" t="s">
        <v>11486</v>
      </c>
      <c r="BT641" s="1" t="str">
        <f aca="false">HYPERLINK("https%3A%2F%2Fwww.webofscience.com%2Fwos%2Fwoscc%2Ffull-record%2FWOS:001016413500025","View Full Record in Web of Science")</f>
        <v>View Full Record in Web of Science</v>
      </c>
    </row>
    <row r="642" customFormat="false" ht="12.75" hidden="false" customHeight="false" outlineLevel="0" collapsed="false">
      <c r="A642" s="1" t="s">
        <v>72</v>
      </c>
      <c r="B642" s="1" t="s">
        <v>11487</v>
      </c>
      <c r="C642" s="1"/>
      <c r="D642" s="1" t="s">
        <v>11488</v>
      </c>
      <c r="E642" s="1"/>
      <c r="F642" s="1" t="s">
        <v>11489</v>
      </c>
      <c r="G642" s="1"/>
      <c r="H642" s="1"/>
      <c r="I642" s="1" t="s">
        <v>11490</v>
      </c>
      <c r="J642" s="1" t="s">
        <v>11491</v>
      </c>
      <c r="K642" s="1" t="s">
        <v>976</v>
      </c>
      <c r="L642" s="1"/>
      <c r="M642" s="1" t="s">
        <v>78</v>
      </c>
      <c r="N642" s="1" t="s">
        <v>79</v>
      </c>
      <c r="O642" s="1" t="s">
        <v>11492</v>
      </c>
      <c r="P642" s="1" t="s">
        <v>11493</v>
      </c>
      <c r="Q642" s="1" t="s">
        <v>320</v>
      </c>
      <c r="R642" s="1" t="s">
        <v>11494</v>
      </c>
      <c r="S642" s="1"/>
      <c r="T642" s="1" t="s">
        <v>11495</v>
      </c>
      <c r="U642" s="1" t="s">
        <v>11496</v>
      </c>
      <c r="V642" s="1" t="s">
        <v>11497</v>
      </c>
      <c r="W642" s="1" t="s">
        <v>11498</v>
      </c>
      <c r="X642" s="1" t="s">
        <v>11499</v>
      </c>
      <c r="Y642" s="1" t="s">
        <v>11500</v>
      </c>
      <c r="Z642" s="1" t="s">
        <v>11501</v>
      </c>
      <c r="AA642" s="1"/>
      <c r="AB642" s="1"/>
      <c r="AC642" s="1"/>
      <c r="AD642" s="1"/>
      <c r="AE642" s="1"/>
      <c r="AF642" s="1"/>
      <c r="AG642" s="1" t="n">
        <v>37</v>
      </c>
      <c r="AH642" s="1" t="n">
        <v>3</v>
      </c>
      <c r="AI642" s="1" t="n">
        <v>3</v>
      </c>
      <c r="AJ642" s="1" t="n">
        <v>1</v>
      </c>
      <c r="AK642" s="1" t="n">
        <v>2</v>
      </c>
      <c r="AL642" s="1" t="s">
        <v>302</v>
      </c>
      <c r="AM642" s="1" t="s">
        <v>303</v>
      </c>
      <c r="AN642" s="1" t="s">
        <v>304</v>
      </c>
      <c r="AO642" s="1" t="s">
        <v>989</v>
      </c>
      <c r="AP642" s="1" t="s">
        <v>990</v>
      </c>
      <c r="AQ642" s="1" t="s">
        <v>11502</v>
      </c>
      <c r="AR642" s="1" t="s">
        <v>992</v>
      </c>
      <c r="AS642" s="1"/>
      <c r="AT642" s="1"/>
      <c r="AU642" s="1" t="n">
        <v>2021</v>
      </c>
      <c r="AV642" s="1" t="n">
        <v>12855</v>
      </c>
      <c r="AW642" s="1"/>
      <c r="AX642" s="1"/>
      <c r="AY642" s="1"/>
      <c r="AZ642" s="1"/>
      <c r="BA642" s="1"/>
      <c r="BB642" s="1" t="n">
        <v>495</v>
      </c>
      <c r="BC642" s="1" t="n">
        <v>510</v>
      </c>
      <c r="BD642" s="1"/>
      <c r="BE642" s="1" t="s">
        <v>11503</v>
      </c>
      <c r="BF642" s="1" t="str">
        <f aca="false">HYPERLINK("http://dx.doi.org/10.1007/978-3-030-87897-9_44","http://dx.doi.org/10.1007/978-3-030-87897-9_44")</f>
        <v>http://dx.doi.org/10.1007/978-3-030-87897-9_44</v>
      </c>
      <c r="BG642" s="1"/>
      <c r="BH642" s="1"/>
      <c r="BI642" s="1" t="n">
        <v>16</v>
      </c>
      <c r="BJ642" s="1" t="s">
        <v>11504</v>
      </c>
      <c r="BK642" s="1" t="s">
        <v>100</v>
      </c>
      <c r="BL642" s="1" t="s">
        <v>4973</v>
      </c>
      <c r="BM642" s="1" t="s">
        <v>11505</v>
      </c>
      <c r="BN642" s="1"/>
      <c r="BO642" s="1"/>
      <c r="BP642" s="1"/>
      <c r="BQ642" s="1"/>
      <c r="BR642" s="1" t="s">
        <v>103</v>
      </c>
      <c r="BS642" s="1" t="s">
        <v>11506</v>
      </c>
      <c r="BT642" s="1" t="str">
        <f aca="false">HYPERLINK("https%3A%2F%2Fwww.webofscience.com%2Fwos%2Fwoscc%2Ffull-record%2FWOS:000811814800043","View Full Record in Web of Science")</f>
        <v>View Full Record in Web of Science</v>
      </c>
    </row>
    <row r="643" customFormat="false" ht="12.75" hidden="false" customHeight="false" outlineLevel="0" collapsed="false">
      <c r="A643" s="1" t="s">
        <v>181</v>
      </c>
      <c r="B643" s="1" t="s">
        <v>11507</v>
      </c>
      <c r="C643" s="1"/>
      <c r="D643" s="1"/>
      <c r="E643" s="1"/>
      <c r="F643" s="1" t="s">
        <v>11508</v>
      </c>
      <c r="G643" s="1"/>
      <c r="H643" s="1"/>
      <c r="I643" s="1" t="s">
        <v>11509</v>
      </c>
      <c r="J643" s="1" t="s">
        <v>11510</v>
      </c>
      <c r="K643" s="1"/>
      <c r="L643" s="1"/>
      <c r="M643" s="1" t="s">
        <v>78</v>
      </c>
      <c r="N643" s="1" t="s">
        <v>186</v>
      </c>
      <c r="O643" s="1"/>
      <c r="P643" s="1"/>
      <c r="Q643" s="1"/>
      <c r="R643" s="1"/>
      <c r="S643" s="1"/>
      <c r="T643" s="1" t="s">
        <v>11511</v>
      </c>
      <c r="U643" s="1" t="s">
        <v>11512</v>
      </c>
      <c r="V643" s="1" t="s">
        <v>11513</v>
      </c>
      <c r="W643" s="1" t="s">
        <v>11514</v>
      </c>
      <c r="X643" s="1" t="s">
        <v>11515</v>
      </c>
      <c r="Y643" s="1" t="s">
        <v>11516</v>
      </c>
      <c r="Z643" s="1" t="s">
        <v>11517</v>
      </c>
      <c r="AA643" s="1" t="s">
        <v>11518</v>
      </c>
      <c r="AB643" s="1"/>
      <c r="AC643" s="1" t="s">
        <v>11519</v>
      </c>
      <c r="AD643" s="1" t="s">
        <v>11520</v>
      </c>
      <c r="AE643" s="1" t="s">
        <v>11521</v>
      </c>
      <c r="AF643" s="1"/>
      <c r="AG643" s="1" t="n">
        <v>32</v>
      </c>
      <c r="AH643" s="1" t="n">
        <v>0</v>
      </c>
      <c r="AI643" s="1" t="n">
        <v>0</v>
      </c>
      <c r="AJ643" s="1" t="n">
        <v>3</v>
      </c>
      <c r="AK643" s="1" t="n">
        <v>3</v>
      </c>
      <c r="AL643" s="1" t="s">
        <v>679</v>
      </c>
      <c r="AM643" s="1" t="s">
        <v>95</v>
      </c>
      <c r="AN643" s="1" t="s">
        <v>803</v>
      </c>
      <c r="AO643" s="1"/>
      <c r="AP643" s="1" t="s">
        <v>11522</v>
      </c>
      <c r="AQ643" s="1"/>
      <c r="AR643" s="1" t="s">
        <v>11523</v>
      </c>
      <c r="AS643" s="1" t="s">
        <v>11524</v>
      </c>
      <c r="AT643" s="1" t="s">
        <v>11525</v>
      </c>
      <c r="AU643" s="1" t="n">
        <v>2024</v>
      </c>
      <c r="AV643" s="1" t="n">
        <v>13</v>
      </c>
      <c r="AW643" s="1" t="n">
        <v>1</v>
      </c>
      <c r="AX643" s="1"/>
      <c r="AY643" s="1"/>
      <c r="AZ643" s="1"/>
      <c r="BA643" s="1"/>
      <c r="BB643" s="1"/>
      <c r="BC643" s="1"/>
      <c r="BD643" s="1" t="n">
        <v>144</v>
      </c>
      <c r="BE643" s="1" t="s">
        <v>11526</v>
      </c>
      <c r="BF643" s="1" t="str">
        <f aca="false">HYPERLINK("http://dx.doi.org/10.1186/s13677-024-00708-7","http://dx.doi.org/10.1186/s13677-024-00708-7")</f>
        <v>http://dx.doi.org/10.1186/s13677-024-00708-7</v>
      </c>
      <c r="BG643" s="1"/>
      <c r="BH643" s="1"/>
      <c r="BI643" s="1" t="n">
        <v>14</v>
      </c>
      <c r="BJ643" s="1" t="s">
        <v>4212</v>
      </c>
      <c r="BK643" s="1" t="s">
        <v>204</v>
      </c>
      <c r="BL643" s="1" t="s">
        <v>101</v>
      </c>
      <c r="BM643" s="1" t="s">
        <v>11527</v>
      </c>
      <c r="BN643" s="1"/>
      <c r="BO643" s="1" t="s">
        <v>642</v>
      </c>
      <c r="BP643" s="1"/>
      <c r="BQ643" s="1"/>
      <c r="BR643" s="1" t="s">
        <v>103</v>
      </c>
      <c r="BS643" s="1" t="s">
        <v>11528</v>
      </c>
      <c r="BT643" s="1" t="str">
        <f aca="false">HYPERLINK("https%3A%2F%2Fwww.webofscience.com%2Fwos%2Fwoscc%2Ffull-record%2FWOS:001321783000001","View Full Record in Web of Science")</f>
        <v>View Full Record in Web of Science</v>
      </c>
    </row>
    <row r="644" customFormat="false" ht="12.75" hidden="false" customHeight="false" outlineLevel="0" collapsed="false">
      <c r="A644" s="1" t="s">
        <v>181</v>
      </c>
      <c r="B644" s="1" t="s">
        <v>5011</v>
      </c>
      <c r="C644" s="1"/>
      <c r="D644" s="1"/>
      <c r="E644" s="1"/>
      <c r="F644" s="1" t="s">
        <v>5012</v>
      </c>
      <c r="G644" s="1"/>
      <c r="H644" s="1"/>
      <c r="I644" s="1" t="s">
        <v>11529</v>
      </c>
      <c r="J644" s="1" t="s">
        <v>6457</v>
      </c>
      <c r="K644" s="1"/>
      <c r="L644" s="1"/>
      <c r="M644" s="1" t="s">
        <v>78</v>
      </c>
      <c r="N644" s="1" t="s">
        <v>186</v>
      </c>
      <c r="O644" s="1"/>
      <c r="P644" s="1"/>
      <c r="Q644" s="1"/>
      <c r="R644" s="1"/>
      <c r="S644" s="1"/>
      <c r="T644" s="1"/>
      <c r="U644" s="1"/>
      <c r="V644" s="1" t="s">
        <v>11530</v>
      </c>
      <c r="W644" s="1" t="s">
        <v>11531</v>
      </c>
      <c r="X644" s="1" t="s">
        <v>11532</v>
      </c>
      <c r="Y644" s="1" t="s">
        <v>11533</v>
      </c>
      <c r="Z644" s="1"/>
      <c r="AA644" s="1" t="s">
        <v>5020</v>
      </c>
      <c r="AB644" s="1" t="s">
        <v>11534</v>
      </c>
      <c r="AC644" s="1"/>
      <c r="AD644" s="1"/>
      <c r="AE644" s="1"/>
      <c r="AF644" s="1"/>
      <c r="AG644" s="1" t="n">
        <v>21</v>
      </c>
      <c r="AH644" s="1" t="n">
        <v>1</v>
      </c>
      <c r="AI644" s="1" t="n">
        <v>1</v>
      </c>
      <c r="AJ644" s="1" t="n">
        <v>1</v>
      </c>
      <c r="AK644" s="1" t="n">
        <v>3</v>
      </c>
      <c r="AL644" s="1" t="s">
        <v>94</v>
      </c>
      <c r="AM644" s="1" t="s">
        <v>95</v>
      </c>
      <c r="AN644" s="1" t="s">
        <v>826</v>
      </c>
      <c r="AO644" s="1" t="s">
        <v>6467</v>
      </c>
      <c r="AP644" s="1" t="s">
        <v>6468</v>
      </c>
      <c r="AQ644" s="1"/>
      <c r="AR644" s="1" t="s">
        <v>6469</v>
      </c>
      <c r="AS644" s="1" t="s">
        <v>6470</v>
      </c>
      <c r="AT644" s="1" t="s">
        <v>2698</v>
      </c>
      <c r="AU644" s="1" t="n">
        <v>2024</v>
      </c>
      <c r="AV644" s="1" t="n">
        <v>67</v>
      </c>
      <c r="AW644" s="1" t="n">
        <v>6</v>
      </c>
      <c r="AX644" s="1"/>
      <c r="AY644" s="1"/>
      <c r="AZ644" s="1"/>
      <c r="BA644" s="1"/>
      <c r="BB644" s="1" t="n">
        <v>82</v>
      </c>
      <c r="BC644" s="1" t="n">
        <v>90</v>
      </c>
      <c r="BD644" s="1"/>
      <c r="BE644" s="1" t="s">
        <v>11535</v>
      </c>
      <c r="BF644" s="1" t="str">
        <f aca="false">HYPERLINK("http://dx.doi.org/10.1145/3631519","http://dx.doi.org/10.1145/3631519")</f>
        <v>http://dx.doi.org/10.1145/3631519</v>
      </c>
      <c r="BG644" s="1"/>
      <c r="BH644" s="1"/>
      <c r="BI644" s="1" t="n">
        <v>9</v>
      </c>
      <c r="BJ644" s="1" t="s">
        <v>6472</v>
      </c>
      <c r="BK644" s="1" t="s">
        <v>204</v>
      </c>
      <c r="BL644" s="1" t="s">
        <v>101</v>
      </c>
      <c r="BM644" s="1" t="s">
        <v>11536</v>
      </c>
      <c r="BN644" s="1"/>
      <c r="BO644" s="1" t="s">
        <v>207</v>
      </c>
      <c r="BP644" s="1"/>
      <c r="BQ644" s="1"/>
      <c r="BR644" s="1" t="s">
        <v>103</v>
      </c>
      <c r="BS644" s="1" t="s">
        <v>11537</v>
      </c>
      <c r="BT644" s="1" t="str">
        <f aca="false">HYPERLINK("https%3A%2F%2Fwww.webofscience.com%2Fwos%2Fwoscc%2Ffull-record%2FWOS:001240956100025","View Full Record in Web of Science")</f>
        <v>View Full Record in Web of Science</v>
      </c>
    </row>
    <row r="645" customFormat="false" ht="12.75" hidden="false" customHeight="false" outlineLevel="0" collapsed="false">
      <c r="A645" s="1" t="s">
        <v>181</v>
      </c>
      <c r="B645" s="1" t="s">
        <v>11538</v>
      </c>
      <c r="C645" s="1"/>
      <c r="D645" s="1"/>
      <c r="E645" s="1"/>
      <c r="F645" s="1" t="s">
        <v>11539</v>
      </c>
      <c r="G645" s="1"/>
      <c r="H645" s="1"/>
      <c r="I645" s="1" t="s">
        <v>11540</v>
      </c>
      <c r="J645" s="1" t="s">
        <v>11541</v>
      </c>
      <c r="K645" s="1"/>
      <c r="L645" s="1"/>
      <c r="M645" s="1" t="s">
        <v>78</v>
      </c>
      <c r="N645" s="1" t="s">
        <v>186</v>
      </c>
      <c r="O645" s="1"/>
      <c r="P645" s="1"/>
      <c r="Q645" s="1"/>
      <c r="R645" s="1"/>
      <c r="S645" s="1"/>
      <c r="T645" s="1"/>
      <c r="U645" s="1" t="s">
        <v>11542</v>
      </c>
      <c r="V645" s="1" t="s">
        <v>11543</v>
      </c>
      <c r="W645" s="1" t="s">
        <v>11544</v>
      </c>
      <c r="X645" s="1" t="s">
        <v>11545</v>
      </c>
      <c r="Y645" s="1" t="s">
        <v>11546</v>
      </c>
      <c r="Z645" s="1" t="s">
        <v>11547</v>
      </c>
      <c r="AA645" s="1"/>
      <c r="AB645" s="1"/>
      <c r="AC645" s="1" t="s">
        <v>11548</v>
      </c>
      <c r="AD645" s="1" t="s">
        <v>11549</v>
      </c>
      <c r="AE645" s="1" t="s">
        <v>11550</v>
      </c>
      <c r="AF645" s="1"/>
      <c r="AG645" s="1" t="n">
        <v>75</v>
      </c>
      <c r="AH645" s="1" t="n">
        <v>1</v>
      </c>
      <c r="AI645" s="1" t="n">
        <v>1</v>
      </c>
      <c r="AJ645" s="1" t="n">
        <v>4</v>
      </c>
      <c r="AK645" s="1" t="n">
        <v>11</v>
      </c>
      <c r="AL645" s="1" t="s">
        <v>1025</v>
      </c>
      <c r="AM645" s="1" t="s">
        <v>3615</v>
      </c>
      <c r="AN645" s="1" t="s">
        <v>3616</v>
      </c>
      <c r="AO645" s="1" t="s">
        <v>11551</v>
      </c>
      <c r="AP645" s="1" t="s">
        <v>11552</v>
      </c>
      <c r="AQ645" s="1"/>
      <c r="AR645" s="1" t="s">
        <v>11553</v>
      </c>
      <c r="AS645" s="1" t="s">
        <v>11554</v>
      </c>
      <c r="AT645" s="1" t="s">
        <v>537</v>
      </c>
      <c r="AU645" s="1" t="n">
        <v>2024</v>
      </c>
      <c r="AV645" s="1" t="n">
        <v>42</v>
      </c>
      <c r="AW645" s="1" t="n">
        <v>1</v>
      </c>
      <c r="AX645" s="1"/>
      <c r="AY645" s="1"/>
      <c r="AZ645" s="1"/>
      <c r="BA645" s="1"/>
      <c r="BB645" s="1" t="n">
        <v>130</v>
      </c>
      <c r="BC645" s="1" t="n">
        <v>141</v>
      </c>
      <c r="BD645" s="1"/>
      <c r="BE645" s="1" t="s">
        <v>11555</v>
      </c>
      <c r="BF645" s="1" t="str">
        <f aca="false">HYPERLINK("http://dx.doi.org/10.1016/j.emj.2022.09.008","http://dx.doi.org/10.1016/j.emj.2022.09.008")</f>
        <v>http://dx.doi.org/10.1016/j.emj.2022.09.008</v>
      </c>
      <c r="BG645" s="1"/>
      <c r="BH645" s="1" t="s">
        <v>3549</v>
      </c>
      <c r="BI645" s="1" t="n">
        <v>12</v>
      </c>
      <c r="BJ645" s="1" t="s">
        <v>11556</v>
      </c>
      <c r="BK645" s="1" t="s">
        <v>610</v>
      </c>
      <c r="BL645" s="1" t="s">
        <v>715</v>
      </c>
      <c r="BM645" s="1" t="s">
        <v>11557</v>
      </c>
      <c r="BN645" s="1"/>
      <c r="BO645" s="1"/>
      <c r="BP645" s="1"/>
      <c r="BQ645" s="1"/>
      <c r="BR645" s="1" t="s">
        <v>103</v>
      </c>
      <c r="BS645" s="1" t="s">
        <v>11558</v>
      </c>
      <c r="BT645" s="1" t="str">
        <f aca="false">HYPERLINK("https%3A%2F%2Fwww.webofscience.com%2Fwos%2Fwoscc%2Ffull-record%2FWOS:001205850300001","View Full Record in Web of Science")</f>
        <v>View Full Record in Web of Science</v>
      </c>
    </row>
    <row r="646" customFormat="false" ht="12.75" hidden="false" customHeight="false" outlineLevel="0" collapsed="false">
      <c r="A646" s="1" t="s">
        <v>181</v>
      </c>
      <c r="B646" s="1" t="s">
        <v>10234</v>
      </c>
      <c r="C646" s="1"/>
      <c r="D646" s="1"/>
      <c r="E646" s="1"/>
      <c r="F646" s="1" t="s">
        <v>10235</v>
      </c>
      <c r="G646" s="1"/>
      <c r="H646" s="1"/>
      <c r="I646" s="1" t="s">
        <v>11559</v>
      </c>
      <c r="J646" s="1" t="s">
        <v>11560</v>
      </c>
      <c r="K646" s="1"/>
      <c r="L646" s="1"/>
      <c r="M646" s="1" t="s">
        <v>78</v>
      </c>
      <c r="N646" s="1" t="s">
        <v>186</v>
      </c>
      <c r="O646" s="1"/>
      <c r="P646" s="1"/>
      <c r="Q646" s="1"/>
      <c r="R646" s="1"/>
      <c r="S646" s="1"/>
      <c r="T646" s="1" t="s">
        <v>11561</v>
      </c>
      <c r="U646" s="1" t="s">
        <v>11562</v>
      </c>
      <c r="V646" s="1" t="s">
        <v>11563</v>
      </c>
      <c r="W646" s="1" t="s">
        <v>11564</v>
      </c>
      <c r="X646" s="1" t="s">
        <v>11565</v>
      </c>
      <c r="Y646" s="1" t="s">
        <v>10243</v>
      </c>
      <c r="Z646" s="1" t="s">
        <v>10244</v>
      </c>
      <c r="AA646" s="1" t="s">
        <v>11566</v>
      </c>
      <c r="AB646" s="1" t="s">
        <v>11567</v>
      </c>
      <c r="AC646" s="1"/>
      <c r="AD646" s="1"/>
      <c r="AE646" s="1" t="s">
        <v>11568</v>
      </c>
      <c r="AF646" s="1"/>
      <c r="AG646" s="1" t="n">
        <v>49</v>
      </c>
      <c r="AH646" s="1" t="n">
        <v>0</v>
      </c>
      <c r="AI646" s="1" t="n">
        <v>0</v>
      </c>
      <c r="AJ646" s="1" t="n">
        <v>0</v>
      </c>
      <c r="AK646" s="1" t="n">
        <v>1</v>
      </c>
      <c r="AL646" s="1" t="s">
        <v>11569</v>
      </c>
      <c r="AM646" s="1" t="s">
        <v>11570</v>
      </c>
      <c r="AN646" s="1" t="s">
        <v>11571</v>
      </c>
      <c r="AO646" s="1" t="s">
        <v>11572</v>
      </c>
      <c r="AP646" s="1" t="s">
        <v>11573</v>
      </c>
      <c r="AQ646" s="1"/>
      <c r="AR646" s="1" t="s">
        <v>11574</v>
      </c>
      <c r="AS646" s="1" t="s">
        <v>11575</v>
      </c>
      <c r="AT646" s="1"/>
      <c r="AU646" s="1" t="n">
        <v>2024</v>
      </c>
      <c r="AV646" s="1" t="n">
        <v>83</v>
      </c>
      <c r="AW646" s="1"/>
      <c r="AX646" s="1"/>
      <c r="AY646" s="1"/>
      <c r="AZ646" s="1"/>
      <c r="BA646" s="1"/>
      <c r="BB646" s="1" t="n">
        <v>255</v>
      </c>
      <c r="BC646" s="1" t="n">
        <v>263</v>
      </c>
      <c r="BD646" s="1"/>
      <c r="BE646" s="1" t="s">
        <v>11576</v>
      </c>
      <c r="BF646" s="1" t="str">
        <f aca="false">HYPERLINK("http://dx.doi.org/10.2340/aos.v83.40574","http://dx.doi.org/10.2340/aos.v83.40574")</f>
        <v>http://dx.doi.org/10.2340/aos.v83.40574</v>
      </c>
      <c r="BG646" s="1"/>
      <c r="BH646" s="1"/>
      <c r="BI646" s="1" t="n">
        <v>9</v>
      </c>
      <c r="BJ646" s="1" t="s">
        <v>4910</v>
      </c>
      <c r="BK646" s="1" t="s">
        <v>204</v>
      </c>
      <c r="BL646" s="1" t="s">
        <v>4910</v>
      </c>
      <c r="BM646" s="1" t="s">
        <v>11577</v>
      </c>
      <c r="BN646" s="1" t="n">
        <v>38700368</v>
      </c>
      <c r="BO646" s="1" t="s">
        <v>401</v>
      </c>
      <c r="BP646" s="1"/>
      <c r="BQ646" s="1"/>
      <c r="BR646" s="1" t="s">
        <v>103</v>
      </c>
      <c r="BS646" s="1" t="s">
        <v>11578</v>
      </c>
      <c r="BT646" s="1" t="str">
        <f aca="false">HYPERLINK("https%3A%2F%2Fwww.webofscience.com%2Fwos%2Fwoscc%2Ffull-record%2FWOS:001267523400009","View Full Record in Web of Science")</f>
        <v>View Full Record in Web of Science</v>
      </c>
    </row>
    <row r="647" customFormat="false" ht="12.75" hidden="false" customHeight="false" outlineLevel="0" collapsed="false">
      <c r="A647" s="1" t="s">
        <v>181</v>
      </c>
      <c r="B647" s="1" t="s">
        <v>11579</v>
      </c>
      <c r="C647" s="1"/>
      <c r="D647" s="1"/>
      <c r="E647" s="1"/>
      <c r="F647" s="1" t="s">
        <v>11580</v>
      </c>
      <c r="G647" s="1"/>
      <c r="H647" s="1"/>
      <c r="I647" s="1" t="s">
        <v>11581</v>
      </c>
      <c r="J647" s="1" t="s">
        <v>11582</v>
      </c>
      <c r="K647" s="1"/>
      <c r="L647" s="1"/>
      <c r="M647" s="1" t="s">
        <v>78</v>
      </c>
      <c r="N647" s="1" t="s">
        <v>186</v>
      </c>
      <c r="O647" s="1"/>
      <c r="P647" s="1"/>
      <c r="Q647" s="1"/>
      <c r="R647" s="1"/>
      <c r="S647" s="1"/>
      <c r="T647" s="1" t="s">
        <v>11583</v>
      </c>
      <c r="U647" s="1"/>
      <c r="V647" s="1" t="s">
        <v>11584</v>
      </c>
      <c r="W647" s="1" t="s">
        <v>11585</v>
      </c>
      <c r="X647" s="1" t="s">
        <v>11586</v>
      </c>
      <c r="Y647" s="1" t="s">
        <v>11587</v>
      </c>
      <c r="Z647" s="1" t="s">
        <v>11588</v>
      </c>
      <c r="AA647" s="1" t="s">
        <v>5956</v>
      </c>
      <c r="AB647" s="1" t="s">
        <v>11589</v>
      </c>
      <c r="AC647" s="1" t="s">
        <v>11590</v>
      </c>
      <c r="AD647" s="1" t="s">
        <v>11591</v>
      </c>
      <c r="AE647" s="1" t="s">
        <v>11592</v>
      </c>
      <c r="AF647" s="1"/>
      <c r="AG647" s="1" t="n">
        <v>38</v>
      </c>
      <c r="AH647" s="1" t="n">
        <v>8</v>
      </c>
      <c r="AI647" s="1" t="n">
        <v>8</v>
      </c>
      <c r="AJ647" s="1" t="n">
        <v>0</v>
      </c>
      <c r="AK647" s="1" t="n">
        <v>3</v>
      </c>
      <c r="AL647" s="1" t="s">
        <v>11593</v>
      </c>
      <c r="AM647" s="1" t="s">
        <v>11594</v>
      </c>
      <c r="AN647" s="1" t="s">
        <v>11595</v>
      </c>
      <c r="AO647" s="1"/>
      <c r="AP647" s="1" t="s">
        <v>11596</v>
      </c>
      <c r="AQ647" s="1"/>
      <c r="AR647" s="1" t="s">
        <v>11597</v>
      </c>
      <c r="AS647" s="1" t="s">
        <v>11598</v>
      </c>
      <c r="AT647" s="1"/>
      <c r="AU647" s="1" t="n">
        <v>2021</v>
      </c>
      <c r="AV647" s="1" t="n">
        <v>9</v>
      </c>
      <c r="AW647" s="1" t="n">
        <v>3</v>
      </c>
      <c r="AX647" s="1"/>
      <c r="AY647" s="1"/>
      <c r="AZ647" s="1"/>
      <c r="BA647" s="1"/>
      <c r="BB647" s="1" t="n">
        <v>201</v>
      </c>
      <c r="BC647" s="1" t="n">
        <v>213</v>
      </c>
      <c r="BD647" s="1"/>
      <c r="BE647" s="1" t="s">
        <v>11599</v>
      </c>
      <c r="BF647" s="1" t="str">
        <f aca="false">HYPERLINK("http://dx.doi.org/10.17645/si.v9i3.4319","http://dx.doi.org/10.17645/si.v9i3.4319")</f>
        <v>http://dx.doi.org/10.17645/si.v9i3.4319</v>
      </c>
      <c r="BG647" s="1"/>
      <c r="BH647" s="1"/>
      <c r="BI647" s="1" t="n">
        <v>13</v>
      </c>
      <c r="BJ647" s="1" t="s">
        <v>11600</v>
      </c>
      <c r="BK647" s="1" t="s">
        <v>610</v>
      </c>
      <c r="BL647" s="1" t="s">
        <v>11601</v>
      </c>
      <c r="BM647" s="1" t="s">
        <v>11602</v>
      </c>
      <c r="BN647" s="1"/>
      <c r="BO647" s="1" t="s">
        <v>542</v>
      </c>
      <c r="BP647" s="1"/>
      <c r="BQ647" s="1"/>
      <c r="BR647" s="1" t="s">
        <v>103</v>
      </c>
      <c r="BS647" s="1" t="s">
        <v>11603</v>
      </c>
      <c r="BT647" s="1" t="str">
        <f aca="false">HYPERLINK("https%3A%2F%2Fwww.webofscience.com%2Fwos%2Fwoscc%2Ffull-record%2FWOS:000691063200004","View Full Record in Web of Science")</f>
        <v>View Full Record in Web of Science</v>
      </c>
    </row>
    <row r="648" customFormat="false" ht="12.75" hidden="false" customHeight="false" outlineLevel="0" collapsed="false">
      <c r="A648" s="1" t="s">
        <v>181</v>
      </c>
      <c r="B648" s="1" t="s">
        <v>11604</v>
      </c>
      <c r="C648" s="1"/>
      <c r="D648" s="1"/>
      <c r="E648" s="1"/>
      <c r="F648" s="1" t="s">
        <v>11605</v>
      </c>
      <c r="G648" s="1"/>
      <c r="H648" s="1"/>
      <c r="I648" s="1" t="s">
        <v>11606</v>
      </c>
      <c r="J648" s="1" t="s">
        <v>5764</v>
      </c>
      <c r="K648" s="1"/>
      <c r="L648" s="1"/>
      <c r="M648" s="1" t="s">
        <v>78</v>
      </c>
      <c r="N648" s="1" t="s">
        <v>186</v>
      </c>
      <c r="O648" s="1"/>
      <c r="P648" s="1"/>
      <c r="Q648" s="1"/>
      <c r="R648" s="1"/>
      <c r="S648" s="1"/>
      <c r="T648" s="1" t="s">
        <v>11607</v>
      </c>
      <c r="U648" s="1" t="s">
        <v>11608</v>
      </c>
      <c r="V648" s="1" t="s">
        <v>11609</v>
      </c>
      <c r="W648" s="1" t="s">
        <v>11610</v>
      </c>
      <c r="X648" s="1" t="s">
        <v>11611</v>
      </c>
      <c r="Y648" s="1" t="s">
        <v>11612</v>
      </c>
      <c r="Z648" s="1" t="s">
        <v>11613</v>
      </c>
      <c r="AA648" s="1"/>
      <c r="AB648" s="1" t="s">
        <v>9919</v>
      </c>
      <c r="AC648" s="1" t="s">
        <v>11614</v>
      </c>
      <c r="AD648" s="1" t="s">
        <v>6409</v>
      </c>
      <c r="AE648" s="1" t="s">
        <v>11615</v>
      </c>
      <c r="AF648" s="1"/>
      <c r="AG648" s="1" t="n">
        <v>55</v>
      </c>
      <c r="AH648" s="1" t="n">
        <v>11</v>
      </c>
      <c r="AI648" s="1" t="n">
        <v>11</v>
      </c>
      <c r="AJ648" s="1" t="n">
        <v>4</v>
      </c>
      <c r="AK648" s="1" t="n">
        <v>66</v>
      </c>
      <c r="AL648" s="1" t="s">
        <v>5685</v>
      </c>
      <c r="AM648" s="1" t="s">
        <v>5686</v>
      </c>
      <c r="AN648" s="1" t="s">
        <v>5687</v>
      </c>
      <c r="AO648" s="1" t="s">
        <v>5774</v>
      </c>
      <c r="AP648" s="1" t="s">
        <v>5775</v>
      </c>
      <c r="AQ648" s="1"/>
      <c r="AR648" s="1" t="s">
        <v>5776</v>
      </c>
      <c r="AS648" s="1" t="s">
        <v>5777</v>
      </c>
      <c r="AT648" s="1"/>
      <c r="AU648" s="1" t="n">
        <v>2021</v>
      </c>
      <c r="AV648" s="1" t="n">
        <v>16</v>
      </c>
      <c r="AW648" s="1" t="n">
        <v>1</v>
      </c>
      <c r="AX648" s="1"/>
      <c r="AY648" s="1"/>
      <c r="AZ648" s="1"/>
      <c r="BA648" s="1"/>
      <c r="BB648" s="1" t="n">
        <v>21</v>
      </c>
      <c r="BC648" s="1" t="n">
        <v>45</v>
      </c>
      <c r="BD648" s="1"/>
      <c r="BE648" s="1" t="s">
        <v>11616</v>
      </c>
      <c r="BF648" s="1" t="str">
        <f aca="false">HYPERLINK("http://dx.doi.org/10.1108/BJM-01-2020-0024","http://dx.doi.org/10.1108/BJM-01-2020-0024")</f>
        <v>http://dx.doi.org/10.1108/BJM-01-2020-0024</v>
      </c>
      <c r="BG648" s="1"/>
      <c r="BH648" s="1" t="s">
        <v>1455</v>
      </c>
      <c r="BI648" s="1" t="n">
        <v>25</v>
      </c>
      <c r="BJ648" s="1" t="s">
        <v>714</v>
      </c>
      <c r="BK648" s="1" t="s">
        <v>610</v>
      </c>
      <c r="BL648" s="1" t="s">
        <v>715</v>
      </c>
      <c r="BM648" s="1" t="s">
        <v>11617</v>
      </c>
      <c r="BN648" s="1"/>
      <c r="BO648" s="1"/>
      <c r="BP648" s="1"/>
      <c r="BQ648" s="1"/>
      <c r="BR648" s="1" t="s">
        <v>103</v>
      </c>
      <c r="BS648" s="1" t="s">
        <v>11618</v>
      </c>
      <c r="BT648" s="1" t="str">
        <f aca="false">HYPERLINK("https%3A%2F%2Fwww.webofscience.com%2Fwos%2Fwoscc%2Ffull-record%2FWOS:000568256500001","View Full Record in Web of Science")</f>
        <v>View Full Record in Web of Science</v>
      </c>
    </row>
    <row r="649" customFormat="false" ht="12.75" hidden="false" customHeight="false" outlineLevel="0" collapsed="false">
      <c r="A649" s="1" t="s">
        <v>72</v>
      </c>
      <c r="B649" s="1" t="s">
        <v>11619</v>
      </c>
      <c r="C649" s="1"/>
      <c r="D649" s="1"/>
      <c r="E649" s="1" t="s">
        <v>106</v>
      </c>
      <c r="F649" s="1" t="s">
        <v>11620</v>
      </c>
      <c r="G649" s="1"/>
      <c r="H649" s="1"/>
      <c r="I649" s="1" t="s">
        <v>11621</v>
      </c>
      <c r="J649" s="1" t="s">
        <v>11622</v>
      </c>
      <c r="K649" s="1"/>
      <c r="L649" s="1"/>
      <c r="M649" s="1" t="s">
        <v>78</v>
      </c>
      <c r="N649" s="1" t="s">
        <v>79</v>
      </c>
      <c r="O649" s="1" t="s">
        <v>11623</v>
      </c>
      <c r="P649" s="1" t="s">
        <v>11624</v>
      </c>
      <c r="Q649" s="1" t="s">
        <v>11625</v>
      </c>
      <c r="R649" s="1" t="s">
        <v>11626</v>
      </c>
      <c r="S649" s="1"/>
      <c r="T649" s="1" t="s">
        <v>11627</v>
      </c>
      <c r="U649" s="1" t="s">
        <v>6343</v>
      </c>
      <c r="V649" s="1" t="s">
        <v>11628</v>
      </c>
      <c r="W649" s="1" t="s">
        <v>11629</v>
      </c>
      <c r="X649" s="1" t="s">
        <v>11630</v>
      </c>
      <c r="Y649" s="1" t="s">
        <v>11631</v>
      </c>
      <c r="Z649" s="1" t="s">
        <v>11632</v>
      </c>
      <c r="AA649" s="1" t="s">
        <v>1385</v>
      </c>
      <c r="AB649" s="1" t="s">
        <v>11633</v>
      </c>
      <c r="AC649" s="1" t="s">
        <v>11634</v>
      </c>
      <c r="AD649" s="1" t="s">
        <v>11635</v>
      </c>
      <c r="AE649" s="1" t="s">
        <v>11636</v>
      </c>
      <c r="AF649" s="1"/>
      <c r="AG649" s="1" t="n">
        <v>25</v>
      </c>
      <c r="AH649" s="1" t="n">
        <v>11</v>
      </c>
      <c r="AI649" s="1" t="n">
        <v>11</v>
      </c>
      <c r="AJ649" s="1" t="n">
        <v>0</v>
      </c>
      <c r="AK649" s="1" t="n">
        <v>5</v>
      </c>
      <c r="AL649" s="1" t="s">
        <v>106</v>
      </c>
      <c r="AM649" s="1" t="s">
        <v>95</v>
      </c>
      <c r="AN649" s="1" t="s">
        <v>122</v>
      </c>
      <c r="AO649" s="1"/>
      <c r="AP649" s="1"/>
      <c r="AQ649" s="1" t="s">
        <v>11637</v>
      </c>
      <c r="AR649" s="1"/>
      <c r="AS649" s="1"/>
      <c r="AT649" s="1"/>
      <c r="AU649" s="1" t="n">
        <v>2020</v>
      </c>
      <c r="AV649" s="1"/>
      <c r="AW649" s="1"/>
      <c r="AX649" s="1"/>
      <c r="AY649" s="1"/>
      <c r="AZ649" s="1"/>
      <c r="BA649" s="1"/>
      <c r="BB649" s="1" t="n">
        <v>53</v>
      </c>
      <c r="BC649" s="1" t="n">
        <v>59</v>
      </c>
      <c r="BD649" s="1"/>
      <c r="BE649" s="1" t="s">
        <v>11638</v>
      </c>
      <c r="BF649" s="1" t="str">
        <f aca="false">HYPERLINK("http://dx.doi.org/10.1109/QRS51102.2020.00020","http://dx.doi.org/10.1109/QRS51102.2020.00020")</f>
        <v>http://dx.doi.org/10.1109/QRS51102.2020.00020</v>
      </c>
      <c r="BG649" s="1"/>
      <c r="BH649" s="1"/>
      <c r="BI649" s="1" t="n">
        <v>7</v>
      </c>
      <c r="BJ649" s="1" t="s">
        <v>994</v>
      </c>
      <c r="BK649" s="1" t="s">
        <v>100</v>
      </c>
      <c r="BL649" s="1" t="s">
        <v>101</v>
      </c>
      <c r="BM649" s="1" t="s">
        <v>11639</v>
      </c>
      <c r="BN649" s="1"/>
      <c r="BO649" s="1" t="s">
        <v>227</v>
      </c>
      <c r="BP649" s="1"/>
      <c r="BQ649" s="1"/>
      <c r="BR649" s="1" t="s">
        <v>103</v>
      </c>
      <c r="BS649" s="1" t="s">
        <v>11640</v>
      </c>
      <c r="BT649" s="1" t="str">
        <f aca="false">HYPERLINK("https%3A%2F%2Fwww.webofscience.com%2Fwos%2Fwoscc%2Ffull-record%2FWOS:000648778000008","View Full Record in Web of Science")</f>
        <v>View Full Record in Web of Science</v>
      </c>
    </row>
    <row r="650" customFormat="false" ht="12.75" hidden="false" customHeight="false" outlineLevel="0" collapsed="false">
      <c r="A650" s="1" t="s">
        <v>72</v>
      </c>
      <c r="B650" s="1" t="s">
        <v>11641</v>
      </c>
      <c r="C650" s="1"/>
      <c r="D650" s="1"/>
      <c r="E650" s="1" t="s">
        <v>106</v>
      </c>
      <c r="F650" s="1" t="s">
        <v>11642</v>
      </c>
      <c r="G650" s="1"/>
      <c r="H650" s="1"/>
      <c r="I650" s="1" t="s">
        <v>11643</v>
      </c>
      <c r="J650" s="1" t="s">
        <v>5491</v>
      </c>
      <c r="K650" s="1" t="s">
        <v>3108</v>
      </c>
      <c r="L650" s="1"/>
      <c r="M650" s="1" t="s">
        <v>78</v>
      </c>
      <c r="N650" s="1" t="s">
        <v>79</v>
      </c>
      <c r="O650" s="1" t="s">
        <v>3109</v>
      </c>
      <c r="P650" s="1" t="s">
        <v>5492</v>
      </c>
      <c r="Q650" s="1" t="s">
        <v>320</v>
      </c>
      <c r="R650" s="1" t="s">
        <v>5493</v>
      </c>
      <c r="S650" s="1"/>
      <c r="T650" s="1" t="s">
        <v>11644</v>
      </c>
      <c r="U650" s="1"/>
      <c r="V650" s="1" t="s">
        <v>11645</v>
      </c>
      <c r="W650" s="1" t="s">
        <v>11646</v>
      </c>
      <c r="X650" s="1" t="s">
        <v>11647</v>
      </c>
      <c r="Y650" s="1" t="s">
        <v>11648</v>
      </c>
      <c r="Z650" s="1" t="s">
        <v>11649</v>
      </c>
      <c r="AA650" s="1" t="s">
        <v>11650</v>
      </c>
      <c r="AB650" s="1" t="s">
        <v>194</v>
      </c>
      <c r="AC650" s="1" t="s">
        <v>11651</v>
      </c>
      <c r="AD650" s="1" t="s">
        <v>11652</v>
      </c>
      <c r="AE650" s="1" t="s">
        <v>11653</v>
      </c>
      <c r="AF650" s="1"/>
      <c r="AG650" s="1" t="n">
        <v>7</v>
      </c>
      <c r="AH650" s="1" t="n">
        <v>0</v>
      </c>
      <c r="AI650" s="1" t="n">
        <v>0</v>
      </c>
      <c r="AJ650" s="1" t="n">
        <v>1</v>
      </c>
      <c r="AK650" s="1" t="n">
        <v>1</v>
      </c>
      <c r="AL650" s="1" t="s">
        <v>106</v>
      </c>
      <c r="AM650" s="1" t="s">
        <v>95</v>
      </c>
      <c r="AN650" s="1" t="s">
        <v>122</v>
      </c>
      <c r="AO650" s="1" t="s">
        <v>3119</v>
      </c>
      <c r="AP650" s="1"/>
      <c r="AQ650" s="1" t="s">
        <v>5497</v>
      </c>
      <c r="AR650" s="1" t="s">
        <v>3121</v>
      </c>
      <c r="AS650" s="1"/>
      <c r="AT650" s="1"/>
      <c r="AU650" s="1" t="n">
        <v>2020</v>
      </c>
      <c r="AV650" s="1"/>
      <c r="AW650" s="1"/>
      <c r="AX650" s="1"/>
      <c r="AY650" s="1"/>
      <c r="AZ650" s="1"/>
      <c r="BA650" s="1"/>
      <c r="BB650" s="1" t="n">
        <v>328</v>
      </c>
      <c r="BC650" s="1" t="n">
        <v>331</v>
      </c>
      <c r="BD650" s="1"/>
      <c r="BE650" s="1" t="s">
        <v>11654</v>
      </c>
      <c r="BF650" s="1" t="str">
        <f aca="false">HYPERLINK("http://dx.doi.org/10.1109/IGARSS39084.2020.9324678","http://dx.doi.org/10.1109/IGARSS39084.2020.9324678")</f>
        <v>http://dx.doi.org/10.1109/IGARSS39084.2020.9324678</v>
      </c>
      <c r="BG650" s="1"/>
      <c r="BH650" s="1"/>
      <c r="BI650" s="1" t="n">
        <v>4</v>
      </c>
      <c r="BJ650" s="1" t="s">
        <v>5499</v>
      </c>
      <c r="BK650" s="1" t="s">
        <v>100</v>
      </c>
      <c r="BL650" s="1" t="s">
        <v>5500</v>
      </c>
      <c r="BM650" s="1" t="s">
        <v>5501</v>
      </c>
      <c r="BN650" s="1"/>
      <c r="BO650" s="1"/>
      <c r="BP650" s="1"/>
      <c r="BQ650" s="1"/>
      <c r="BR650" s="1" t="s">
        <v>103</v>
      </c>
      <c r="BS650" s="1" t="s">
        <v>11655</v>
      </c>
      <c r="BT650" s="1" t="str">
        <f aca="false">HYPERLINK("https%3A%2F%2Fwww.webofscience.com%2Fwos%2Fwoscc%2Ffull-record%2FWOS:000664335300079","View Full Record in Web of Science")</f>
        <v>View Full Record in Web of Science</v>
      </c>
    </row>
    <row r="651" customFormat="false" ht="12.75" hidden="false" customHeight="false" outlineLevel="0" collapsed="false">
      <c r="A651" s="1" t="s">
        <v>72</v>
      </c>
      <c r="B651" s="1" t="s">
        <v>11656</v>
      </c>
      <c r="C651" s="1"/>
      <c r="D651" s="1" t="s">
        <v>11657</v>
      </c>
      <c r="E651" s="1"/>
      <c r="F651" s="1" t="s">
        <v>11658</v>
      </c>
      <c r="G651" s="1"/>
      <c r="H651" s="1"/>
      <c r="I651" s="1" t="s">
        <v>11659</v>
      </c>
      <c r="J651" s="1" t="s">
        <v>11660</v>
      </c>
      <c r="K651" s="1" t="s">
        <v>976</v>
      </c>
      <c r="L651" s="1"/>
      <c r="M651" s="1" t="s">
        <v>78</v>
      </c>
      <c r="N651" s="1" t="s">
        <v>79</v>
      </c>
      <c r="O651" s="1" t="s">
        <v>11661</v>
      </c>
      <c r="P651" s="1" t="s">
        <v>11662</v>
      </c>
      <c r="Q651" s="1" t="s">
        <v>320</v>
      </c>
      <c r="R651" s="1" t="s">
        <v>11663</v>
      </c>
      <c r="S651" s="1"/>
      <c r="T651" s="1" t="s">
        <v>11664</v>
      </c>
      <c r="U651" s="1"/>
      <c r="V651" s="1" t="s">
        <v>11665</v>
      </c>
      <c r="W651" s="1" t="s">
        <v>11666</v>
      </c>
      <c r="X651" s="1" t="s">
        <v>10183</v>
      </c>
      <c r="Y651" s="1" t="s">
        <v>7220</v>
      </c>
      <c r="Z651" s="1" t="s">
        <v>11667</v>
      </c>
      <c r="AA651" s="1" t="s">
        <v>11668</v>
      </c>
      <c r="AB651" s="1" t="s">
        <v>11669</v>
      </c>
      <c r="AC651" s="1" t="s">
        <v>11670</v>
      </c>
      <c r="AD651" s="1" t="s">
        <v>11671</v>
      </c>
      <c r="AE651" s="1" t="s">
        <v>11672</v>
      </c>
      <c r="AF651" s="1"/>
      <c r="AG651" s="1" t="n">
        <v>12</v>
      </c>
      <c r="AH651" s="1" t="n">
        <v>15</v>
      </c>
      <c r="AI651" s="1" t="n">
        <v>15</v>
      </c>
      <c r="AJ651" s="1" t="n">
        <v>0</v>
      </c>
      <c r="AK651" s="1" t="n">
        <v>1</v>
      </c>
      <c r="AL651" s="1" t="s">
        <v>302</v>
      </c>
      <c r="AM651" s="1" t="s">
        <v>303</v>
      </c>
      <c r="AN651" s="1" t="s">
        <v>304</v>
      </c>
      <c r="AO651" s="1" t="s">
        <v>989</v>
      </c>
      <c r="AP651" s="1" t="s">
        <v>990</v>
      </c>
      <c r="AQ651" s="1" t="s">
        <v>11673</v>
      </c>
      <c r="AR651" s="1" t="s">
        <v>992</v>
      </c>
      <c r="AS651" s="1"/>
      <c r="AT651" s="1"/>
      <c r="AU651" s="1" t="n">
        <v>2020</v>
      </c>
      <c r="AV651" s="1" t="n">
        <v>12045</v>
      </c>
      <c r="AW651" s="1"/>
      <c r="AX651" s="1"/>
      <c r="AY651" s="1"/>
      <c r="AZ651" s="1"/>
      <c r="BA651" s="1"/>
      <c r="BB651" s="1" t="n">
        <v>116</v>
      </c>
      <c r="BC651" s="1" t="n">
        <v>123</v>
      </c>
      <c r="BD651" s="1"/>
      <c r="BE651" s="1" t="s">
        <v>11674</v>
      </c>
      <c r="BF651" s="1" t="str">
        <f aca="false">HYPERLINK("http://dx.doi.org/10.1007/978-3-030-44429-7_8","http://dx.doi.org/10.1007/978-3-030-44429-7_8")</f>
        <v>http://dx.doi.org/10.1007/978-3-030-44429-7_8</v>
      </c>
      <c r="BG651" s="1"/>
      <c r="BH651" s="1"/>
      <c r="BI651" s="1" t="n">
        <v>8</v>
      </c>
      <c r="BJ651" s="1" t="s">
        <v>11675</v>
      </c>
      <c r="BK651" s="1" t="s">
        <v>100</v>
      </c>
      <c r="BL651" s="1" t="s">
        <v>101</v>
      </c>
      <c r="BM651" s="1" t="s">
        <v>11676</v>
      </c>
      <c r="BN651" s="1"/>
      <c r="BO651" s="1"/>
      <c r="BP651" s="1"/>
      <c r="BQ651" s="1"/>
      <c r="BR651" s="1" t="s">
        <v>103</v>
      </c>
      <c r="BS651" s="1" t="s">
        <v>11677</v>
      </c>
      <c r="BT651" s="1" t="str">
        <f aca="false">HYPERLINK("https%3A%2F%2Fwww.webofscience.com%2Fwos%2Fwoscc%2Ffull-record%2FWOS:000788011200008","View Full Record in Web of Science")</f>
        <v>View Full Record in Web of Science</v>
      </c>
    </row>
    <row r="652" customFormat="false" ht="12.75" hidden="false" customHeight="false" outlineLevel="0" collapsed="false">
      <c r="A652" s="1" t="s">
        <v>181</v>
      </c>
      <c r="B652" s="1" t="s">
        <v>11678</v>
      </c>
      <c r="C652" s="1"/>
      <c r="D652" s="1"/>
      <c r="E652" s="1"/>
      <c r="F652" s="1" t="s">
        <v>11679</v>
      </c>
      <c r="G652" s="1"/>
      <c r="H652" s="1"/>
      <c r="I652" s="1" t="s">
        <v>11680</v>
      </c>
      <c r="J652" s="1" t="s">
        <v>232</v>
      </c>
      <c r="K652" s="1"/>
      <c r="L652" s="1"/>
      <c r="M652" s="1" t="s">
        <v>78</v>
      </c>
      <c r="N652" s="1" t="s">
        <v>186</v>
      </c>
      <c r="O652" s="1"/>
      <c r="P652" s="1"/>
      <c r="Q652" s="1"/>
      <c r="R652" s="1"/>
      <c r="S652" s="1"/>
      <c r="T652" s="1" t="s">
        <v>11681</v>
      </c>
      <c r="U652" s="1" t="s">
        <v>11682</v>
      </c>
      <c r="V652" s="1" t="s">
        <v>11683</v>
      </c>
      <c r="W652" s="1" t="s">
        <v>11684</v>
      </c>
      <c r="X652" s="1" t="s">
        <v>11685</v>
      </c>
      <c r="Y652" s="1" t="s">
        <v>11686</v>
      </c>
      <c r="Z652" s="1" t="s">
        <v>11687</v>
      </c>
      <c r="AA652" s="1" t="s">
        <v>11688</v>
      </c>
      <c r="AB652" s="1"/>
      <c r="AC652" s="1" t="s">
        <v>11689</v>
      </c>
      <c r="AD652" s="1" t="s">
        <v>11690</v>
      </c>
      <c r="AE652" s="1" t="s">
        <v>11691</v>
      </c>
      <c r="AF652" s="1"/>
      <c r="AG652" s="1" t="n">
        <v>189</v>
      </c>
      <c r="AH652" s="1" t="n">
        <v>1</v>
      </c>
      <c r="AI652" s="1" t="n">
        <v>1</v>
      </c>
      <c r="AJ652" s="1" t="n">
        <v>2</v>
      </c>
      <c r="AK652" s="1" t="n">
        <v>4</v>
      </c>
      <c r="AL652" s="1" t="s">
        <v>244</v>
      </c>
      <c r="AM652" s="1" t="s">
        <v>245</v>
      </c>
      <c r="AN652" s="1" t="s">
        <v>246</v>
      </c>
      <c r="AO652" s="1" t="s">
        <v>247</v>
      </c>
      <c r="AP652" s="1" t="s">
        <v>248</v>
      </c>
      <c r="AQ652" s="1"/>
      <c r="AR652" s="1" t="s">
        <v>249</v>
      </c>
      <c r="AS652" s="1" t="s">
        <v>250</v>
      </c>
      <c r="AT652" s="1"/>
      <c r="AU652" s="1" t="n">
        <v>2023</v>
      </c>
      <c r="AV652" s="1" t="n">
        <v>17</v>
      </c>
      <c r="AW652" s="1" t="n">
        <v>1</v>
      </c>
      <c r="AX652" s="1"/>
      <c r="AY652" s="1"/>
      <c r="AZ652" s="1"/>
      <c r="BA652" s="1"/>
      <c r="BB652" s="1"/>
      <c r="BC652" s="1"/>
      <c r="BD652" s="1" t="n">
        <v>230106</v>
      </c>
      <c r="BE652" s="1" t="s">
        <v>11692</v>
      </c>
      <c r="BF652" s="1" t="str">
        <f aca="false">HYPERLINK("http://dx.doi.org/10.37190/e-Inf230106","http://dx.doi.org/10.37190/e-Inf230106")</f>
        <v>http://dx.doi.org/10.37190/e-Inf230106</v>
      </c>
      <c r="BG652" s="1"/>
      <c r="BH652" s="1"/>
      <c r="BI652" s="1" t="n">
        <v>57</v>
      </c>
      <c r="BJ652" s="1" t="s">
        <v>252</v>
      </c>
      <c r="BK652" s="1" t="s">
        <v>253</v>
      </c>
      <c r="BL652" s="1" t="s">
        <v>101</v>
      </c>
      <c r="BM652" s="1" t="s">
        <v>11693</v>
      </c>
      <c r="BN652" s="1"/>
      <c r="BO652" s="1" t="s">
        <v>11694</v>
      </c>
      <c r="BP652" s="1"/>
      <c r="BQ652" s="1"/>
      <c r="BR652" s="1" t="s">
        <v>103</v>
      </c>
      <c r="BS652" s="1" t="s">
        <v>11695</v>
      </c>
      <c r="BT652" s="1" t="str">
        <f aca="false">HYPERLINK("https%3A%2F%2Fwww.webofscience.com%2Fwos%2Fwoscc%2Ffull-record%2FWOS:001094860300001","View Full Record in Web of Science")</f>
        <v>View Full Record in Web of Science</v>
      </c>
    </row>
    <row r="653" customFormat="false" ht="12.75" hidden="false" customHeight="false" outlineLevel="0" collapsed="false">
      <c r="A653" s="1" t="s">
        <v>181</v>
      </c>
      <c r="B653" s="1" t="s">
        <v>11696</v>
      </c>
      <c r="C653" s="1"/>
      <c r="D653" s="1"/>
      <c r="E653" s="1"/>
      <c r="F653" s="1" t="s">
        <v>11697</v>
      </c>
      <c r="G653" s="1"/>
      <c r="H653" s="1"/>
      <c r="I653" s="1" t="s">
        <v>11698</v>
      </c>
      <c r="J653" s="1" t="s">
        <v>11699</v>
      </c>
      <c r="K653" s="1"/>
      <c r="L653" s="1"/>
      <c r="M653" s="1" t="s">
        <v>78</v>
      </c>
      <c r="N653" s="1" t="s">
        <v>186</v>
      </c>
      <c r="O653" s="1"/>
      <c r="P653" s="1"/>
      <c r="Q653" s="1"/>
      <c r="R653" s="1"/>
      <c r="S653" s="1"/>
      <c r="T653" s="1" t="s">
        <v>11700</v>
      </c>
      <c r="U653" s="1" t="s">
        <v>11701</v>
      </c>
      <c r="V653" s="1" t="s">
        <v>11702</v>
      </c>
      <c r="W653" s="1" t="s">
        <v>11703</v>
      </c>
      <c r="X653" s="1" t="s">
        <v>11704</v>
      </c>
      <c r="Y653" s="1" t="s">
        <v>11705</v>
      </c>
      <c r="Z653" s="1" t="s">
        <v>11706</v>
      </c>
      <c r="AA653" s="1"/>
      <c r="AB653" s="1" t="s">
        <v>11707</v>
      </c>
      <c r="AC653" s="1" t="s">
        <v>11708</v>
      </c>
      <c r="AD653" s="1" t="s">
        <v>11709</v>
      </c>
      <c r="AE653" s="1" t="s">
        <v>11710</v>
      </c>
      <c r="AF653" s="1"/>
      <c r="AG653" s="1" t="n">
        <v>76</v>
      </c>
      <c r="AH653" s="1" t="n">
        <v>2</v>
      </c>
      <c r="AI653" s="1" t="n">
        <v>4</v>
      </c>
      <c r="AJ653" s="1" t="n">
        <v>7</v>
      </c>
      <c r="AK653" s="1" t="n">
        <v>26</v>
      </c>
      <c r="AL653" s="1" t="s">
        <v>11711</v>
      </c>
      <c r="AM653" s="1" t="s">
        <v>11712</v>
      </c>
      <c r="AN653" s="1" t="s">
        <v>11713</v>
      </c>
      <c r="AO653" s="1" t="s">
        <v>11714</v>
      </c>
      <c r="AP653" s="1" t="s">
        <v>11715</v>
      </c>
      <c r="AQ653" s="1"/>
      <c r="AR653" s="1" t="s">
        <v>11716</v>
      </c>
      <c r="AS653" s="1" t="s">
        <v>11717</v>
      </c>
      <c r="AT653" s="1" t="s">
        <v>711</v>
      </c>
      <c r="AU653" s="1" t="n">
        <v>2022</v>
      </c>
      <c r="AV653" s="1" t="n">
        <v>16</v>
      </c>
      <c r="AW653" s="1" t="n">
        <v>2</v>
      </c>
      <c r="AX653" s="1"/>
      <c r="AY653" s="1"/>
      <c r="AZ653" s="1"/>
      <c r="BA653" s="1"/>
      <c r="BB653" s="1" t="n">
        <v>91</v>
      </c>
      <c r="BC653" s="1" t="n">
        <v>105</v>
      </c>
      <c r="BD653" s="1"/>
      <c r="BE653" s="1" t="s">
        <v>11718</v>
      </c>
      <c r="BF653" s="1" t="str">
        <f aca="false">HYPERLINK("http://dx.doi.org/10.57698/v16i2.07","http://dx.doi.org/10.57698/v16i2.07")</f>
        <v>http://dx.doi.org/10.57698/v16i2.07</v>
      </c>
      <c r="BG653" s="1"/>
      <c r="BH653" s="1"/>
      <c r="BI653" s="1" t="n">
        <v>15</v>
      </c>
      <c r="BJ653" s="1" t="s">
        <v>11719</v>
      </c>
      <c r="BK653" s="1" t="s">
        <v>11720</v>
      </c>
      <c r="BL653" s="1" t="s">
        <v>11721</v>
      </c>
      <c r="BM653" s="1" t="s">
        <v>11722</v>
      </c>
      <c r="BN653" s="1"/>
      <c r="BO653" s="1"/>
      <c r="BP653" s="1"/>
      <c r="BQ653" s="1"/>
      <c r="BR653" s="1" t="s">
        <v>103</v>
      </c>
      <c r="BS653" s="1" t="s">
        <v>11723</v>
      </c>
      <c r="BT653" s="1" t="str">
        <f aca="false">HYPERLINK("https%3A%2F%2Fwww.webofscience.com%2Fwos%2Fwoscc%2Ffull-record%2FWOS:000863252500007","View Full Record in Web of Science")</f>
        <v>View Full Record in Web of Science</v>
      </c>
    </row>
    <row r="654" customFormat="false" ht="12.75" hidden="false" customHeight="false" outlineLevel="0" collapsed="false">
      <c r="A654" s="1" t="s">
        <v>181</v>
      </c>
      <c r="B654" s="1" t="s">
        <v>11724</v>
      </c>
      <c r="C654" s="1"/>
      <c r="D654" s="1"/>
      <c r="E654" s="1"/>
      <c r="F654" s="1" t="s">
        <v>11725</v>
      </c>
      <c r="G654" s="1"/>
      <c r="H654" s="1"/>
      <c r="I654" s="1" t="s">
        <v>11726</v>
      </c>
      <c r="J654" s="1" t="s">
        <v>4178</v>
      </c>
      <c r="K654" s="1"/>
      <c r="L654" s="1"/>
      <c r="M654" s="1" t="s">
        <v>78</v>
      </c>
      <c r="N654" s="1" t="s">
        <v>186</v>
      </c>
      <c r="O654" s="1"/>
      <c r="P654" s="1"/>
      <c r="Q654" s="1"/>
      <c r="R654" s="1"/>
      <c r="S654" s="1"/>
      <c r="T654" s="1" t="s">
        <v>11727</v>
      </c>
      <c r="U654" s="1" t="s">
        <v>11728</v>
      </c>
      <c r="V654" s="1" t="s">
        <v>11729</v>
      </c>
      <c r="W654" s="1" t="s">
        <v>11730</v>
      </c>
      <c r="X654" s="1" t="s">
        <v>11731</v>
      </c>
      <c r="Y654" s="1" t="s">
        <v>11732</v>
      </c>
      <c r="Z654" s="1" t="s">
        <v>11733</v>
      </c>
      <c r="AA654" s="1" t="s">
        <v>11734</v>
      </c>
      <c r="AB654" s="1"/>
      <c r="AC654" s="1" t="s">
        <v>11735</v>
      </c>
      <c r="AD654" s="1" t="s">
        <v>11736</v>
      </c>
      <c r="AE654" s="1" t="s">
        <v>11737</v>
      </c>
      <c r="AF654" s="1"/>
      <c r="AG654" s="1" t="n">
        <v>40</v>
      </c>
      <c r="AH654" s="1" t="n">
        <v>0</v>
      </c>
      <c r="AI654" s="1" t="n">
        <v>0</v>
      </c>
      <c r="AJ654" s="1" t="n">
        <v>0</v>
      </c>
      <c r="AK654" s="1" t="n">
        <v>4</v>
      </c>
      <c r="AL654" s="1" t="s">
        <v>600</v>
      </c>
      <c r="AM654" s="1" t="s">
        <v>601</v>
      </c>
      <c r="AN654" s="1" t="s">
        <v>602</v>
      </c>
      <c r="AO654" s="1" t="s">
        <v>4190</v>
      </c>
      <c r="AP654" s="1" t="s">
        <v>4191</v>
      </c>
      <c r="AQ654" s="1"/>
      <c r="AR654" s="1" t="s">
        <v>4192</v>
      </c>
      <c r="AS654" s="1" t="s">
        <v>4193</v>
      </c>
      <c r="AT654" s="1" t="s">
        <v>474</v>
      </c>
      <c r="AU654" s="1" t="n">
        <v>2024</v>
      </c>
      <c r="AV654" s="1" t="n">
        <v>36</v>
      </c>
      <c r="AW654" s="1" t="n">
        <v>9</v>
      </c>
      <c r="AX654" s="1"/>
      <c r="AY654" s="1"/>
      <c r="AZ654" s="1"/>
      <c r="BA654" s="1"/>
      <c r="BB654" s="1"/>
      <c r="BC654" s="1"/>
      <c r="BD654" s="1"/>
      <c r="BE654" s="1" t="s">
        <v>11738</v>
      </c>
      <c r="BF654" s="1" t="str">
        <f aca="false">HYPERLINK("http://dx.doi.org/10.1002/smr.2668","http://dx.doi.org/10.1002/smr.2668")</f>
        <v>http://dx.doi.org/10.1002/smr.2668</v>
      </c>
      <c r="BG654" s="1"/>
      <c r="BH654" s="1" t="s">
        <v>2275</v>
      </c>
      <c r="BI654" s="1" t="n">
        <v>22</v>
      </c>
      <c r="BJ654" s="1" t="s">
        <v>252</v>
      </c>
      <c r="BK654" s="1" t="s">
        <v>204</v>
      </c>
      <c r="BL654" s="1" t="s">
        <v>101</v>
      </c>
      <c r="BM654" s="1" t="s">
        <v>11739</v>
      </c>
      <c r="BN654" s="1"/>
      <c r="BO654" s="1" t="s">
        <v>282</v>
      </c>
      <c r="BP654" s="1"/>
      <c r="BQ654" s="1"/>
      <c r="BR654" s="1" t="s">
        <v>103</v>
      </c>
      <c r="BS654" s="1" t="s">
        <v>11740</v>
      </c>
      <c r="BT654" s="1" t="str">
        <f aca="false">HYPERLINK("https%3A%2F%2Fwww.webofscience.com%2Fwos%2Fwoscc%2Ffull-record%2FWOS:001199811300001","View Full Record in Web of Science")</f>
        <v>View Full Record in Web of Science</v>
      </c>
    </row>
    <row r="655" customFormat="false" ht="12.75" hidden="false" customHeight="false" outlineLevel="0" collapsed="false">
      <c r="A655" s="1" t="s">
        <v>72</v>
      </c>
      <c r="B655" s="1" t="s">
        <v>11741</v>
      </c>
      <c r="C655" s="1"/>
      <c r="D655" s="1"/>
      <c r="E655" s="1" t="s">
        <v>106</v>
      </c>
      <c r="F655" s="1" t="s">
        <v>11742</v>
      </c>
      <c r="G655" s="1"/>
      <c r="H655" s="1"/>
      <c r="I655" s="1" t="s">
        <v>11743</v>
      </c>
      <c r="J655" s="1" t="s">
        <v>3388</v>
      </c>
      <c r="K655" s="1"/>
      <c r="L655" s="1"/>
      <c r="M655" s="1" t="s">
        <v>78</v>
      </c>
      <c r="N655" s="1" t="s">
        <v>79</v>
      </c>
      <c r="O655" s="1" t="s">
        <v>3389</v>
      </c>
      <c r="P655" s="1" t="s">
        <v>3390</v>
      </c>
      <c r="Q655" s="1" t="s">
        <v>2932</v>
      </c>
      <c r="R655" s="1" t="s">
        <v>3391</v>
      </c>
      <c r="S655" s="1"/>
      <c r="T655" s="1" t="s">
        <v>11744</v>
      </c>
      <c r="U655" s="1"/>
      <c r="V655" s="1" t="s">
        <v>11745</v>
      </c>
      <c r="W655" s="1" t="s">
        <v>11746</v>
      </c>
      <c r="X655" s="1" t="s">
        <v>11747</v>
      </c>
      <c r="Y655" s="1" t="s">
        <v>11748</v>
      </c>
      <c r="Z655" s="1" t="s">
        <v>11749</v>
      </c>
      <c r="AA655" s="1" t="s">
        <v>11750</v>
      </c>
      <c r="AB655" s="1" t="s">
        <v>194</v>
      </c>
      <c r="AC655" s="1" t="s">
        <v>11751</v>
      </c>
      <c r="AD655" s="1" t="s">
        <v>11752</v>
      </c>
      <c r="AE655" s="1" t="s">
        <v>11753</v>
      </c>
      <c r="AF655" s="1"/>
      <c r="AG655" s="1" t="n">
        <v>10</v>
      </c>
      <c r="AH655" s="1" t="n">
        <v>1</v>
      </c>
      <c r="AI655" s="1" t="n">
        <v>1</v>
      </c>
      <c r="AJ655" s="1" t="n">
        <v>0</v>
      </c>
      <c r="AK655" s="1" t="n">
        <v>0</v>
      </c>
      <c r="AL655" s="1" t="s">
        <v>106</v>
      </c>
      <c r="AM655" s="1" t="s">
        <v>95</v>
      </c>
      <c r="AN655" s="1" t="s">
        <v>122</v>
      </c>
      <c r="AO655" s="1"/>
      <c r="AP655" s="1"/>
      <c r="AQ655" s="1" t="s">
        <v>3398</v>
      </c>
      <c r="AR655" s="1"/>
      <c r="AS655" s="1"/>
      <c r="AT655" s="1"/>
      <c r="AU655" s="1" t="n">
        <v>2023</v>
      </c>
      <c r="AV655" s="1"/>
      <c r="AW655" s="1"/>
      <c r="AX655" s="1"/>
      <c r="AY655" s="1"/>
      <c r="AZ655" s="1"/>
      <c r="BA655" s="1"/>
      <c r="BB655" s="1"/>
      <c r="BC655" s="1"/>
      <c r="BD655" s="1"/>
      <c r="BE655" s="1" t="s">
        <v>11754</v>
      </c>
      <c r="BF655" s="1" t="str">
        <f aca="false">HYPERLINK("http://dx.doi.org/10.1109/RADARCONF2351548.2023.10149739","http://dx.doi.org/10.1109/RADARCONF2351548.2023.10149739")</f>
        <v>http://dx.doi.org/10.1109/RADARCONF2351548.2023.10149739</v>
      </c>
      <c r="BG655" s="1"/>
      <c r="BH655" s="1"/>
      <c r="BI655" s="1" t="n">
        <v>6</v>
      </c>
      <c r="BJ655" s="1" t="s">
        <v>3400</v>
      </c>
      <c r="BK655" s="1" t="s">
        <v>100</v>
      </c>
      <c r="BL655" s="1" t="s">
        <v>3400</v>
      </c>
      <c r="BM655" s="1" t="s">
        <v>3401</v>
      </c>
      <c r="BN655" s="1"/>
      <c r="BO655" s="1" t="s">
        <v>179</v>
      </c>
      <c r="BP655" s="1"/>
      <c r="BQ655" s="1"/>
      <c r="BR655" s="1" t="s">
        <v>103</v>
      </c>
      <c r="BS655" s="1" t="s">
        <v>11755</v>
      </c>
      <c r="BT655" s="1" t="str">
        <f aca="false">HYPERLINK("https%3A%2F%2Fwww.webofscience.com%2Fwos%2Fwoscc%2Ffull-record%2FWOS:001031599600197","View Full Record in Web of Science")</f>
        <v>View Full Record in Web of Science</v>
      </c>
    </row>
    <row r="656" customFormat="false" ht="12.75" hidden="false" customHeight="false" outlineLevel="0" collapsed="false">
      <c r="A656" s="1" t="s">
        <v>72</v>
      </c>
      <c r="B656" s="1" t="s">
        <v>11756</v>
      </c>
      <c r="C656" s="1"/>
      <c r="D656" s="1"/>
      <c r="E656" s="1" t="s">
        <v>106</v>
      </c>
      <c r="F656" s="1" t="s">
        <v>11757</v>
      </c>
      <c r="G656" s="1"/>
      <c r="H656" s="1"/>
      <c r="I656" s="1" t="s">
        <v>11758</v>
      </c>
      <c r="J656" s="1" t="s">
        <v>6719</v>
      </c>
      <c r="K656" s="1" t="s">
        <v>6720</v>
      </c>
      <c r="L656" s="1"/>
      <c r="M656" s="1" t="s">
        <v>78</v>
      </c>
      <c r="N656" s="1" t="s">
        <v>79</v>
      </c>
      <c r="O656" s="1" t="s">
        <v>6721</v>
      </c>
      <c r="P656" s="1" t="s">
        <v>6722</v>
      </c>
      <c r="Q656" s="1" t="s">
        <v>6723</v>
      </c>
      <c r="R656" s="1" t="s">
        <v>6724</v>
      </c>
      <c r="S656" s="1" t="s">
        <v>6725</v>
      </c>
      <c r="T656" s="1"/>
      <c r="U656" s="1"/>
      <c r="V656" s="1" t="s">
        <v>11759</v>
      </c>
      <c r="W656" s="1" t="s">
        <v>11760</v>
      </c>
      <c r="X656" s="1" t="s">
        <v>5428</v>
      </c>
      <c r="Y656" s="1" t="s">
        <v>11761</v>
      </c>
      <c r="Z656" s="1" t="s">
        <v>11762</v>
      </c>
      <c r="AA656" s="1" t="s">
        <v>11763</v>
      </c>
      <c r="AB656" s="1" t="s">
        <v>11764</v>
      </c>
      <c r="AC656" s="1" t="s">
        <v>11765</v>
      </c>
      <c r="AD656" s="1" t="s">
        <v>11766</v>
      </c>
      <c r="AE656" s="1" t="s">
        <v>11767</v>
      </c>
      <c r="AF656" s="1"/>
      <c r="AG656" s="1" t="n">
        <v>26</v>
      </c>
      <c r="AH656" s="1" t="n">
        <v>0</v>
      </c>
      <c r="AI656" s="1" t="n">
        <v>0</v>
      </c>
      <c r="AJ656" s="1" t="n">
        <v>0</v>
      </c>
      <c r="AK656" s="1" t="n">
        <v>0</v>
      </c>
      <c r="AL656" s="1" t="s">
        <v>106</v>
      </c>
      <c r="AM656" s="1" t="s">
        <v>95</v>
      </c>
      <c r="AN656" s="1" t="s">
        <v>122</v>
      </c>
      <c r="AO656" s="1" t="s">
        <v>6733</v>
      </c>
      <c r="AP656" s="1" t="s">
        <v>6734</v>
      </c>
      <c r="AQ656" s="1" t="s">
        <v>6735</v>
      </c>
      <c r="AR656" s="1" t="s">
        <v>6736</v>
      </c>
      <c r="AS656" s="1"/>
      <c r="AT656" s="1"/>
      <c r="AU656" s="1" t="n">
        <v>2022</v>
      </c>
      <c r="AV656" s="1"/>
      <c r="AW656" s="1"/>
      <c r="AX656" s="1"/>
      <c r="AY656" s="1"/>
      <c r="AZ656" s="1"/>
      <c r="BA656" s="1"/>
      <c r="BB656" s="1" t="n">
        <v>219</v>
      </c>
      <c r="BC656" s="1" t="n">
        <v>226</v>
      </c>
      <c r="BD656" s="1"/>
      <c r="BE656" s="1" t="s">
        <v>11768</v>
      </c>
      <c r="BF656" s="1" t="str">
        <f aca="false">HYPERLINK("http://dx.doi.org/10.1109/ITNAC55475.2022.9998368","http://dx.doi.org/10.1109/ITNAC55475.2022.9998368")</f>
        <v>http://dx.doi.org/10.1109/ITNAC55475.2022.9998368</v>
      </c>
      <c r="BG656" s="1"/>
      <c r="BH656" s="1"/>
      <c r="BI656" s="1" t="n">
        <v>8</v>
      </c>
      <c r="BJ656" s="1" t="s">
        <v>153</v>
      </c>
      <c r="BK656" s="1" t="s">
        <v>100</v>
      </c>
      <c r="BL656" s="1" t="s">
        <v>154</v>
      </c>
      <c r="BM656" s="1" t="s">
        <v>6738</v>
      </c>
      <c r="BN656" s="1"/>
      <c r="BO656" s="1"/>
      <c r="BP656" s="1"/>
      <c r="BQ656" s="1"/>
      <c r="BR656" s="1" t="s">
        <v>103</v>
      </c>
      <c r="BS656" s="1" t="s">
        <v>11769</v>
      </c>
      <c r="BT656" s="1" t="str">
        <f aca="false">HYPERLINK("https%3A%2F%2Fwww.webofscience.com%2Fwos%2Fwoscc%2Ffull-record%2FWOS:000930821700035","View Full Record in Web of Science")</f>
        <v>View Full Record in Web of Science</v>
      </c>
    </row>
    <row r="657" customFormat="false" ht="12.75" hidden="false" customHeight="false" outlineLevel="0" collapsed="false">
      <c r="A657" s="1" t="s">
        <v>181</v>
      </c>
      <c r="B657" s="1" t="s">
        <v>11770</v>
      </c>
      <c r="C657" s="1"/>
      <c r="D657" s="1"/>
      <c r="E657" s="1"/>
      <c r="F657" s="1" t="s">
        <v>11771</v>
      </c>
      <c r="G657" s="1"/>
      <c r="H657" s="1"/>
      <c r="I657" s="1" t="s">
        <v>11772</v>
      </c>
      <c r="J657" s="1" t="s">
        <v>3700</v>
      </c>
      <c r="K657" s="1"/>
      <c r="L657" s="1"/>
      <c r="M657" s="1" t="s">
        <v>78</v>
      </c>
      <c r="N657" s="1" t="s">
        <v>618</v>
      </c>
      <c r="O657" s="1"/>
      <c r="P657" s="1"/>
      <c r="Q657" s="1"/>
      <c r="R657" s="1"/>
      <c r="S657" s="1"/>
      <c r="T657" s="1" t="s">
        <v>11773</v>
      </c>
      <c r="U657" s="1" t="s">
        <v>11774</v>
      </c>
      <c r="V657" s="1" t="s">
        <v>11775</v>
      </c>
      <c r="W657" s="1" t="s">
        <v>11776</v>
      </c>
      <c r="X657" s="1" t="s">
        <v>11777</v>
      </c>
      <c r="Y657" s="1" t="s">
        <v>11778</v>
      </c>
      <c r="Z657" s="1" t="s">
        <v>11779</v>
      </c>
      <c r="AA657" s="1" t="s">
        <v>10439</v>
      </c>
      <c r="AB657" s="1" t="s">
        <v>11780</v>
      </c>
      <c r="AC657" s="1"/>
      <c r="AD657" s="1"/>
      <c r="AE657" s="1"/>
      <c r="AF657" s="1"/>
      <c r="AG657" s="1" t="n">
        <v>75</v>
      </c>
      <c r="AH657" s="1" t="n">
        <v>35</v>
      </c>
      <c r="AI657" s="1" t="n">
        <v>36</v>
      </c>
      <c r="AJ657" s="1" t="n">
        <v>3</v>
      </c>
      <c r="AK657" s="1" t="n">
        <v>22</v>
      </c>
      <c r="AL657" s="1" t="s">
        <v>3711</v>
      </c>
      <c r="AM657" s="1" t="s">
        <v>95</v>
      </c>
      <c r="AN657" s="1" t="s">
        <v>3712</v>
      </c>
      <c r="AO657" s="1" t="s">
        <v>3713</v>
      </c>
      <c r="AP657" s="1" t="s">
        <v>3714</v>
      </c>
      <c r="AQ657" s="1"/>
      <c r="AR657" s="1" t="s">
        <v>3715</v>
      </c>
      <c r="AS657" s="1" t="s">
        <v>3716</v>
      </c>
      <c r="AT657" s="1" t="s">
        <v>474</v>
      </c>
      <c r="AU657" s="1" t="n">
        <v>2020</v>
      </c>
      <c r="AV657" s="1" t="n">
        <v>167</v>
      </c>
      <c r="AW657" s="1"/>
      <c r="AX657" s="1"/>
      <c r="AY657" s="1"/>
      <c r="AZ657" s="1"/>
      <c r="BA657" s="1"/>
      <c r="BB657" s="1"/>
      <c r="BC657" s="1"/>
      <c r="BD657" s="1" t="n">
        <v>110607</v>
      </c>
      <c r="BE657" s="1" t="s">
        <v>11781</v>
      </c>
      <c r="BF657" s="1" t="str">
        <f aca="false">HYPERLINK("http://dx.doi.org/10.1016/j.jss.2020.110607","http://dx.doi.org/10.1016/j.jss.2020.110607")</f>
        <v>http://dx.doi.org/10.1016/j.jss.2020.110607</v>
      </c>
      <c r="BG657" s="1"/>
      <c r="BH657" s="1"/>
      <c r="BI657" s="1" t="n">
        <v>24</v>
      </c>
      <c r="BJ657" s="1" t="s">
        <v>994</v>
      </c>
      <c r="BK657" s="1" t="s">
        <v>204</v>
      </c>
      <c r="BL657" s="1" t="s">
        <v>101</v>
      </c>
      <c r="BM657" s="1" t="s">
        <v>11782</v>
      </c>
      <c r="BN657" s="1"/>
      <c r="BO657" s="1" t="s">
        <v>227</v>
      </c>
      <c r="BP657" s="1"/>
      <c r="BQ657" s="1"/>
      <c r="BR657" s="1" t="s">
        <v>103</v>
      </c>
      <c r="BS657" s="1" t="s">
        <v>11783</v>
      </c>
      <c r="BT657" s="1" t="str">
        <f aca="false">HYPERLINK("https%3A%2F%2Fwww.webofscience.com%2Fwos%2Fwoscc%2Ffull-record%2FWOS:000540166800007","View Full Record in Web of Science")</f>
        <v>View Full Record in Web of Science</v>
      </c>
    </row>
    <row r="658" customFormat="false" ht="12.75" hidden="false" customHeight="false" outlineLevel="0" collapsed="false">
      <c r="A658" s="1" t="s">
        <v>181</v>
      </c>
      <c r="B658" s="1" t="s">
        <v>10060</v>
      </c>
      <c r="C658" s="1"/>
      <c r="D658" s="1"/>
      <c r="E658" s="1"/>
      <c r="F658" s="1" t="s">
        <v>10061</v>
      </c>
      <c r="G658" s="1"/>
      <c r="H658" s="1"/>
      <c r="I658" s="1" t="s">
        <v>11784</v>
      </c>
      <c r="J658" s="1" t="s">
        <v>11785</v>
      </c>
      <c r="K658" s="1"/>
      <c r="L658" s="1"/>
      <c r="M658" s="1" t="s">
        <v>78</v>
      </c>
      <c r="N658" s="1" t="s">
        <v>186</v>
      </c>
      <c r="O658" s="1"/>
      <c r="P658" s="1"/>
      <c r="Q658" s="1"/>
      <c r="R658" s="1"/>
      <c r="S658" s="1"/>
      <c r="T658" s="1" t="s">
        <v>11786</v>
      </c>
      <c r="U658" s="1" t="s">
        <v>11787</v>
      </c>
      <c r="V658" s="1" t="s">
        <v>11788</v>
      </c>
      <c r="W658" s="1" t="s">
        <v>11789</v>
      </c>
      <c r="X658" s="1" t="s">
        <v>10068</v>
      </c>
      <c r="Y658" s="1" t="s">
        <v>11790</v>
      </c>
      <c r="Z658" s="1" t="s">
        <v>11791</v>
      </c>
      <c r="AA658" s="1"/>
      <c r="AB658" s="1" t="s">
        <v>10071</v>
      </c>
      <c r="AC658" s="1" t="s">
        <v>11792</v>
      </c>
      <c r="AD658" s="1" t="s">
        <v>11793</v>
      </c>
      <c r="AE658" s="1" t="s">
        <v>11794</v>
      </c>
      <c r="AF658" s="1"/>
      <c r="AG658" s="1" t="n">
        <v>47</v>
      </c>
      <c r="AH658" s="1" t="n">
        <v>5</v>
      </c>
      <c r="AI658" s="1" t="n">
        <v>5</v>
      </c>
      <c r="AJ658" s="1" t="n">
        <v>1</v>
      </c>
      <c r="AK658" s="1" t="n">
        <v>4</v>
      </c>
      <c r="AL658" s="1" t="s">
        <v>11593</v>
      </c>
      <c r="AM658" s="1" t="s">
        <v>11594</v>
      </c>
      <c r="AN658" s="1" t="s">
        <v>11595</v>
      </c>
      <c r="AO658" s="1" t="s">
        <v>11795</v>
      </c>
      <c r="AP658" s="1"/>
      <c r="AQ658" s="1"/>
      <c r="AR658" s="1" t="s">
        <v>11796</v>
      </c>
      <c r="AS658" s="1" t="s">
        <v>11797</v>
      </c>
      <c r="AT658" s="1"/>
      <c r="AU658" s="1" t="n">
        <v>2020</v>
      </c>
      <c r="AV658" s="1" t="n">
        <v>5</v>
      </c>
      <c r="AW658" s="1" t="n">
        <v>4</v>
      </c>
      <c r="AX658" s="1"/>
      <c r="AY658" s="1"/>
      <c r="AZ658" s="1"/>
      <c r="BA658" s="1"/>
      <c r="BB658" s="1" t="n">
        <v>106</v>
      </c>
      <c r="BC658" s="1" t="n">
        <v>120</v>
      </c>
      <c r="BD658" s="1"/>
      <c r="BE658" s="1" t="s">
        <v>11798</v>
      </c>
      <c r="BF658" s="1" t="str">
        <f aca="false">HYPERLINK("http://dx.doi.org/10.17645/up.v5i4.3554","http://dx.doi.org/10.17645/up.v5i4.3554")</f>
        <v>http://dx.doi.org/10.17645/up.v5i4.3554</v>
      </c>
      <c r="BG658" s="1"/>
      <c r="BH658" s="1"/>
      <c r="BI658" s="1" t="n">
        <v>15</v>
      </c>
      <c r="BJ658" s="1" t="s">
        <v>11799</v>
      </c>
      <c r="BK658" s="1" t="s">
        <v>253</v>
      </c>
      <c r="BL658" s="1" t="s">
        <v>11799</v>
      </c>
      <c r="BM658" s="1" t="s">
        <v>11800</v>
      </c>
      <c r="BN658" s="1"/>
      <c r="BO658" s="1" t="s">
        <v>401</v>
      </c>
      <c r="BP658" s="1"/>
      <c r="BQ658" s="1"/>
      <c r="BR658" s="1" t="s">
        <v>103</v>
      </c>
      <c r="BS658" s="1" t="s">
        <v>11801</v>
      </c>
      <c r="BT658" s="1" t="str">
        <f aca="false">HYPERLINK("https%3A%2F%2Fwww.webofscience.com%2Fwos%2Fwoscc%2Ffull-record%2FWOS:000590951900002","View Full Record in Web of Science")</f>
        <v>View Full Record in Web of Science</v>
      </c>
    </row>
    <row r="659" customFormat="false" ht="12.75" hidden="false" customHeight="false" outlineLevel="0" collapsed="false">
      <c r="A659" s="1" t="s">
        <v>72</v>
      </c>
      <c r="B659" s="1" t="s">
        <v>11802</v>
      </c>
      <c r="C659" s="1"/>
      <c r="D659" s="1"/>
      <c r="E659" s="1" t="s">
        <v>106</v>
      </c>
      <c r="F659" s="1" t="s">
        <v>11803</v>
      </c>
      <c r="G659" s="1"/>
      <c r="H659" s="1"/>
      <c r="I659" s="1" t="s">
        <v>11804</v>
      </c>
      <c r="J659" s="1" t="s">
        <v>11805</v>
      </c>
      <c r="K659" s="1" t="s">
        <v>11806</v>
      </c>
      <c r="L659" s="1"/>
      <c r="M659" s="1" t="s">
        <v>78</v>
      </c>
      <c r="N659" s="1" t="s">
        <v>79</v>
      </c>
      <c r="O659" s="1" t="s">
        <v>11807</v>
      </c>
      <c r="P659" s="1" t="s">
        <v>11808</v>
      </c>
      <c r="Q659" s="1" t="s">
        <v>320</v>
      </c>
      <c r="R659" s="1" t="s">
        <v>11809</v>
      </c>
      <c r="S659" s="1"/>
      <c r="T659" s="1"/>
      <c r="U659" s="1"/>
      <c r="V659" s="1" t="s">
        <v>11810</v>
      </c>
      <c r="W659" s="1" t="s">
        <v>11811</v>
      </c>
      <c r="X659" s="1" t="s">
        <v>6895</v>
      </c>
      <c r="Y659" s="1" t="s">
        <v>11812</v>
      </c>
      <c r="Z659" s="1" t="s">
        <v>11813</v>
      </c>
      <c r="AA659" s="1" t="s">
        <v>11814</v>
      </c>
      <c r="AB659" s="1" t="s">
        <v>11815</v>
      </c>
      <c r="AC659" s="1" t="s">
        <v>11816</v>
      </c>
      <c r="AD659" s="1" t="s">
        <v>11817</v>
      </c>
      <c r="AE659" s="1" t="s">
        <v>11818</v>
      </c>
      <c r="AF659" s="1"/>
      <c r="AG659" s="1" t="n">
        <v>16</v>
      </c>
      <c r="AH659" s="1" t="n">
        <v>5</v>
      </c>
      <c r="AI659" s="1" t="n">
        <v>5</v>
      </c>
      <c r="AJ659" s="1" t="n">
        <v>0</v>
      </c>
      <c r="AK659" s="1" t="n">
        <v>0</v>
      </c>
      <c r="AL659" s="1" t="s">
        <v>106</v>
      </c>
      <c r="AM659" s="1" t="s">
        <v>95</v>
      </c>
      <c r="AN659" s="1" t="s">
        <v>122</v>
      </c>
      <c r="AO659" s="1" t="s">
        <v>11819</v>
      </c>
      <c r="AP659" s="1"/>
      <c r="AQ659" s="1" t="s">
        <v>11820</v>
      </c>
      <c r="AR659" s="1" t="s">
        <v>11821</v>
      </c>
      <c r="AS659" s="1"/>
      <c r="AT659" s="1"/>
      <c r="AU659" s="1" t="n">
        <v>2020</v>
      </c>
      <c r="AV659" s="1"/>
      <c r="AW659" s="1"/>
      <c r="AX659" s="1"/>
      <c r="AY659" s="1"/>
      <c r="AZ659" s="1"/>
      <c r="BA659" s="1"/>
      <c r="BB659" s="1"/>
      <c r="BC659" s="1"/>
      <c r="BD659" s="1"/>
      <c r="BE659" s="1" t="s">
        <v>11822</v>
      </c>
      <c r="BF659" s="1" t="str">
        <f aca="false">HYPERLINK("http://dx.doi.org/10.1109/icc40277.2020.9149088","http://dx.doi.org/10.1109/icc40277.2020.9149088")</f>
        <v>http://dx.doi.org/10.1109/icc40277.2020.9149088</v>
      </c>
      <c r="BG659" s="1"/>
      <c r="BH659" s="1"/>
      <c r="BI659" s="1" t="n">
        <v>6</v>
      </c>
      <c r="BJ659" s="1" t="s">
        <v>153</v>
      </c>
      <c r="BK659" s="1" t="s">
        <v>100</v>
      </c>
      <c r="BL659" s="1" t="s">
        <v>154</v>
      </c>
      <c r="BM659" s="1" t="s">
        <v>11823</v>
      </c>
      <c r="BN659" s="1"/>
      <c r="BO659" s="1"/>
      <c r="BP659" s="1"/>
      <c r="BQ659" s="1"/>
      <c r="BR659" s="1" t="s">
        <v>103</v>
      </c>
      <c r="BS659" s="1" t="s">
        <v>11824</v>
      </c>
      <c r="BT659" s="1" t="str">
        <f aca="false">HYPERLINK("https%3A%2F%2Fwww.webofscience.com%2Fwos%2Fwoscc%2Ffull-record%2FWOS:000606970303006","View Full Record in Web of Science")</f>
        <v>View Full Record in Web of Science</v>
      </c>
    </row>
    <row r="660" customFormat="false" ht="12.75" hidden="false" customHeight="false" outlineLevel="0" collapsed="false">
      <c r="A660" s="1" t="s">
        <v>181</v>
      </c>
      <c r="B660" s="1" t="s">
        <v>11825</v>
      </c>
      <c r="C660" s="1"/>
      <c r="D660" s="1"/>
      <c r="E660" s="1"/>
      <c r="F660" s="1" t="s">
        <v>11826</v>
      </c>
      <c r="G660" s="1"/>
      <c r="H660" s="1"/>
      <c r="I660" s="1" t="s">
        <v>11827</v>
      </c>
      <c r="J660" s="1" t="s">
        <v>232</v>
      </c>
      <c r="K660" s="1"/>
      <c r="L660" s="1"/>
      <c r="M660" s="1" t="s">
        <v>78</v>
      </c>
      <c r="N660" s="1" t="s">
        <v>186</v>
      </c>
      <c r="O660" s="1"/>
      <c r="P660" s="1"/>
      <c r="Q660" s="1"/>
      <c r="R660" s="1"/>
      <c r="S660" s="1"/>
      <c r="T660" s="1" t="s">
        <v>11828</v>
      </c>
      <c r="U660" s="1" t="s">
        <v>11829</v>
      </c>
      <c r="V660" s="1" t="s">
        <v>11830</v>
      </c>
      <c r="W660" s="1" t="s">
        <v>11831</v>
      </c>
      <c r="X660" s="1" t="s">
        <v>11832</v>
      </c>
      <c r="Y660" s="1" t="s">
        <v>11833</v>
      </c>
      <c r="Z660" s="1" t="s">
        <v>11834</v>
      </c>
      <c r="AA660" s="1"/>
      <c r="AB660" s="1"/>
      <c r="AC660" s="1" t="s">
        <v>1186</v>
      </c>
      <c r="AD660" s="1" t="s">
        <v>1186</v>
      </c>
      <c r="AE660" s="1" t="s">
        <v>11835</v>
      </c>
      <c r="AF660" s="1"/>
      <c r="AG660" s="1" t="n">
        <v>96</v>
      </c>
      <c r="AH660" s="1" t="n">
        <v>1</v>
      </c>
      <c r="AI660" s="1" t="n">
        <v>1</v>
      </c>
      <c r="AJ660" s="1" t="n">
        <v>2</v>
      </c>
      <c r="AK660" s="1" t="n">
        <v>11</v>
      </c>
      <c r="AL660" s="1" t="s">
        <v>244</v>
      </c>
      <c r="AM660" s="1" t="s">
        <v>245</v>
      </c>
      <c r="AN660" s="1" t="s">
        <v>246</v>
      </c>
      <c r="AO660" s="1" t="s">
        <v>247</v>
      </c>
      <c r="AP660" s="1" t="s">
        <v>248</v>
      </c>
      <c r="AQ660" s="1"/>
      <c r="AR660" s="1" t="s">
        <v>249</v>
      </c>
      <c r="AS660" s="1" t="s">
        <v>250</v>
      </c>
      <c r="AT660" s="1"/>
      <c r="AU660" s="1" t="n">
        <v>2020</v>
      </c>
      <c r="AV660" s="1" t="n">
        <v>15</v>
      </c>
      <c r="AW660" s="1" t="n">
        <v>1</v>
      </c>
      <c r="AX660" s="1"/>
      <c r="AY660" s="1"/>
      <c r="AZ660" s="1"/>
      <c r="BA660" s="1"/>
      <c r="BB660" s="1" t="n">
        <v>185</v>
      </c>
      <c r="BC660" s="1" t="n">
        <v>204</v>
      </c>
      <c r="BD660" s="1"/>
      <c r="BE660" s="1" t="s">
        <v>11836</v>
      </c>
      <c r="BF660" s="1" t="str">
        <f aca="false">HYPERLINK("http://dx.doi.org/10.37190/e-Inf210109","http://dx.doi.org/10.37190/e-Inf210109")</f>
        <v>http://dx.doi.org/10.37190/e-Inf210109</v>
      </c>
      <c r="BG660" s="1"/>
      <c r="BH660" s="1"/>
      <c r="BI660" s="1" t="n">
        <v>20</v>
      </c>
      <c r="BJ660" s="1" t="s">
        <v>252</v>
      </c>
      <c r="BK660" s="1" t="s">
        <v>253</v>
      </c>
      <c r="BL660" s="1" t="s">
        <v>101</v>
      </c>
      <c r="BM660" s="1" t="s">
        <v>11837</v>
      </c>
      <c r="BN660" s="1"/>
      <c r="BO660" s="1" t="s">
        <v>227</v>
      </c>
      <c r="BP660" s="1"/>
      <c r="BQ660" s="1"/>
      <c r="BR660" s="1" t="s">
        <v>103</v>
      </c>
      <c r="BS660" s="1" t="s">
        <v>11838</v>
      </c>
      <c r="BT660" s="1" t="str">
        <f aca="false">HYPERLINK("https%3A%2F%2Fwww.webofscience.com%2Fwos%2Fwoscc%2Ffull-record%2FWOS:000717776900001","View Full Record in Web of Science")</f>
        <v>View Full Record in Web of Science</v>
      </c>
    </row>
    <row r="661" customFormat="false" ht="12.75" hidden="false" customHeight="false" outlineLevel="0" collapsed="false">
      <c r="A661" s="1" t="s">
        <v>72</v>
      </c>
      <c r="B661" s="1" t="s">
        <v>11839</v>
      </c>
      <c r="C661" s="1"/>
      <c r="D661" s="1" t="s">
        <v>11840</v>
      </c>
      <c r="E661" s="1"/>
      <c r="F661" s="1" t="s">
        <v>11841</v>
      </c>
      <c r="G661" s="1"/>
      <c r="H661" s="1"/>
      <c r="I661" s="1" t="s">
        <v>11842</v>
      </c>
      <c r="J661" s="1" t="s">
        <v>11843</v>
      </c>
      <c r="K661" s="1"/>
      <c r="L661" s="1"/>
      <c r="M661" s="1" t="s">
        <v>78</v>
      </c>
      <c r="N661" s="1" t="s">
        <v>79</v>
      </c>
      <c r="O661" s="1" t="s">
        <v>6495</v>
      </c>
      <c r="P661" s="1" t="s">
        <v>6496</v>
      </c>
      <c r="Q661" s="1" t="s">
        <v>320</v>
      </c>
      <c r="R661" s="1" t="s">
        <v>1086</v>
      </c>
      <c r="S661" s="1"/>
      <c r="T661" s="1"/>
      <c r="U661" s="1"/>
      <c r="V661" s="1" t="s">
        <v>11844</v>
      </c>
      <c r="W661" s="1" t="s">
        <v>11845</v>
      </c>
      <c r="X661" s="1" t="s">
        <v>11846</v>
      </c>
      <c r="Y661" s="1" t="s">
        <v>11847</v>
      </c>
      <c r="Z661" s="1" t="s">
        <v>11848</v>
      </c>
      <c r="AA661" s="1"/>
      <c r="AB661" s="1" t="s">
        <v>11849</v>
      </c>
      <c r="AC661" s="1"/>
      <c r="AD661" s="1"/>
      <c r="AE661" s="1"/>
      <c r="AF661" s="1"/>
      <c r="AG661" s="1" t="n">
        <v>12</v>
      </c>
      <c r="AH661" s="1" t="n">
        <v>0</v>
      </c>
      <c r="AI661" s="1" t="n">
        <v>0</v>
      </c>
      <c r="AJ661" s="1" t="n">
        <v>0</v>
      </c>
      <c r="AK661" s="1" t="n">
        <v>3</v>
      </c>
      <c r="AL661" s="1" t="s">
        <v>172</v>
      </c>
      <c r="AM661" s="1" t="s">
        <v>173</v>
      </c>
      <c r="AN661" s="1" t="s">
        <v>174</v>
      </c>
      <c r="AO661" s="1"/>
      <c r="AP661" s="1"/>
      <c r="AQ661" s="1" t="s">
        <v>11850</v>
      </c>
      <c r="AR661" s="1"/>
      <c r="AS661" s="1"/>
      <c r="AT661" s="1"/>
      <c r="AU661" s="1" t="n">
        <v>2021</v>
      </c>
      <c r="AV661" s="1"/>
      <c r="AW661" s="1"/>
      <c r="AX661" s="1"/>
      <c r="AY661" s="1"/>
      <c r="AZ661" s="1"/>
      <c r="BA661" s="1"/>
      <c r="BB661" s="1" t="n">
        <v>77</v>
      </c>
      <c r="BC661" s="1" t="n">
        <v>79</v>
      </c>
      <c r="BD661" s="1"/>
      <c r="BE661" s="1" t="s">
        <v>11851</v>
      </c>
      <c r="BF661" s="1" t="str">
        <f aca="false">HYPERLINK("http://dx.doi.org/10.1109/REW53955.2021.00018","http://dx.doi.org/10.1109/REW53955.2021.00018")</f>
        <v>http://dx.doi.org/10.1109/REW53955.2021.00018</v>
      </c>
      <c r="BG661" s="1"/>
      <c r="BH661" s="1"/>
      <c r="BI661" s="1" t="n">
        <v>3</v>
      </c>
      <c r="BJ661" s="1" t="s">
        <v>994</v>
      </c>
      <c r="BK661" s="1" t="s">
        <v>100</v>
      </c>
      <c r="BL661" s="1" t="s">
        <v>101</v>
      </c>
      <c r="BM661" s="1" t="s">
        <v>11852</v>
      </c>
      <c r="BN661" s="1"/>
      <c r="BO661" s="1" t="s">
        <v>227</v>
      </c>
      <c r="BP661" s="1"/>
      <c r="BQ661" s="1"/>
      <c r="BR661" s="1" t="s">
        <v>103</v>
      </c>
      <c r="BS661" s="1" t="s">
        <v>11853</v>
      </c>
      <c r="BT661" s="1" t="str">
        <f aca="false">HYPERLINK("https%3A%2F%2Fwww.webofscience.com%2Fwos%2Fwoscc%2Ffull-record%2FWOS:000788547300010","View Full Record in Web of Science")</f>
        <v>View Full Record in Web of Science</v>
      </c>
    </row>
    <row r="662" customFormat="false" ht="12.75" hidden="false" customHeight="false" outlineLevel="0" collapsed="false">
      <c r="A662" s="1" t="s">
        <v>181</v>
      </c>
      <c r="B662" s="1" t="s">
        <v>11854</v>
      </c>
      <c r="C662" s="1"/>
      <c r="D662" s="1"/>
      <c r="E662" s="1"/>
      <c r="F662" s="1" t="s">
        <v>11855</v>
      </c>
      <c r="G662" s="1"/>
      <c r="H662" s="1"/>
      <c r="I662" s="1" t="s">
        <v>11856</v>
      </c>
      <c r="J662" s="1" t="s">
        <v>4178</v>
      </c>
      <c r="K662" s="1"/>
      <c r="L662" s="1"/>
      <c r="M662" s="1" t="s">
        <v>78</v>
      </c>
      <c r="N662" s="1" t="s">
        <v>618</v>
      </c>
      <c r="O662" s="1"/>
      <c r="P662" s="1"/>
      <c r="Q662" s="1"/>
      <c r="R662" s="1"/>
      <c r="S662" s="1"/>
      <c r="T662" s="1" t="s">
        <v>11857</v>
      </c>
      <c r="U662" s="1" t="s">
        <v>11858</v>
      </c>
      <c r="V662" s="1" t="s">
        <v>11859</v>
      </c>
      <c r="W662" s="1" t="s">
        <v>11860</v>
      </c>
      <c r="X662" s="1" t="s">
        <v>11861</v>
      </c>
      <c r="Y662" s="1" t="s">
        <v>4222</v>
      </c>
      <c r="Z662" s="1" t="s">
        <v>4223</v>
      </c>
      <c r="AA662" s="1" t="s">
        <v>11862</v>
      </c>
      <c r="AB662" s="1" t="s">
        <v>11863</v>
      </c>
      <c r="AC662" s="1" t="s">
        <v>11864</v>
      </c>
      <c r="AD662" s="1" t="s">
        <v>11865</v>
      </c>
      <c r="AE662" s="1" t="s">
        <v>11866</v>
      </c>
      <c r="AF662" s="1"/>
      <c r="AG662" s="1" t="n">
        <v>78</v>
      </c>
      <c r="AH662" s="1" t="n">
        <v>4</v>
      </c>
      <c r="AI662" s="1" t="n">
        <v>5</v>
      </c>
      <c r="AJ662" s="1" t="n">
        <v>5</v>
      </c>
      <c r="AK662" s="1" t="n">
        <v>30</v>
      </c>
      <c r="AL662" s="1" t="s">
        <v>600</v>
      </c>
      <c r="AM662" s="1" t="s">
        <v>601</v>
      </c>
      <c r="AN662" s="1" t="s">
        <v>602</v>
      </c>
      <c r="AO662" s="1" t="s">
        <v>4190</v>
      </c>
      <c r="AP662" s="1" t="s">
        <v>4191</v>
      </c>
      <c r="AQ662" s="1"/>
      <c r="AR662" s="1" t="s">
        <v>4192</v>
      </c>
      <c r="AS662" s="1" t="s">
        <v>4193</v>
      </c>
      <c r="AT662" s="1" t="s">
        <v>2698</v>
      </c>
      <c r="AU662" s="1" t="n">
        <v>2020</v>
      </c>
      <c r="AV662" s="1" t="n">
        <v>32</v>
      </c>
      <c r="AW662" s="1" t="n">
        <v>6</v>
      </c>
      <c r="AX662" s="1"/>
      <c r="AY662" s="1"/>
      <c r="AZ662" s="1"/>
      <c r="BA662" s="1"/>
      <c r="BB662" s="1"/>
      <c r="BC662" s="1"/>
      <c r="BD662" s="1" t="s">
        <v>11867</v>
      </c>
      <c r="BE662" s="1" t="s">
        <v>11868</v>
      </c>
      <c r="BF662" s="1" t="str">
        <f aca="false">HYPERLINK("http://dx.doi.org/10.1002/smr.2235","http://dx.doi.org/10.1002/smr.2235")</f>
        <v>http://dx.doi.org/10.1002/smr.2235</v>
      </c>
      <c r="BG662" s="1"/>
      <c r="BH662" s="1" t="s">
        <v>1141</v>
      </c>
      <c r="BI662" s="1" t="n">
        <v>21</v>
      </c>
      <c r="BJ662" s="1" t="s">
        <v>252</v>
      </c>
      <c r="BK662" s="1" t="s">
        <v>204</v>
      </c>
      <c r="BL662" s="1" t="s">
        <v>101</v>
      </c>
      <c r="BM662" s="1" t="s">
        <v>11869</v>
      </c>
      <c r="BN662" s="1"/>
      <c r="BO662" s="1" t="s">
        <v>227</v>
      </c>
      <c r="BP662" s="1"/>
      <c r="BQ662" s="1"/>
      <c r="BR662" s="1" t="s">
        <v>103</v>
      </c>
      <c r="BS662" s="1" t="s">
        <v>11870</v>
      </c>
      <c r="BT662" s="1" t="str">
        <f aca="false">HYPERLINK("https%3A%2F%2Fwww.webofscience.com%2Fwos%2Fwoscc%2Ffull-record%2FWOS:000503853200001","View Full Record in Web of Science")</f>
        <v>View Full Record in Web of Science</v>
      </c>
    </row>
    <row r="663" customFormat="false" ht="12.75" hidden="false" customHeight="false" outlineLevel="0" collapsed="false">
      <c r="A663" s="1" t="s">
        <v>181</v>
      </c>
      <c r="B663" s="1" t="s">
        <v>11871</v>
      </c>
      <c r="C663" s="1"/>
      <c r="D663" s="1"/>
      <c r="E663" s="1"/>
      <c r="F663" s="1" t="s">
        <v>11872</v>
      </c>
      <c r="G663" s="1"/>
      <c r="H663" s="1"/>
      <c r="I663" s="1" t="s">
        <v>11873</v>
      </c>
      <c r="J663" s="1" t="s">
        <v>11874</v>
      </c>
      <c r="K663" s="1"/>
      <c r="L663" s="1"/>
      <c r="M663" s="1" t="s">
        <v>78</v>
      </c>
      <c r="N663" s="1" t="s">
        <v>186</v>
      </c>
      <c r="O663" s="1"/>
      <c r="P663" s="1"/>
      <c r="Q663" s="1"/>
      <c r="R663" s="1"/>
      <c r="S663" s="1"/>
      <c r="T663" s="1" t="s">
        <v>11875</v>
      </c>
      <c r="U663" s="1"/>
      <c r="V663" s="1" t="s">
        <v>11876</v>
      </c>
      <c r="W663" s="1" t="s">
        <v>11877</v>
      </c>
      <c r="X663" s="1" t="s">
        <v>11878</v>
      </c>
      <c r="Y663" s="1" t="s">
        <v>11879</v>
      </c>
      <c r="Z663" s="1" t="s">
        <v>11880</v>
      </c>
      <c r="AA663" s="1" t="s">
        <v>11881</v>
      </c>
      <c r="AB663" s="1" t="s">
        <v>11882</v>
      </c>
      <c r="AC663" s="1" t="s">
        <v>11883</v>
      </c>
      <c r="AD663" s="1" t="s">
        <v>11884</v>
      </c>
      <c r="AE663" s="1" t="s">
        <v>11885</v>
      </c>
      <c r="AF663" s="1"/>
      <c r="AG663" s="1" t="n">
        <v>43</v>
      </c>
      <c r="AH663" s="1" t="n">
        <v>0</v>
      </c>
      <c r="AI663" s="1" t="n">
        <v>0</v>
      </c>
      <c r="AJ663" s="1" t="n">
        <v>10</v>
      </c>
      <c r="AK663" s="1" t="n">
        <v>10</v>
      </c>
      <c r="AL663" s="1" t="s">
        <v>195</v>
      </c>
      <c r="AM663" s="1" t="s">
        <v>196</v>
      </c>
      <c r="AN663" s="1" t="s">
        <v>197</v>
      </c>
      <c r="AO663" s="1" t="s">
        <v>11886</v>
      </c>
      <c r="AP663" s="1" t="s">
        <v>11887</v>
      </c>
      <c r="AQ663" s="1"/>
      <c r="AR663" s="1" t="s">
        <v>11888</v>
      </c>
      <c r="AS663" s="1" t="s">
        <v>11889</v>
      </c>
      <c r="AT663" s="1"/>
      <c r="AU663" s="1" t="n">
        <v>2024</v>
      </c>
      <c r="AV663" s="1" t="n">
        <v>73</v>
      </c>
      <c r="AW663" s="1"/>
      <c r="AX663" s="1"/>
      <c r="AY663" s="1"/>
      <c r="AZ663" s="1"/>
      <c r="BA663" s="1"/>
      <c r="BB663" s="1"/>
      <c r="BC663" s="1"/>
      <c r="BD663" s="1" t="n">
        <v>2521912</v>
      </c>
      <c r="BE663" s="1" t="s">
        <v>11890</v>
      </c>
      <c r="BF663" s="1" t="str">
        <f aca="false">HYPERLINK("http://dx.doi.org/10.1109/TIM.2024.3415769","http://dx.doi.org/10.1109/TIM.2024.3415769")</f>
        <v>http://dx.doi.org/10.1109/TIM.2024.3415769</v>
      </c>
      <c r="BG663" s="1"/>
      <c r="BH663" s="1"/>
      <c r="BI663" s="1" t="n">
        <v>12</v>
      </c>
      <c r="BJ663" s="1" t="s">
        <v>9649</v>
      </c>
      <c r="BK663" s="1" t="s">
        <v>204</v>
      </c>
      <c r="BL663" s="1" t="s">
        <v>9650</v>
      </c>
      <c r="BM663" s="1" t="s">
        <v>11891</v>
      </c>
      <c r="BN663" s="1"/>
      <c r="BO663" s="1"/>
      <c r="BP663" s="1"/>
      <c r="BQ663" s="1"/>
      <c r="BR663" s="1" t="s">
        <v>103</v>
      </c>
      <c r="BS663" s="1" t="s">
        <v>11892</v>
      </c>
      <c r="BT663" s="1" t="str">
        <f aca="false">HYPERLINK("https%3A%2F%2Fwww.webofscience.com%2Fwos%2Fwoscc%2Ffull-record%2FWOS:001256748300040","View Full Record in Web of Science")</f>
        <v>View Full Record in Web of Science</v>
      </c>
    </row>
    <row r="664" customFormat="false" ht="12.75" hidden="false" customHeight="false" outlineLevel="0" collapsed="false">
      <c r="A664" s="1" t="s">
        <v>181</v>
      </c>
      <c r="B664" s="1" t="s">
        <v>11893</v>
      </c>
      <c r="C664" s="1"/>
      <c r="D664" s="1"/>
      <c r="E664" s="1"/>
      <c r="F664" s="1" t="s">
        <v>11894</v>
      </c>
      <c r="G664" s="1"/>
      <c r="H664" s="1"/>
      <c r="I664" s="1" t="s">
        <v>11895</v>
      </c>
      <c r="J664" s="1" t="s">
        <v>11896</v>
      </c>
      <c r="K664" s="1"/>
      <c r="L664" s="1"/>
      <c r="M664" s="1" t="s">
        <v>78</v>
      </c>
      <c r="N664" s="1" t="s">
        <v>1996</v>
      </c>
      <c r="O664" s="1"/>
      <c r="P664" s="1"/>
      <c r="Q664" s="1"/>
      <c r="R664" s="1"/>
      <c r="S664" s="1"/>
      <c r="T664" s="1"/>
      <c r="U664" s="1"/>
      <c r="V664" s="1"/>
      <c r="W664" s="1" t="s">
        <v>11897</v>
      </c>
      <c r="X664" s="1" t="s">
        <v>11898</v>
      </c>
      <c r="Y664" s="1" t="s">
        <v>11899</v>
      </c>
      <c r="Z664" s="1" t="s">
        <v>1110</v>
      </c>
      <c r="AA664" s="1" t="s">
        <v>936</v>
      </c>
      <c r="AB664" s="1" t="s">
        <v>11900</v>
      </c>
      <c r="AC664" s="1"/>
      <c r="AD664" s="1"/>
      <c r="AE664" s="1"/>
      <c r="AF664" s="1"/>
      <c r="AG664" s="1" t="n">
        <v>2</v>
      </c>
      <c r="AH664" s="1" t="n">
        <v>0</v>
      </c>
      <c r="AI664" s="1" t="n">
        <v>0</v>
      </c>
      <c r="AJ664" s="1" t="n">
        <v>0</v>
      </c>
      <c r="AK664" s="1" t="n">
        <v>1</v>
      </c>
      <c r="AL664" s="1" t="s">
        <v>893</v>
      </c>
      <c r="AM664" s="1" t="s">
        <v>894</v>
      </c>
      <c r="AN664" s="1" t="s">
        <v>895</v>
      </c>
      <c r="AO664" s="1" t="s">
        <v>11901</v>
      </c>
      <c r="AP664" s="1" t="s">
        <v>11902</v>
      </c>
      <c r="AQ664" s="1"/>
      <c r="AR664" s="1" t="s">
        <v>11903</v>
      </c>
      <c r="AS664" s="1" t="s">
        <v>11904</v>
      </c>
      <c r="AT664" s="1" t="s">
        <v>421</v>
      </c>
      <c r="AU664" s="1" t="n">
        <v>2022</v>
      </c>
      <c r="AV664" s="1" t="n">
        <v>156</v>
      </c>
      <c r="AW664" s="1"/>
      <c r="AX664" s="1"/>
      <c r="AY664" s="1"/>
      <c r="AZ664" s="1"/>
      <c r="BA664" s="1"/>
      <c r="BB664" s="1" t="n">
        <v>190</v>
      </c>
      <c r="BC664" s="1" t="n">
        <v>191</v>
      </c>
      <c r="BD664" s="1"/>
      <c r="BE664" s="1" t="s">
        <v>11905</v>
      </c>
      <c r="BF664" s="1" t="str">
        <f aca="false">HYPERLINK("http://dx.doi.org/10.1016/j.patrec.2022.03.013","http://dx.doi.org/10.1016/j.patrec.2022.03.013")</f>
        <v>http://dx.doi.org/10.1016/j.patrec.2022.03.013</v>
      </c>
      <c r="BG664" s="1"/>
      <c r="BH664" s="1" t="s">
        <v>1934</v>
      </c>
      <c r="BI664" s="1" t="n">
        <v>2</v>
      </c>
      <c r="BJ664" s="1" t="s">
        <v>1625</v>
      </c>
      <c r="BK664" s="1" t="s">
        <v>204</v>
      </c>
      <c r="BL664" s="1" t="s">
        <v>101</v>
      </c>
      <c r="BM664" s="1" t="s">
        <v>11906</v>
      </c>
      <c r="BN664" s="1"/>
      <c r="BO664" s="1"/>
      <c r="BP664" s="1"/>
      <c r="BQ664" s="1"/>
      <c r="BR664" s="1" t="s">
        <v>103</v>
      </c>
      <c r="BS664" s="1" t="s">
        <v>11907</v>
      </c>
      <c r="BT664" s="1" t="str">
        <f aca="false">HYPERLINK("https%3A%2F%2Fwww.webofscience.com%2Fwos%2Fwoscc%2Ffull-record%2FWOS:000807469400001","View Full Record in Web of Science")</f>
        <v>View Full Record in Web of Science</v>
      </c>
    </row>
    <row r="665" customFormat="false" ht="12.75" hidden="false" customHeight="false" outlineLevel="0" collapsed="false">
      <c r="A665" s="1" t="s">
        <v>72</v>
      </c>
      <c r="B665" s="1" t="s">
        <v>11908</v>
      </c>
      <c r="C665" s="1"/>
      <c r="D665" s="1" t="s">
        <v>5262</v>
      </c>
      <c r="E665" s="1"/>
      <c r="F665" s="1" t="s">
        <v>11909</v>
      </c>
      <c r="G665" s="1"/>
      <c r="H665" s="1"/>
      <c r="I665" s="1" t="s">
        <v>11910</v>
      </c>
      <c r="J665" s="1" t="s">
        <v>5265</v>
      </c>
      <c r="K665" s="1" t="s">
        <v>5266</v>
      </c>
      <c r="L665" s="1"/>
      <c r="M665" s="1" t="s">
        <v>78</v>
      </c>
      <c r="N665" s="1" t="s">
        <v>79</v>
      </c>
      <c r="O665" s="1" t="s">
        <v>5267</v>
      </c>
      <c r="P665" s="1" t="s">
        <v>5268</v>
      </c>
      <c r="Q665" s="1" t="s">
        <v>5269</v>
      </c>
      <c r="R665" s="1" t="s">
        <v>5270</v>
      </c>
      <c r="S665" s="1"/>
      <c r="T665" s="1" t="s">
        <v>11911</v>
      </c>
      <c r="U665" s="1" t="s">
        <v>11912</v>
      </c>
      <c r="V665" s="1" t="s">
        <v>11913</v>
      </c>
      <c r="W665" s="1" t="s">
        <v>11914</v>
      </c>
      <c r="X665" s="1" t="s">
        <v>11915</v>
      </c>
      <c r="Y665" s="1" t="s">
        <v>11916</v>
      </c>
      <c r="Z665" s="1" t="s">
        <v>11917</v>
      </c>
      <c r="AA665" s="1"/>
      <c r="AB665" s="1"/>
      <c r="AC665" s="1"/>
      <c r="AD665" s="1"/>
      <c r="AE665" s="1"/>
      <c r="AF665" s="1"/>
      <c r="AG665" s="1" t="n">
        <v>45</v>
      </c>
      <c r="AH665" s="1" t="n">
        <v>4</v>
      </c>
      <c r="AI665" s="1" t="n">
        <v>4</v>
      </c>
      <c r="AJ665" s="1" t="n">
        <v>0</v>
      </c>
      <c r="AK665" s="1" t="n">
        <v>0</v>
      </c>
      <c r="AL665" s="1" t="s">
        <v>94</v>
      </c>
      <c r="AM665" s="1" t="s">
        <v>95</v>
      </c>
      <c r="AN665" s="1" t="s">
        <v>96</v>
      </c>
      <c r="AO665" s="1" t="s">
        <v>5282</v>
      </c>
      <c r="AP665" s="1"/>
      <c r="AQ665" s="1" t="s">
        <v>5283</v>
      </c>
      <c r="AR665" s="1" t="s">
        <v>5284</v>
      </c>
      <c r="AS665" s="1"/>
      <c r="AT665" s="1"/>
      <c r="AU665" s="1" t="n">
        <v>2022</v>
      </c>
      <c r="AV665" s="1"/>
      <c r="AW665" s="1"/>
      <c r="AX665" s="1"/>
      <c r="AY665" s="1"/>
      <c r="AZ665" s="1"/>
      <c r="BA665" s="1"/>
      <c r="BB665" s="1" t="n">
        <v>57</v>
      </c>
      <c r="BC665" s="1" t="n">
        <v>68</v>
      </c>
      <c r="BD665" s="1"/>
      <c r="BE665" s="1" t="s">
        <v>11918</v>
      </c>
      <c r="BF665" s="1" t="str">
        <f aca="false">HYPERLINK("http://dx.doi.org/10.1145/3544902.3546256","http://dx.doi.org/10.1145/3544902.3546256")</f>
        <v>http://dx.doi.org/10.1145/3544902.3546256</v>
      </c>
      <c r="BG665" s="1"/>
      <c r="BH665" s="1"/>
      <c r="BI665" s="1" t="n">
        <v>12</v>
      </c>
      <c r="BJ665" s="1" t="s">
        <v>994</v>
      </c>
      <c r="BK665" s="1" t="s">
        <v>100</v>
      </c>
      <c r="BL665" s="1" t="s">
        <v>101</v>
      </c>
      <c r="BM665" s="1" t="s">
        <v>5286</v>
      </c>
      <c r="BN665" s="1"/>
      <c r="BO665" s="1" t="s">
        <v>179</v>
      </c>
      <c r="BP665" s="1"/>
      <c r="BQ665" s="1"/>
      <c r="BR665" s="1" t="s">
        <v>103</v>
      </c>
      <c r="BS665" s="1" t="s">
        <v>11919</v>
      </c>
      <c r="BT665" s="1" t="str">
        <f aca="false">HYPERLINK("https%3A%2F%2Fwww.webofscience.com%2Fwos%2Fwoscc%2Ffull-record%2FWOS:001139214400006","View Full Record in Web of Science")</f>
        <v>View Full Record in Web of Science</v>
      </c>
    </row>
    <row r="666" customFormat="false" ht="12.75" hidden="false" customHeight="false" outlineLevel="0" collapsed="false">
      <c r="A666" s="1" t="s">
        <v>181</v>
      </c>
      <c r="B666" s="1" t="s">
        <v>11920</v>
      </c>
      <c r="C666" s="1"/>
      <c r="D666" s="1"/>
      <c r="E666" s="1"/>
      <c r="F666" s="1" t="s">
        <v>11921</v>
      </c>
      <c r="G666" s="1"/>
      <c r="H666" s="1"/>
      <c r="I666" s="1" t="s">
        <v>11922</v>
      </c>
      <c r="J666" s="1" t="s">
        <v>11923</v>
      </c>
      <c r="K666" s="1"/>
      <c r="L666" s="1"/>
      <c r="M666" s="1" t="s">
        <v>78</v>
      </c>
      <c r="N666" s="1" t="s">
        <v>186</v>
      </c>
      <c r="O666" s="1"/>
      <c r="P666" s="1"/>
      <c r="Q666" s="1"/>
      <c r="R666" s="1"/>
      <c r="S666" s="1"/>
      <c r="T666" s="1" t="s">
        <v>11924</v>
      </c>
      <c r="U666" s="1" t="s">
        <v>11925</v>
      </c>
      <c r="V666" s="1" t="s">
        <v>11926</v>
      </c>
      <c r="W666" s="1" t="s">
        <v>11927</v>
      </c>
      <c r="X666" s="1" t="s">
        <v>11928</v>
      </c>
      <c r="Y666" s="1" t="s">
        <v>11929</v>
      </c>
      <c r="Z666" s="1" t="s">
        <v>11930</v>
      </c>
      <c r="AA666" s="1" t="s">
        <v>11931</v>
      </c>
      <c r="AB666" s="1" t="s">
        <v>11932</v>
      </c>
      <c r="AC666" s="1" t="s">
        <v>11933</v>
      </c>
      <c r="AD666" s="1" t="s">
        <v>11933</v>
      </c>
      <c r="AE666" s="1" t="s">
        <v>11934</v>
      </c>
      <c r="AF666" s="1"/>
      <c r="AG666" s="1" t="n">
        <v>27</v>
      </c>
      <c r="AH666" s="1" t="n">
        <v>0</v>
      </c>
      <c r="AI666" s="1" t="n">
        <v>0</v>
      </c>
      <c r="AJ666" s="1" t="n">
        <v>2</v>
      </c>
      <c r="AK666" s="1" t="n">
        <v>2</v>
      </c>
      <c r="AL666" s="1" t="s">
        <v>2825</v>
      </c>
      <c r="AM666" s="1" t="s">
        <v>2826</v>
      </c>
      <c r="AN666" s="1" t="s">
        <v>2827</v>
      </c>
      <c r="AO666" s="1"/>
      <c r="AP666" s="1" t="s">
        <v>11935</v>
      </c>
      <c r="AQ666" s="1"/>
      <c r="AR666" s="1" t="s">
        <v>11936</v>
      </c>
      <c r="AS666" s="1" t="s">
        <v>11937</v>
      </c>
      <c r="AT666" s="1" t="s">
        <v>11938</v>
      </c>
      <c r="AU666" s="1" t="n">
        <v>2025</v>
      </c>
      <c r="AV666" s="1" t="n">
        <v>11</v>
      </c>
      <c r="AW666" s="1" t="n">
        <v>1</v>
      </c>
      <c r="AX666" s="1"/>
      <c r="AY666" s="1"/>
      <c r="AZ666" s="1"/>
      <c r="BA666" s="1"/>
      <c r="BB666" s="1"/>
      <c r="BC666" s="1"/>
      <c r="BD666" s="1" t="n">
        <v>6</v>
      </c>
      <c r="BE666" s="1" t="s">
        <v>11939</v>
      </c>
      <c r="BF666" s="1" t="str">
        <f aca="false">HYPERLINK("http://dx.doi.org/10.1186/s40729-025-00591-0","http://dx.doi.org/10.1186/s40729-025-00591-0")</f>
        <v>http://dx.doi.org/10.1186/s40729-025-00591-0</v>
      </c>
      <c r="BG666" s="1"/>
      <c r="BH666" s="1"/>
      <c r="BI666" s="1" t="n">
        <v>11</v>
      </c>
      <c r="BJ666" s="1" t="s">
        <v>4910</v>
      </c>
      <c r="BK666" s="1" t="s">
        <v>204</v>
      </c>
      <c r="BL666" s="1" t="s">
        <v>4910</v>
      </c>
      <c r="BM666" s="1" t="s">
        <v>11940</v>
      </c>
      <c r="BN666" s="1" t="n">
        <v>39853624</v>
      </c>
      <c r="BO666" s="1" t="s">
        <v>642</v>
      </c>
      <c r="BP666" s="1"/>
      <c r="BQ666" s="1"/>
      <c r="BR666" s="1" t="s">
        <v>103</v>
      </c>
      <c r="BS666" s="1" t="s">
        <v>11941</v>
      </c>
      <c r="BT666" s="1" t="str">
        <f aca="false">HYPERLINK("https%3A%2F%2Fwww.webofscience.com%2Fwos%2Fwoscc%2Ffull-record%2FWOS:001406227500001","View Full Record in Web of Science")</f>
        <v>View Full Record in Web of Science</v>
      </c>
    </row>
    <row r="667" customFormat="false" ht="12.75" hidden="false" customHeight="false" outlineLevel="0" collapsed="false">
      <c r="A667" s="1" t="s">
        <v>181</v>
      </c>
      <c r="B667" s="1" t="s">
        <v>11942</v>
      </c>
      <c r="C667" s="1"/>
      <c r="D667" s="1"/>
      <c r="E667" s="1"/>
      <c r="F667" s="1" t="s">
        <v>11943</v>
      </c>
      <c r="G667" s="1"/>
      <c r="H667" s="1"/>
      <c r="I667" s="1" t="s">
        <v>11944</v>
      </c>
      <c r="J667" s="1" t="s">
        <v>11945</v>
      </c>
      <c r="K667" s="1"/>
      <c r="L667" s="1"/>
      <c r="M667" s="1" t="s">
        <v>78</v>
      </c>
      <c r="N667" s="1" t="s">
        <v>907</v>
      </c>
      <c r="O667" s="1"/>
      <c r="P667" s="1"/>
      <c r="Q667" s="1"/>
      <c r="R667" s="1"/>
      <c r="S667" s="1"/>
      <c r="T667" s="1" t="s">
        <v>11946</v>
      </c>
      <c r="U667" s="1"/>
      <c r="V667" s="1" t="s">
        <v>11947</v>
      </c>
      <c r="W667" s="1" t="s">
        <v>11948</v>
      </c>
      <c r="X667" s="1" t="s">
        <v>11949</v>
      </c>
      <c r="Y667" s="1" t="s">
        <v>11950</v>
      </c>
      <c r="Z667" s="1" t="s">
        <v>11951</v>
      </c>
      <c r="AA667" s="1" t="s">
        <v>11952</v>
      </c>
      <c r="AB667" s="1" t="s">
        <v>11953</v>
      </c>
      <c r="AC667" s="1" t="s">
        <v>11954</v>
      </c>
      <c r="AD667" s="1" t="s">
        <v>11955</v>
      </c>
      <c r="AE667" s="1" t="s">
        <v>11956</v>
      </c>
      <c r="AF667" s="1"/>
      <c r="AG667" s="1" t="n">
        <v>15</v>
      </c>
      <c r="AH667" s="1" t="n">
        <v>0</v>
      </c>
      <c r="AI667" s="1" t="n">
        <v>0</v>
      </c>
      <c r="AJ667" s="1" t="n">
        <v>2</v>
      </c>
      <c r="AK667" s="1" t="n">
        <v>2</v>
      </c>
      <c r="AL667" s="1" t="s">
        <v>2710</v>
      </c>
      <c r="AM667" s="1" t="s">
        <v>1221</v>
      </c>
      <c r="AN667" s="1" t="s">
        <v>2711</v>
      </c>
      <c r="AO667" s="1" t="s">
        <v>11957</v>
      </c>
      <c r="AP667" s="1" t="s">
        <v>11958</v>
      </c>
      <c r="AQ667" s="1"/>
      <c r="AR667" s="1" t="s">
        <v>11959</v>
      </c>
      <c r="AS667" s="1" t="s">
        <v>11960</v>
      </c>
      <c r="AT667" s="1" t="s">
        <v>11961</v>
      </c>
      <c r="AU667" s="1" t="n">
        <v>2024</v>
      </c>
      <c r="AV667" s="1"/>
      <c r="AW667" s="1"/>
      <c r="AX667" s="1"/>
      <c r="AY667" s="1"/>
      <c r="AZ667" s="1"/>
      <c r="BA667" s="1"/>
      <c r="BB667" s="1"/>
      <c r="BC667" s="1"/>
      <c r="BD667" s="1"/>
      <c r="BE667" s="1" t="s">
        <v>11962</v>
      </c>
      <c r="BF667" s="1" t="str">
        <f aca="false">HYPERLINK("http://dx.doi.org/10.1080/2326263X.2024.2401663","http://dx.doi.org/10.1080/2326263X.2024.2401663")</f>
        <v>http://dx.doi.org/10.1080/2326263X.2024.2401663</v>
      </c>
      <c r="BG667" s="1"/>
      <c r="BH667" s="1" t="s">
        <v>5135</v>
      </c>
      <c r="BI667" s="1" t="n">
        <v>15</v>
      </c>
      <c r="BJ667" s="1" t="s">
        <v>11963</v>
      </c>
      <c r="BK667" s="1" t="s">
        <v>253</v>
      </c>
      <c r="BL667" s="1" t="s">
        <v>1302</v>
      </c>
      <c r="BM667" s="1" t="s">
        <v>11964</v>
      </c>
      <c r="BN667" s="1"/>
      <c r="BO667" s="1" t="s">
        <v>282</v>
      </c>
      <c r="BP667" s="1"/>
      <c r="BQ667" s="1"/>
      <c r="BR667" s="1" t="s">
        <v>103</v>
      </c>
      <c r="BS667" s="1" t="s">
        <v>11965</v>
      </c>
      <c r="BT667" s="1" t="str">
        <f aca="false">HYPERLINK("https%3A%2F%2Fwww.webofscience.com%2Fwos%2Fwoscc%2Ffull-record%2FWOS:001325628800001","View Full Record in Web of Science")</f>
        <v>View Full Record in Web of Science</v>
      </c>
    </row>
    <row r="668" customFormat="false" ht="12.75" hidden="false" customHeight="false" outlineLevel="0" collapsed="false">
      <c r="A668" s="1" t="s">
        <v>181</v>
      </c>
      <c r="B668" s="1" t="s">
        <v>11966</v>
      </c>
      <c r="C668" s="1"/>
      <c r="D668" s="1"/>
      <c r="E668" s="1"/>
      <c r="F668" s="1" t="s">
        <v>11967</v>
      </c>
      <c r="G668" s="1"/>
      <c r="H668" s="1"/>
      <c r="I668" s="1" t="s">
        <v>11968</v>
      </c>
      <c r="J668" s="1" t="s">
        <v>11969</v>
      </c>
      <c r="K668" s="1"/>
      <c r="L668" s="1"/>
      <c r="M668" s="1" t="s">
        <v>78</v>
      </c>
      <c r="N668" s="1" t="s">
        <v>186</v>
      </c>
      <c r="O668" s="1"/>
      <c r="P668" s="1"/>
      <c r="Q668" s="1"/>
      <c r="R668" s="1"/>
      <c r="S668" s="1"/>
      <c r="T668" s="1" t="s">
        <v>11970</v>
      </c>
      <c r="U668" s="1" t="s">
        <v>11971</v>
      </c>
      <c r="V668" s="1" t="s">
        <v>11972</v>
      </c>
      <c r="W668" s="1" t="s">
        <v>11973</v>
      </c>
      <c r="X668" s="1" t="s">
        <v>11974</v>
      </c>
      <c r="Y668" s="1" t="s">
        <v>11975</v>
      </c>
      <c r="Z668" s="1" t="s">
        <v>11976</v>
      </c>
      <c r="AA668" s="1" t="s">
        <v>11977</v>
      </c>
      <c r="AB668" s="1" t="s">
        <v>11978</v>
      </c>
      <c r="AC668" s="1"/>
      <c r="AD668" s="1"/>
      <c r="AE668" s="1"/>
      <c r="AF668" s="1"/>
      <c r="AG668" s="1" t="n">
        <v>41</v>
      </c>
      <c r="AH668" s="1" t="n">
        <v>3</v>
      </c>
      <c r="AI668" s="1" t="n">
        <v>3</v>
      </c>
      <c r="AJ668" s="1" t="n">
        <v>2</v>
      </c>
      <c r="AK668" s="1" t="n">
        <v>3</v>
      </c>
      <c r="AL668" s="1" t="s">
        <v>600</v>
      </c>
      <c r="AM668" s="1" t="s">
        <v>601</v>
      </c>
      <c r="AN668" s="1" t="s">
        <v>602</v>
      </c>
      <c r="AO668" s="1"/>
      <c r="AP668" s="1" t="s">
        <v>11979</v>
      </c>
      <c r="AQ668" s="1"/>
      <c r="AR668" s="1" t="s">
        <v>11980</v>
      </c>
      <c r="AS668" s="1" t="s">
        <v>11981</v>
      </c>
      <c r="AT668" s="1" t="s">
        <v>1453</v>
      </c>
      <c r="AU668" s="1" t="n">
        <v>2023</v>
      </c>
      <c r="AV668" s="1" t="n">
        <v>4</v>
      </c>
      <c r="AW668" s="1" t="n">
        <v>1</v>
      </c>
      <c r="AX668" s="1"/>
      <c r="AY668" s="1"/>
      <c r="AZ668" s="1"/>
      <c r="BA668" s="1"/>
      <c r="BB668" s="1"/>
      <c r="BC668" s="1"/>
      <c r="BD668" s="1" t="s">
        <v>11982</v>
      </c>
      <c r="BE668" s="1" t="s">
        <v>11983</v>
      </c>
      <c r="BF668" s="1" t="str">
        <f aca="false">HYPERLINK("http://dx.doi.org/10.1002/2688-8319.12205","http://dx.doi.org/10.1002/2688-8319.12205")</f>
        <v>http://dx.doi.org/10.1002/2688-8319.12205</v>
      </c>
      <c r="BG668" s="1"/>
      <c r="BH668" s="1"/>
      <c r="BI668" s="1" t="n">
        <v>7</v>
      </c>
      <c r="BJ668" s="1" t="s">
        <v>11984</v>
      </c>
      <c r="BK668" s="1" t="s">
        <v>253</v>
      </c>
      <c r="BL668" s="1" t="s">
        <v>665</v>
      </c>
      <c r="BM668" s="1" t="s">
        <v>11985</v>
      </c>
      <c r="BN668" s="1"/>
      <c r="BO668" s="1" t="s">
        <v>401</v>
      </c>
      <c r="BP668" s="1"/>
      <c r="BQ668" s="1"/>
      <c r="BR668" s="1" t="s">
        <v>103</v>
      </c>
      <c r="BS668" s="1" t="s">
        <v>11986</v>
      </c>
      <c r="BT668" s="1" t="str">
        <f aca="false">HYPERLINK("https%3A%2F%2Fwww.webofscience.com%2Fwos%2Fwoscc%2Ffull-record%2FWOS:000921332200001","View Full Record in Web of Science")</f>
        <v>View Full Record in Web of Science</v>
      </c>
    </row>
    <row r="669" customFormat="false" ht="12.75" hidden="false" customHeight="false" outlineLevel="0" collapsed="false">
      <c r="A669" s="1" t="s">
        <v>181</v>
      </c>
      <c r="B669" s="1" t="s">
        <v>11987</v>
      </c>
      <c r="C669" s="1"/>
      <c r="D669" s="1"/>
      <c r="E669" s="1"/>
      <c r="F669" s="1" t="s">
        <v>11988</v>
      </c>
      <c r="G669" s="1"/>
      <c r="H669" s="1"/>
      <c r="I669" s="1" t="s">
        <v>11989</v>
      </c>
      <c r="J669" s="1" t="s">
        <v>998</v>
      </c>
      <c r="K669" s="1"/>
      <c r="L669" s="1"/>
      <c r="M669" s="1" t="s">
        <v>78</v>
      </c>
      <c r="N669" s="1" t="s">
        <v>186</v>
      </c>
      <c r="O669" s="1"/>
      <c r="P669" s="1"/>
      <c r="Q669" s="1"/>
      <c r="R669" s="1"/>
      <c r="S669" s="1"/>
      <c r="T669" s="1" t="s">
        <v>11990</v>
      </c>
      <c r="U669" s="1" t="s">
        <v>11991</v>
      </c>
      <c r="V669" s="1" t="s">
        <v>11992</v>
      </c>
      <c r="W669" s="1" t="s">
        <v>11993</v>
      </c>
      <c r="X669" s="1" t="s">
        <v>11994</v>
      </c>
      <c r="Y669" s="1" t="s">
        <v>11995</v>
      </c>
      <c r="Z669" s="1" t="s">
        <v>11996</v>
      </c>
      <c r="AA669" s="1"/>
      <c r="AB669" s="1"/>
      <c r="AC669" s="1"/>
      <c r="AD669" s="1"/>
      <c r="AE669" s="1"/>
      <c r="AF669" s="1"/>
      <c r="AG669" s="1" t="n">
        <v>40</v>
      </c>
      <c r="AH669" s="1" t="n">
        <v>0</v>
      </c>
      <c r="AI669" s="1" t="n">
        <v>0</v>
      </c>
      <c r="AJ669" s="1" t="n">
        <v>0</v>
      </c>
      <c r="AK669" s="1" t="n">
        <v>0</v>
      </c>
      <c r="AL669" s="1" t="s">
        <v>893</v>
      </c>
      <c r="AM669" s="1" t="s">
        <v>894</v>
      </c>
      <c r="AN669" s="1" t="s">
        <v>895</v>
      </c>
      <c r="AO669" s="1" t="s">
        <v>1002</v>
      </c>
      <c r="AP669" s="1" t="s">
        <v>1003</v>
      </c>
      <c r="AQ669" s="1"/>
      <c r="AR669" s="1" t="s">
        <v>1004</v>
      </c>
      <c r="AS669" s="1" t="s">
        <v>1005</v>
      </c>
      <c r="AT669" s="1" t="s">
        <v>1453</v>
      </c>
      <c r="AU669" s="1" t="n">
        <v>2025</v>
      </c>
      <c r="AV669" s="1" t="n">
        <v>229</v>
      </c>
      <c r="AW669" s="1" t="n">
        <v>1</v>
      </c>
      <c r="AX669" s="1"/>
      <c r="AY669" s="1"/>
      <c r="AZ669" s="1"/>
      <c r="BA669" s="1"/>
      <c r="BB669" s="1"/>
      <c r="BC669" s="1"/>
      <c r="BD669" s="1" t="n">
        <v>107842</v>
      </c>
      <c r="BE669" s="1" t="s">
        <v>11997</v>
      </c>
      <c r="BF669" s="1" t="str">
        <f aca="false">HYPERLINK("http://dx.doi.org/10.1016/j.jpaa.2024.107842","http://dx.doi.org/10.1016/j.jpaa.2024.107842")</f>
        <v>http://dx.doi.org/10.1016/j.jpaa.2024.107842</v>
      </c>
      <c r="BG669" s="1"/>
      <c r="BH669" s="1" t="s">
        <v>9347</v>
      </c>
      <c r="BI669" s="1" t="n">
        <v>34</v>
      </c>
      <c r="BJ669" s="1" t="s">
        <v>1007</v>
      </c>
      <c r="BK669" s="1" t="s">
        <v>204</v>
      </c>
      <c r="BL669" s="1" t="s">
        <v>280</v>
      </c>
      <c r="BM669" s="1" t="s">
        <v>11998</v>
      </c>
      <c r="BN669" s="1"/>
      <c r="BO669" s="1" t="s">
        <v>2335</v>
      </c>
      <c r="BP669" s="1"/>
      <c r="BQ669" s="1"/>
      <c r="BR669" s="1" t="s">
        <v>103</v>
      </c>
      <c r="BS669" s="1" t="s">
        <v>11999</v>
      </c>
      <c r="BT669" s="1" t="str">
        <f aca="false">HYPERLINK("https%3A%2F%2Fwww.webofscience.com%2Fwos%2Fwoscc%2Ffull-record%2FWOS:001372913300001","View Full Record in Web of Science")</f>
        <v>View Full Record in Web of Science</v>
      </c>
    </row>
    <row r="670" customFormat="false" ht="12.75" hidden="false" customHeight="false" outlineLevel="0" collapsed="false">
      <c r="A670" s="1" t="s">
        <v>72</v>
      </c>
      <c r="B670" s="1" t="s">
        <v>12000</v>
      </c>
      <c r="C670" s="1"/>
      <c r="D670" s="1" t="s">
        <v>3961</v>
      </c>
      <c r="E670" s="1"/>
      <c r="F670" s="1" t="s">
        <v>12001</v>
      </c>
      <c r="G670" s="1"/>
      <c r="H670" s="1"/>
      <c r="I670" s="1" t="s">
        <v>12002</v>
      </c>
      <c r="J670" s="1" t="s">
        <v>3964</v>
      </c>
      <c r="K670" s="1"/>
      <c r="L670" s="1"/>
      <c r="M670" s="1" t="s">
        <v>78</v>
      </c>
      <c r="N670" s="1" t="s">
        <v>79</v>
      </c>
      <c r="O670" s="1" t="s">
        <v>3965</v>
      </c>
      <c r="P670" s="1" t="s">
        <v>3966</v>
      </c>
      <c r="Q670" s="1" t="s">
        <v>3967</v>
      </c>
      <c r="R670" s="1" t="s">
        <v>3968</v>
      </c>
      <c r="S670" s="1"/>
      <c r="T670" s="1" t="s">
        <v>12003</v>
      </c>
      <c r="U670" s="1"/>
      <c r="V670" s="1" t="s">
        <v>12004</v>
      </c>
      <c r="W670" s="1" t="s">
        <v>12005</v>
      </c>
      <c r="X670" s="1" t="s">
        <v>12006</v>
      </c>
      <c r="Y670" s="1" t="s">
        <v>12007</v>
      </c>
      <c r="Z670" s="1" t="s">
        <v>12008</v>
      </c>
      <c r="AA670" s="1"/>
      <c r="AB670" s="1"/>
      <c r="AC670" s="1"/>
      <c r="AD670" s="1"/>
      <c r="AE670" s="1"/>
      <c r="AF670" s="1"/>
      <c r="AG670" s="1" t="n">
        <v>15</v>
      </c>
      <c r="AH670" s="1" t="n">
        <v>0</v>
      </c>
      <c r="AI670" s="1" t="n">
        <v>0</v>
      </c>
      <c r="AJ670" s="1" t="n">
        <v>0</v>
      </c>
      <c r="AK670" s="1" t="n">
        <v>0</v>
      </c>
      <c r="AL670" s="1" t="s">
        <v>106</v>
      </c>
      <c r="AM670" s="1" t="s">
        <v>95</v>
      </c>
      <c r="AN670" s="1" t="s">
        <v>122</v>
      </c>
      <c r="AO670" s="1"/>
      <c r="AP670" s="1"/>
      <c r="AQ670" s="1" t="s">
        <v>3974</v>
      </c>
      <c r="AR670" s="1"/>
      <c r="AS670" s="1"/>
      <c r="AT670" s="1"/>
      <c r="AU670" s="1" t="n">
        <v>2024</v>
      </c>
      <c r="AV670" s="1"/>
      <c r="AW670" s="1"/>
      <c r="AX670" s="1"/>
      <c r="AY670" s="1"/>
      <c r="AZ670" s="1"/>
      <c r="BA670" s="1"/>
      <c r="BB670" s="1" t="n">
        <v>54</v>
      </c>
      <c r="BC670" s="1" t="n">
        <v>62</v>
      </c>
      <c r="BD670" s="1"/>
      <c r="BE670" s="1" t="s">
        <v>12009</v>
      </c>
      <c r="BF670" s="1" t="str">
        <f aca="false">HYPERLINK("http://dx.doi.org/10.1109/FMEC62297.2024.10710181","http://dx.doi.org/10.1109/FMEC62297.2024.10710181")</f>
        <v>http://dx.doi.org/10.1109/FMEC62297.2024.10710181</v>
      </c>
      <c r="BG670" s="1"/>
      <c r="BH670" s="1"/>
      <c r="BI670" s="1" t="n">
        <v>9</v>
      </c>
      <c r="BJ670" s="1" t="s">
        <v>2136</v>
      </c>
      <c r="BK670" s="1" t="s">
        <v>100</v>
      </c>
      <c r="BL670" s="1" t="s">
        <v>101</v>
      </c>
      <c r="BM670" s="1" t="s">
        <v>3976</v>
      </c>
      <c r="BN670" s="1"/>
      <c r="BO670" s="1"/>
      <c r="BP670" s="1"/>
      <c r="BQ670" s="1"/>
      <c r="BR670" s="1" t="s">
        <v>103</v>
      </c>
      <c r="BS670" s="1" t="s">
        <v>12010</v>
      </c>
      <c r="BT670" s="1" t="str">
        <f aca="false">HYPERLINK("https%3A%2F%2Fwww.webofscience.com%2Fwos%2Fwoscc%2Ffull-record%2FWOS:001343069600007","View Full Record in Web of Science")</f>
        <v>View Full Record in Web of Science</v>
      </c>
    </row>
    <row r="671" customFormat="false" ht="12.75" hidden="false" customHeight="false" outlineLevel="0" collapsed="false">
      <c r="A671" s="1" t="s">
        <v>181</v>
      </c>
      <c r="B671" s="1" t="s">
        <v>12011</v>
      </c>
      <c r="C671" s="1"/>
      <c r="D671" s="1"/>
      <c r="E671" s="1"/>
      <c r="F671" s="1" t="s">
        <v>12012</v>
      </c>
      <c r="G671" s="1"/>
      <c r="H671" s="1"/>
      <c r="I671" s="1" t="s">
        <v>12013</v>
      </c>
      <c r="J671" s="1" t="s">
        <v>12014</v>
      </c>
      <c r="K671" s="1"/>
      <c r="L671" s="1"/>
      <c r="M671" s="1" t="s">
        <v>78</v>
      </c>
      <c r="N671" s="1" t="s">
        <v>186</v>
      </c>
      <c r="O671" s="1"/>
      <c r="P671" s="1"/>
      <c r="Q671" s="1"/>
      <c r="R671" s="1"/>
      <c r="S671" s="1"/>
      <c r="T671" s="1" t="s">
        <v>12015</v>
      </c>
      <c r="U671" s="1" t="s">
        <v>12016</v>
      </c>
      <c r="V671" s="1" t="s">
        <v>12017</v>
      </c>
      <c r="W671" s="1" t="s">
        <v>12018</v>
      </c>
      <c r="X671" s="1" t="s">
        <v>12019</v>
      </c>
      <c r="Y671" s="1" t="s">
        <v>12020</v>
      </c>
      <c r="Z671" s="1" t="s">
        <v>12021</v>
      </c>
      <c r="AA671" s="1" t="s">
        <v>12022</v>
      </c>
      <c r="AB671" s="1"/>
      <c r="AC671" s="1" t="s">
        <v>12023</v>
      </c>
      <c r="AD671" s="1" t="s">
        <v>12023</v>
      </c>
      <c r="AE671" s="1" t="s">
        <v>12024</v>
      </c>
      <c r="AF671" s="1"/>
      <c r="AG671" s="1" t="n">
        <v>54</v>
      </c>
      <c r="AH671" s="1" t="n">
        <v>0</v>
      </c>
      <c r="AI671" s="1" t="n">
        <v>0</v>
      </c>
      <c r="AJ671" s="1" t="n">
        <v>1</v>
      </c>
      <c r="AK671" s="1" t="n">
        <v>1</v>
      </c>
      <c r="AL671" s="1" t="s">
        <v>12025</v>
      </c>
      <c r="AM671" s="1" t="s">
        <v>12026</v>
      </c>
      <c r="AN671" s="1" t="s">
        <v>12027</v>
      </c>
      <c r="AO671" s="1" t="s">
        <v>12028</v>
      </c>
      <c r="AP671" s="1"/>
      <c r="AQ671" s="1"/>
      <c r="AR671" s="1" t="s">
        <v>12029</v>
      </c>
      <c r="AS671" s="1" t="s">
        <v>12030</v>
      </c>
      <c r="AT671" s="1"/>
      <c r="AU671" s="1" t="n">
        <v>2024</v>
      </c>
      <c r="AV671" s="1" t="n">
        <v>40</v>
      </c>
      <c r="AW671" s="1" t="n">
        <v>3</v>
      </c>
      <c r="AX671" s="1"/>
      <c r="AY671" s="1"/>
      <c r="AZ671" s="1"/>
      <c r="BA671" s="1"/>
      <c r="BB671" s="1" t="n">
        <v>472</v>
      </c>
      <c r="BC671" s="1" t="n">
        <v>490</v>
      </c>
      <c r="BD671" s="1"/>
      <c r="BE671" s="1"/>
      <c r="BF671" s="1"/>
      <c r="BG671" s="1"/>
      <c r="BH671" s="1"/>
      <c r="BI671" s="1" t="n">
        <v>19</v>
      </c>
      <c r="BJ671" s="1" t="s">
        <v>12031</v>
      </c>
      <c r="BK671" s="1" t="s">
        <v>204</v>
      </c>
      <c r="BL671" s="1" t="s">
        <v>1602</v>
      </c>
      <c r="BM671" s="1" t="s">
        <v>12032</v>
      </c>
      <c r="BN671" s="1"/>
      <c r="BO671" s="1"/>
      <c r="BP671" s="1"/>
      <c r="BQ671" s="1"/>
      <c r="BR671" s="1" t="s">
        <v>103</v>
      </c>
      <c r="BS671" s="1" t="s">
        <v>12033</v>
      </c>
      <c r="BT671" s="1" t="str">
        <f aca="false">HYPERLINK("https%3A%2F%2Fwww.webofscience.com%2Fwos%2Fwoscc%2Ffull-record%2FWOS:001247168000003","View Full Record in Web of Science")</f>
        <v>View Full Record in Web of Science</v>
      </c>
    </row>
    <row r="672" customFormat="false" ht="12.75" hidden="false" customHeight="false" outlineLevel="0" collapsed="false">
      <c r="A672" s="1" t="s">
        <v>181</v>
      </c>
      <c r="B672" s="1" t="s">
        <v>12034</v>
      </c>
      <c r="C672" s="1"/>
      <c r="D672" s="1"/>
      <c r="E672" s="1"/>
      <c r="F672" s="1" t="s">
        <v>12035</v>
      </c>
      <c r="G672" s="1"/>
      <c r="H672" s="1"/>
      <c r="I672" s="1" t="s">
        <v>12036</v>
      </c>
      <c r="J672" s="1" t="s">
        <v>12037</v>
      </c>
      <c r="K672" s="1"/>
      <c r="L672" s="1"/>
      <c r="M672" s="1" t="s">
        <v>78</v>
      </c>
      <c r="N672" s="1" t="s">
        <v>186</v>
      </c>
      <c r="O672" s="1"/>
      <c r="P672" s="1"/>
      <c r="Q672" s="1"/>
      <c r="R672" s="1"/>
      <c r="S672" s="1"/>
      <c r="T672" s="1" t="s">
        <v>12038</v>
      </c>
      <c r="U672" s="1" t="s">
        <v>12039</v>
      </c>
      <c r="V672" s="1" t="s">
        <v>12040</v>
      </c>
      <c r="W672" s="1" t="s">
        <v>12041</v>
      </c>
      <c r="X672" s="1" t="s">
        <v>12042</v>
      </c>
      <c r="Y672" s="1" t="s">
        <v>12043</v>
      </c>
      <c r="Z672" s="1" t="s">
        <v>12044</v>
      </c>
      <c r="AA672" s="1" t="s">
        <v>12045</v>
      </c>
      <c r="AB672" s="1" t="s">
        <v>12046</v>
      </c>
      <c r="AC672" s="1"/>
      <c r="AD672" s="1"/>
      <c r="AE672" s="1"/>
      <c r="AF672" s="1"/>
      <c r="AG672" s="1" t="n">
        <v>109</v>
      </c>
      <c r="AH672" s="1" t="n">
        <v>4</v>
      </c>
      <c r="AI672" s="1" t="n">
        <v>4</v>
      </c>
      <c r="AJ672" s="1" t="n">
        <v>5</v>
      </c>
      <c r="AK672" s="1" t="n">
        <v>22</v>
      </c>
      <c r="AL672" s="1" t="s">
        <v>12047</v>
      </c>
      <c r="AM672" s="1" t="s">
        <v>12048</v>
      </c>
      <c r="AN672" s="1" t="s">
        <v>12049</v>
      </c>
      <c r="AO672" s="1" t="s">
        <v>12050</v>
      </c>
      <c r="AP672" s="1" t="s">
        <v>12051</v>
      </c>
      <c r="AQ672" s="1"/>
      <c r="AR672" s="1" t="s">
        <v>12052</v>
      </c>
      <c r="AS672" s="1" t="s">
        <v>12053</v>
      </c>
      <c r="AT672" s="1" t="s">
        <v>372</v>
      </c>
      <c r="AU672" s="1" t="n">
        <v>2023</v>
      </c>
      <c r="AV672" s="1" t="n">
        <v>65</v>
      </c>
      <c r="AW672" s="1" t="n">
        <v>6</v>
      </c>
      <c r="AX672" s="1"/>
      <c r="AY672" s="1"/>
      <c r="AZ672" s="1"/>
      <c r="BA672" s="1"/>
      <c r="BB672" s="1" t="n">
        <v>643</v>
      </c>
      <c r="BC672" s="1" t="n">
        <v>676</v>
      </c>
      <c r="BD672" s="1"/>
      <c r="BE672" s="1" t="s">
        <v>12054</v>
      </c>
      <c r="BF672" s="1" t="str">
        <f aca="false">HYPERLINK("http://dx.doi.org/10.1007/s12599-023-00811-0","http://dx.doi.org/10.1007/s12599-023-00811-0")</f>
        <v>http://dx.doi.org/10.1007/s12599-023-00811-0</v>
      </c>
      <c r="BG672" s="1"/>
      <c r="BH672" s="1" t="s">
        <v>5511</v>
      </c>
      <c r="BI672" s="1" t="n">
        <v>34</v>
      </c>
      <c r="BJ672" s="1" t="s">
        <v>4212</v>
      </c>
      <c r="BK672" s="1" t="s">
        <v>204</v>
      </c>
      <c r="BL672" s="1" t="s">
        <v>101</v>
      </c>
      <c r="BM672" s="1" t="s">
        <v>12055</v>
      </c>
      <c r="BN672" s="1"/>
      <c r="BO672" s="1" t="s">
        <v>612</v>
      </c>
      <c r="BP672" s="1"/>
      <c r="BQ672" s="1"/>
      <c r="BR672" s="1" t="s">
        <v>103</v>
      </c>
      <c r="BS672" s="1" t="s">
        <v>12056</v>
      </c>
      <c r="BT672" s="1" t="str">
        <f aca="false">HYPERLINK("https%3A%2F%2Fwww.webofscience.com%2Fwos%2Fwoscc%2Ffull-record%2FWOS:000982391100001","View Full Record in Web of Science")</f>
        <v>View Full Record in Web of Science</v>
      </c>
    </row>
    <row r="673" customFormat="false" ht="12.75" hidden="false" customHeight="false" outlineLevel="0" collapsed="false">
      <c r="A673" s="1" t="s">
        <v>72</v>
      </c>
      <c r="B673" s="1" t="s">
        <v>12057</v>
      </c>
      <c r="C673" s="1"/>
      <c r="D673" s="1" t="s">
        <v>5149</v>
      </c>
      <c r="E673" s="1"/>
      <c r="F673" s="1" t="s">
        <v>12058</v>
      </c>
      <c r="G673" s="1"/>
      <c r="H673" s="1"/>
      <c r="I673" s="1" t="s">
        <v>12059</v>
      </c>
      <c r="J673" s="1" t="s">
        <v>5152</v>
      </c>
      <c r="K673" s="1" t="s">
        <v>5153</v>
      </c>
      <c r="L673" s="1"/>
      <c r="M673" s="1" t="s">
        <v>78</v>
      </c>
      <c r="N673" s="1" t="s">
        <v>79</v>
      </c>
      <c r="O673" s="1" t="s">
        <v>5154</v>
      </c>
      <c r="P673" s="1" t="s">
        <v>5155</v>
      </c>
      <c r="Q673" s="1" t="s">
        <v>5156</v>
      </c>
      <c r="R673" s="1" t="s">
        <v>5157</v>
      </c>
      <c r="S673" s="1"/>
      <c r="T673" s="1"/>
      <c r="U673" s="1"/>
      <c r="V673" s="1" t="s">
        <v>12060</v>
      </c>
      <c r="W673" s="1" t="s">
        <v>12061</v>
      </c>
      <c r="X673" s="1" t="s">
        <v>12062</v>
      </c>
      <c r="Y673" s="1" t="s">
        <v>10230</v>
      </c>
      <c r="Z673" s="1" t="s">
        <v>12063</v>
      </c>
      <c r="AA673" s="1" t="s">
        <v>5254</v>
      </c>
      <c r="AB673" s="1"/>
      <c r="AC673" s="1"/>
      <c r="AD673" s="1"/>
      <c r="AE673" s="1"/>
      <c r="AF673" s="1"/>
      <c r="AG673" s="1" t="n">
        <v>11</v>
      </c>
      <c r="AH673" s="1" t="n">
        <v>1</v>
      </c>
      <c r="AI673" s="1" t="n">
        <v>1</v>
      </c>
      <c r="AJ673" s="1" t="n">
        <v>0</v>
      </c>
      <c r="AK673" s="1" t="n">
        <v>5</v>
      </c>
      <c r="AL673" s="1" t="s">
        <v>5169</v>
      </c>
      <c r="AM673" s="1" t="s">
        <v>5170</v>
      </c>
      <c r="AN673" s="1" t="s">
        <v>5171</v>
      </c>
      <c r="AO673" s="1" t="s">
        <v>5172</v>
      </c>
      <c r="AP673" s="1"/>
      <c r="AQ673" s="1"/>
      <c r="AR673" s="1" t="s">
        <v>5173</v>
      </c>
      <c r="AS673" s="1"/>
      <c r="AT673" s="1"/>
      <c r="AU673" s="1" t="n">
        <v>2023</v>
      </c>
      <c r="AV673" s="1" t="n">
        <v>1284</v>
      </c>
      <c r="AW673" s="1"/>
      <c r="AX673" s="1"/>
      <c r="AY673" s="1"/>
      <c r="AZ673" s="1"/>
      <c r="BA673" s="1"/>
      <c r="BB673" s="1"/>
      <c r="BC673" s="1"/>
      <c r="BD673" s="1" t="n">
        <v>12037</v>
      </c>
      <c r="BE673" s="1" t="s">
        <v>12064</v>
      </c>
      <c r="BF673" s="1" t="str">
        <f aca="false">HYPERLINK("http://dx.doi.org/10.1088/1757-899X/1284/1/012037","http://dx.doi.org/10.1088/1757-899X/1284/1/012037")</f>
        <v>http://dx.doi.org/10.1088/1757-899X/1284/1/012037</v>
      </c>
      <c r="BG673" s="1"/>
      <c r="BH673" s="1"/>
      <c r="BI673" s="1" t="n">
        <v>8</v>
      </c>
      <c r="BJ673" s="1" t="s">
        <v>5175</v>
      </c>
      <c r="BK673" s="1" t="s">
        <v>100</v>
      </c>
      <c r="BL673" s="1" t="s">
        <v>5176</v>
      </c>
      <c r="BM673" s="1" t="s">
        <v>5177</v>
      </c>
      <c r="BN673" s="1"/>
      <c r="BO673" s="1" t="s">
        <v>376</v>
      </c>
      <c r="BP673" s="1"/>
      <c r="BQ673" s="1"/>
      <c r="BR673" s="1" t="s">
        <v>103</v>
      </c>
      <c r="BS673" s="1" t="s">
        <v>12065</v>
      </c>
      <c r="BT673" s="1" t="str">
        <f aca="false">HYPERLINK("https%3A%2F%2Fwww.webofscience.com%2Fwos%2Fwoscc%2Ffull-record%2FWOS:001017824300037","View Full Record in Web of Science")</f>
        <v>View Full Record in Web of Science</v>
      </c>
    </row>
    <row r="674" customFormat="false" ht="12.75" hidden="false" customHeight="false" outlineLevel="0" collapsed="false">
      <c r="A674" s="1" t="s">
        <v>72</v>
      </c>
      <c r="B674" s="1" t="s">
        <v>12066</v>
      </c>
      <c r="C674" s="1"/>
      <c r="D674" s="1" t="s">
        <v>12067</v>
      </c>
      <c r="E674" s="1"/>
      <c r="F674" s="1" t="s">
        <v>12068</v>
      </c>
      <c r="G674" s="1"/>
      <c r="H674" s="1"/>
      <c r="I674" s="1" t="s">
        <v>12069</v>
      </c>
      <c r="J674" s="1" t="s">
        <v>12070</v>
      </c>
      <c r="K674" s="1" t="s">
        <v>5153</v>
      </c>
      <c r="L674" s="1"/>
      <c r="M674" s="1" t="s">
        <v>78</v>
      </c>
      <c r="N674" s="1" t="s">
        <v>79</v>
      </c>
      <c r="O674" s="1" t="s">
        <v>12071</v>
      </c>
      <c r="P674" s="1" t="s">
        <v>12072</v>
      </c>
      <c r="Q674" s="1" t="s">
        <v>320</v>
      </c>
      <c r="R674" s="1" t="s">
        <v>12073</v>
      </c>
      <c r="S674" s="1"/>
      <c r="T674" s="1"/>
      <c r="U674" s="1"/>
      <c r="V674" s="1" t="s">
        <v>12074</v>
      </c>
      <c r="W674" s="1" t="s">
        <v>12075</v>
      </c>
      <c r="X674" s="1" t="s">
        <v>8367</v>
      </c>
      <c r="Y674" s="1" t="s">
        <v>12076</v>
      </c>
      <c r="Z674" s="1" t="s">
        <v>12077</v>
      </c>
      <c r="AA674" s="1" t="s">
        <v>12078</v>
      </c>
      <c r="AB674" s="1"/>
      <c r="AC674" s="1"/>
      <c r="AD674" s="1"/>
      <c r="AE674" s="1"/>
      <c r="AF674" s="1"/>
      <c r="AG674" s="1" t="n">
        <v>10</v>
      </c>
      <c r="AH674" s="1" t="n">
        <v>1</v>
      </c>
      <c r="AI674" s="1" t="n">
        <v>1</v>
      </c>
      <c r="AJ674" s="1" t="n">
        <v>1</v>
      </c>
      <c r="AK674" s="1" t="n">
        <v>4</v>
      </c>
      <c r="AL674" s="1" t="s">
        <v>5169</v>
      </c>
      <c r="AM674" s="1" t="s">
        <v>5170</v>
      </c>
      <c r="AN674" s="1" t="s">
        <v>5171</v>
      </c>
      <c r="AO674" s="1" t="s">
        <v>5172</v>
      </c>
      <c r="AP674" s="1"/>
      <c r="AQ674" s="1"/>
      <c r="AR674" s="1" t="s">
        <v>5173</v>
      </c>
      <c r="AS674" s="1"/>
      <c r="AT674" s="1"/>
      <c r="AU674" s="1" t="n">
        <v>2021</v>
      </c>
      <c r="AV674" s="1" t="n">
        <v>1157</v>
      </c>
      <c r="AW674" s="1"/>
      <c r="AX674" s="1"/>
      <c r="AY674" s="1"/>
      <c r="AZ674" s="1"/>
      <c r="BA674" s="1"/>
      <c r="BB674" s="1"/>
      <c r="BC674" s="1"/>
      <c r="BD674" s="1" t="n">
        <v>12055</v>
      </c>
      <c r="BE674" s="1" t="s">
        <v>12079</v>
      </c>
      <c r="BF674" s="1" t="str">
        <f aca="false">HYPERLINK("http://dx.doi.org/10.1088/1757-899X/1157/1/012055","http://dx.doi.org/10.1088/1757-899X/1157/1/012055")</f>
        <v>http://dx.doi.org/10.1088/1757-899X/1157/1/012055</v>
      </c>
      <c r="BG674" s="1"/>
      <c r="BH674" s="1"/>
      <c r="BI674" s="1" t="n">
        <v>8</v>
      </c>
      <c r="BJ674" s="1" t="s">
        <v>5175</v>
      </c>
      <c r="BK674" s="1" t="s">
        <v>100</v>
      </c>
      <c r="BL674" s="1" t="s">
        <v>5176</v>
      </c>
      <c r="BM674" s="1" t="s">
        <v>12080</v>
      </c>
      <c r="BN674" s="1"/>
      <c r="BO674" s="1" t="s">
        <v>1209</v>
      </c>
      <c r="BP674" s="1"/>
      <c r="BQ674" s="1"/>
      <c r="BR674" s="1" t="s">
        <v>103</v>
      </c>
      <c r="BS674" s="1" t="s">
        <v>12081</v>
      </c>
      <c r="BT674" s="1" t="str">
        <f aca="false">HYPERLINK("https%3A%2F%2Fwww.webofscience.com%2Fwos%2Fwoscc%2Ffull-record%2FWOS:000709634600055","View Full Record in Web of Science")</f>
        <v>View Full Record in Web of Science</v>
      </c>
    </row>
    <row r="675" customFormat="false" ht="12.75" hidden="false" customHeight="false" outlineLevel="0" collapsed="false">
      <c r="A675" s="1" t="s">
        <v>181</v>
      </c>
      <c r="B675" s="1" t="s">
        <v>12082</v>
      </c>
      <c r="C675" s="1"/>
      <c r="D675" s="1"/>
      <c r="E675" s="1"/>
      <c r="F675" s="1" t="s">
        <v>12083</v>
      </c>
      <c r="G675" s="1"/>
      <c r="H675" s="1"/>
      <c r="I675" s="1" t="s">
        <v>12084</v>
      </c>
      <c r="J675" s="1" t="s">
        <v>3700</v>
      </c>
      <c r="K675" s="1"/>
      <c r="L675" s="1"/>
      <c r="M675" s="1" t="s">
        <v>78</v>
      </c>
      <c r="N675" s="1" t="s">
        <v>186</v>
      </c>
      <c r="O675" s="1"/>
      <c r="P675" s="1"/>
      <c r="Q675" s="1"/>
      <c r="R675" s="1"/>
      <c r="S675" s="1"/>
      <c r="T675" s="1" t="s">
        <v>12085</v>
      </c>
      <c r="U675" s="1"/>
      <c r="V675" s="1" t="s">
        <v>12086</v>
      </c>
      <c r="W675" s="1" t="s">
        <v>12087</v>
      </c>
      <c r="X675" s="1" t="s">
        <v>9974</v>
      </c>
      <c r="Y675" s="1" t="s">
        <v>1886</v>
      </c>
      <c r="Z675" s="1" t="s">
        <v>12088</v>
      </c>
      <c r="AA675" s="1" t="s">
        <v>12089</v>
      </c>
      <c r="AB675" s="1" t="s">
        <v>12090</v>
      </c>
      <c r="AC675" s="1" t="s">
        <v>2493</v>
      </c>
      <c r="AD675" s="1" t="s">
        <v>2493</v>
      </c>
      <c r="AE675" s="1" t="s">
        <v>12091</v>
      </c>
      <c r="AF675" s="1"/>
      <c r="AG675" s="1" t="n">
        <v>63</v>
      </c>
      <c r="AH675" s="1" t="n">
        <v>0</v>
      </c>
      <c r="AI675" s="1" t="n">
        <v>0</v>
      </c>
      <c r="AJ675" s="1" t="n">
        <v>1</v>
      </c>
      <c r="AK675" s="1" t="n">
        <v>1</v>
      </c>
      <c r="AL675" s="1" t="s">
        <v>3711</v>
      </c>
      <c r="AM675" s="1" t="s">
        <v>95</v>
      </c>
      <c r="AN675" s="1" t="s">
        <v>3712</v>
      </c>
      <c r="AO675" s="1" t="s">
        <v>3713</v>
      </c>
      <c r="AP675" s="1" t="s">
        <v>3714</v>
      </c>
      <c r="AQ675" s="1"/>
      <c r="AR675" s="1" t="s">
        <v>3715</v>
      </c>
      <c r="AS675" s="1" t="s">
        <v>3716</v>
      </c>
      <c r="AT675" s="1" t="s">
        <v>1362</v>
      </c>
      <c r="AU675" s="1" t="n">
        <v>2024</v>
      </c>
      <c r="AV675" s="1" t="n">
        <v>216</v>
      </c>
      <c r="AW675" s="1"/>
      <c r="AX675" s="1"/>
      <c r="AY675" s="1"/>
      <c r="AZ675" s="1"/>
      <c r="BA675" s="1"/>
      <c r="BB675" s="1"/>
      <c r="BC675" s="1"/>
      <c r="BD675" s="1" t="n">
        <v>112120</v>
      </c>
      <c r="BE675" s="1" t="s">
        <v>12092</v>
      </c>
      <c r="BF675" s="1" t="str">
        <f aca="false">HYPERLINK("http://dx.doi.org/10.1016/j.jss.2024.112120","http://dx.doi.org/10.1016/j.jss.2024.112120")</f>
        <v>http://dx.doi.org/10.1016/j.jss.2024.112120</v>
      </c>
      <c r="BG675" s="1"/>
      <c r="BH675" s="1" t="s">
        <v>1658</v>
      </c>
      <c r="BI675" s="1" t="n">
        <v>16</v>
      </c>
      <c r="BJ675" s="1" t="s">
        <v>994</v>
      </c>
      <c r="BK675" s="1" t="s">
        <v>204</v>
      </c>
      <c r="BL675" s="1" t="s">
        <v>101</v>
      </c>
      <c r="BM675" s="1" t="s">
        <v>12093</v>
      </c>
      <c r="BN675" s="1"/>
      <c r="BO675" s="1" t="s">
        <v>3326</v>
      </c>
      <c r="BP675" s="1"/>
      <c r="BQ675" s="1"/>
      <c r="BR675" s="1" t="s">
        <v>103</v>
      </c>
      <c r="BS675" s="1" t="s">
        <v>12094</v>
      </c>
      <c r="BT675" s="1" t="str">
        <f aca="false">HYPERLINK("https%3A%2F%2Fwww.webofscience.com%2Fwos%2Fwoscc%2Ffull-record%2FWOS:001253392200001","View Full Record in Web of Science")</f>
        <v>View Full Record in Web of Science</v>
      </c>
    </row>
    <row r="676" customFormat="false" ht="12.75" hidden="false" customHeight="false" outlineLevel="0" collapsed="false">
      <c r="A676" s="1" t="s">
        <v>181</v>
      </c>
      <c r="B676" s="1" t="s">
        <v>12095</v>
      </c>
      <c r="C676" s="1"/>
      <c r="D676" s="1"/>
      <c r="E676" s="1"/>
      <c r="F676" s="1" t="s">
        <v>12096</v>
      </c>
      <c r="G676" s="1"/>
      <c r="H676" s="1"/>
      <c r="I676" s="1" t="s">
        <v>12097</v>
      </c>
      <c r="J676" s="1" t="s">
        <v>12098</v>
      </c>
      <c r="K676" s="1"/>
      <c r="L676" s="1"/>
      <c r="M676" s="1" t="s">
        <v>78</v>
      </c>
      <c r="N676" s="1" t="s">
        <v>186</v>
      </c>
      <c r="O676" s="1"/>
      <c r="P676" s="1"/>
      <c r="Q676" s="1"/>
      <c r="R676" s="1"/>
      <c r="S676" s="1"/>
      <c r="T676" s="1" t="s">
        <v>12099</v>
      </c>
      <c r="U676" s="1" t="s">
        <v>12100</v>
      </c>
      <c r="V676" s="1" t="s">
        <v>12101</v>
      </c>
      <c r="W676" s="1" t="s">
        <v>12102</v>
      </c>
      <c r="X676" s="1" t="s">
        <v>7049</v>
      </c>
      <c r="Y676" s="1" t="s">
        <v>12103</v>
      </c>
      <c r="Z676" s="1" t="s">
        <v>12104</v>
      </c>
      <c r="AA676" s="1" t="s">
        <v>12105</v>
      </c>
      <c r="AB676" s="1" t="s">
        <v>12106</v>
      </c>
      <c r="AC676" s="1" t="s">
        <v>12107</v>
      </c>
      <c r="AD676" s="1" t="s">
        <v>12108</v>
      </c>
      <c r="AE676" s="1" t="s">
        <v>12109</v>
      </c>
      <c r="AF676" s="1"/>
      <c r="AG676" s="1" t="n">
        <v>13</v>
      </c>
      <c r="AH676" s="1" t="n">
        <v>0</v>
      </c>
      <c r="AI676" s="1" t="n">
        <v>0</v>
      </c>
      <c r="AJ676" s="1" t="n">
        <v>0</v>
      </c>
      <c r="AK676" s="1" t="n">
        <v>0</v>
      </c>
      <c r="AL676" s="1" t="s">
        <v>12110</v>
      </c>
      <c r="AM676" s="1" t="s">
        <v>12111</v>
      </c>
      <c r="AN676" s="1" t="s">
        <v>12112</v>
      </c>
      <c r="AO676" s="1" t="s">
        <v>12113</v>
      </c>
      <c r="AP676" s="1"/>
      <c r="AQ676" s="1"/>
      <c r="AR676" s="1" t="s">
        <v>12114</v>
      </c>
      <c r="AS676" s="1" t="s">
        <v>12115</v>
      </c>
      <c r="AT676" s="1" t="s">
        <v>372</v>
      </c>
      <c r="AU676" s="1" t="n">
        <v>2023</v>
      </c>
      <c r="AV676" s="1" t="n">
        <v>53</v>
      </c>
      <c r="AW676" s="1" t="n">
        <v>4</v>
      </c>
      <c r="AX676" s="1"/>
      <c r="AY676" s="1"/>
      <c r="AZ676" s="1"/>
      <c r="BA676" s="1"/>
      <c r="BB676" s="1" t="n">
        <v>321</v>
      </c>
      <c r="BC676" s="1" t="n">
        <v>326</v>
      </c>
      <c r="BD676" s="1" t="s">
        <v>12116</v>
      </c>
      <c r="BE676" s="1" t="s">
        <v>12117</v>
      </c>
      <c r="BF676" s="1" t="str">
        <f aca="false">HYPERLINK("http://dx.doi.org/10.28920/dhm53.4.321-326","http://dx.doi.org/10.28920/dhm53.4.321-326")</f>
        <v>http://dx.doi.org/10.28920/dhm53.4.321-326</v>
      </c>
      <c r="BG676" s="1"/>
      <c r="BH676" s="1"/>
      <c r="BI676" s="1" t="n">
        <v>6</v>
      </c>
      <c r="BJ676" s="1" t="s">
        <v>1971</v>
      </c>
      <c r="BK676" s="1" t="s">
        <v>204</v>
      </c>
      <c r="BL676" s="1" t="s">
        <v>1971</v>
      </c>
      <c r="BM676" s="1" t="s">
        <v>12118</v>
      </c>
      <c r="BN676" s="1" t="n">
        <v>38091591</v>
      </c>
      <c r="BO676" s="1"/>
      <c r="BP676" s="1"/>
      <c r="BQ676" s="1"/>
      <c r="BR676" s="1" t="s">
        <v>103</v>
      </c>
      <c r="BS676" s="1" t="s">
        <v>12119</v>
      </c>
      <c r="BT676" s="1" t="str">
        <f aca="false">HYPERLINK("https%3A%2F%2Fwww.webofscience.com%2Fwos%2Fwoscc%2Ffull-record%2FWOS:001163046200005","View Full Record in Web of Science")</f>
        <v>View Full Record in Web of Science</v>
      </c>
    </row>
    <row r="677" customFormat="false" ht="12.75" hidden="false" customHeight="false" outlineLevel="0" collapsed="false">
      <c r="A677" s="1" t="s">
        <v>181</v>
      </c>
      <c r="B677" s="1" t="s">
        <v>12120</v>
      </c>
      <c r="C677" s="1"/>
      <c r="D677" s="1"/>
      <c r="E677" s="1"/>
      <c r="F677" s="1" t="s">
        <v>12121</v>
      </c>
      <c r="G677" s="1"/>
      <c r="H677" s="1"/>
      <c r="I677" s="1" t="s">
        <v>12122</v>
      </c>
      <c r="J677" s="1" t="s">
        <v>12123</v>
      </c>
      <c r="K677" s="1"/>
      <c r="L677" s="1"/>
      <c r="M677" s="1" t="s">
        <v>78</v>
      </c>
      <c r="N677" s="1" t="s">
        <v>186</v>
      </c>
      <c r="O677" s="1"/>
      <c r="P677" s="1"/>
      <c r="Q677" s="1"/>
      <c r="R677" s="1"/>
      <c r="S677" s="1"/>
      <c r="T677" s="1" t="s">
        <v>12124</v>
      </c>
      <c r="U677" s="1" t="s">
        <v>1631</v>
      </c>
      <c r="V677" s="1" t="s">
        <v>12125</v>
      </c>
      <c r="W677" s="1" t="s">
        <v>12126</v>
      </c>
      <c r="X677" s="1" t="s">
        <v>12127</v>
      </c>
      <c r="Y677" s="1" t="s">
        <v>2451</v>
      </c>
      <c r="Z677" s="1"/>
      <c r="AA677" s="1" t="s">
        <v>12128</v>
      </c>
      <c r="AB677" s="1" t="s">
        <v>12129</v>
      </c>
      <c r="AC677" s="1"/>
      <c r="AD677" s="1"/>
      <c r="AE677" s="1"/>
      <c r="AF677" s="1"/>
      <c r="AG677" s="1" t="n">
        <v>10</v>
      </c>
      <c r="AH677" s="1" t="n">
        <v>0</v>
      </c>
      <c r="AI677" s="1" t="n">
        <v>0</v>
      </c>
      <c r="AJ677" s="1" t="n">
        <v>0</v>
      </c>
      <c r="AK677" s="1" t="n">
        <v>0</v>
      </c>
      <c r="AL677" s="1" t="s">
        <v>2710</v>
      </c>
      <c r="AM677" s="1" t="s">
        <v>1221</v>
      </c>
      <c r="AN677" s="1" t="s">
        <v>2711</v>
      </c>
      <c r="AO677" s="1" t="s">
        <v>12130</v>
      </c>
      <c r="AP677" s="1" t="s">
        <v>12131</v>
      </c>
      <c r="AQ677" s="1"/>
      <c r="AR677" s="1" t="s">
        <v>12132</v>
      </c>
      <c r="AS677" s="1" t="s">
        <v>12133</v>
      </c>
      <c r="AT677" s="1" t="s">
        <v>2554</v>
      </c>
      <c r="AU677" s="1" t="n">
        <v>2025</v>
      </c>
      <c r="AV677" s="1" t="n">
        <v>73</v>
      </c>
      <c r="AW677" s="1" t="n">
        <v>1</v>
      </c>
      <c r="AX677" s="1"/>
      <c r="AY677" s="1"/>
      <c r="AZ677" s="1"/>
      <c r="BA677" s="1"/>
      <c r="BB677" s="1" t="n">
        <v>40</v>
      </c>
      <c r="BC677" s="1" t="n">
        <v>48</v>
      </c>
      <c r="BD677" s="1"/>
      <c r="BE677" s="1" t="s">
        <v>12134</v>
      </c>
      <c r="BF677" s="1" t="str">
        <f aca="false">HYPERLINK("http://dx.doi.org/10.1080/03081087.2024.2314205","http://dx.doi.org/10.1080/03081087.2024.2314205")</f>
        <v>http://dx.doi.org/10.1080/03081087.2024.2314205</v>
      </c>
      <c r="BG677" s="1"/>
      <c r="BH677" s="1" t="s">
        <v>2275</v>
      </c>
      <c r="BI677" s="1" t="n">
        <v>9</v>
      </c>
      <c r="BJ677" s="1" t="s">
        <v>280</v>
      </c>
      <c r="BK677" s="1" t="s">
        <v>204</v>
      </c>
      <c r="BL677" s="1" t="s">
        <v>280</v>
      </c>
      <c r="BM677" s="1" t="s">
        <v>12135</v>
      </c>
      <c r="BN677" s="1"/>
      <c r="BO677" s="1" t="s">
        <v>3326</v>
      </c>
      <c r="BP677" s="1"/>
      <c r="BQ677" s="1"/>
      <c r="BR677" s="1" t="s">
        <v>103</v>
      </c>
      <c r="BS677" s="1" t="s">
        <v>12136</v>
      </c>
      <c r="BT677" s="1" t="str">
        <f aca="false">HYPERLINK("https%3A%2F%2Fwww.webofscience.com%2Fwos%2Fwoscc%2Ffull-record%2FWOS:001206069700001","View Full Record in Web of Science")</f>
        <v>View Full Record in Web of Science</v>
      </c>
    </row>
    <row r="678" customFormat="false" ht="12.75" hidden="false" customHeight="false" outlineLevel="0" collapsed="false">
      <c r="A678" s="1" t="s">
        <v>181</v>
      </c>
      <c r="B678" s="1" t="s">
        <v>12137</v>
      </c>
      <c r="C678" s="1"/>
      <c r="D678" s="1"/>
      <c r="E678" s="1"/>
      <c r="F678" s="1" t="s">
        <v>12138</v>
      </c>
      <c r="G678" s="1"/>
      <c r="H678" s="1"/>
      <c r="I678" s="1" t="s">
        <v>12139</v>
      </c>
      <c r="J678" s="1" t="s">
        <v>12140</v>
      </c>
      <c r="K678" s="1"/>
      <c r="L678" s="1"/>
      <c r="M678" s="1" t="s">
        <v>78</v>
      </c>
      <c r="N678" s="1" t="s">
        <v>186</v>
      </c>
      <c r="O678" s="1"/>
      <c r="P678" s="1"/>
      <c r="Q678" s="1"/>
      <c r="R678" s="1"/>
      <c r="S678" s="1"/>
      <c r="T678" s="1" t="s">
        <v>12141</v>
      </c>
      <c r="U678" s="1" t="s">
        <v>12142</v>
      </c>
      <c r="V678" s="1" t="s">
        <v>12143</v>
      </c>
      <c r="W678" s="1" t="s">
        <v>12144</v>
      </c>
      <c r="X678" s="1" t="s">
        <v>12145</v>
      </c>
      <c r="Y678" s="1" t="s">
        <v>12146</v>
      </c>
      <c r="Z678" s="1" t="s">
        <v>10974</v>
      </c>
      <c r="AA678" s="1"/>
      <c r="AB678" s="1" t="s">
        <v>12147</v>
      </c>
      <c r="AC678" s="1"/>
      <c r="AD678" s="1"/>
      <c r="AE678" s="1"/>
      <c r="AF678" s="1"/>
      <c r="AG678" s="1" t="n">
        <v>40</v>
      </c>
      <c r="AH678" s="1" t="n">
        <v>1</v>
      </c>
      <c r="AI678" s="1" t="n">
        <v>1</v>
      </c>
      <c r="AJ678" s="1" t="n">
        <v>0</v>
      </c>
      <c r="AK678" s="1" t="n">
        <v>1</v>
      </c>
      <c r="AL678" s="1" t="s">
        <v>630</v>
      </c>
      <c r="AM678" s="1" t="s">
        <v>631</v>
      </c>
      <c r="AN678" s="1" t="s">
        <v>632</v>
      </c>
      <c r="AO678" s="1" t="s">
        <v>12148</v>
      </c>
      <c r="AP678" s="1" t="s">
        <v>12149</v>
      </c>
      <c r="AQ678" s="1"/>
      <c r="AR678" s="1" t="s">
        <v>12150</v>
      </c>
      <c r="AS678" s="1" t="s">
        <v>12151</v>
      </c>
      <c r="AT678" s="1" t="s">
        <v>12152</v>
      </c>
      <c r="AU678" s="1" t="n">
        <v>2022</v>
      </c>
      <c r="AV678" s="1" t="n">
        <v>23</v>
      </c>
      <c r="AW678" s="1"/>
      <c r="AX678" s="1"/>
      <c r="AY678" s="1"/>
      <c r="AZ678" s="1"/>
      <c r="BA678" s="1"/>
      <c r="BB678" s="1"/>
      <c r="BC678" s="1"/>
      <c r="BD678" s="1" t="s">
        <v>12153</v>
      </c>
      <c r="BE678" s="1" t="s">
        <v>12154</v>
      </c>
      <c r="BF678" s="1" t="str">
        <f aca="false">HYPERLINK("http://dx.doi.org/10.1017/S1463423622000603","http://dx.doi.org/10.1017/S1463423622000603")</f>
        <v>http://dx.doi.org/10.1017/S1463423622000603</v>
      </c>
      <c r="BG678" s="1"/>
      <c r="BH678" s="1"/>
      <c r="BI678" s="1" t="n">
        <v>6</v>
      </c>
      <c r="BJ678" s="1" t="s">
        <v>6692</v>
      </c>
      <c r="BK678" s="1" t="s">
        <v>204</v>
      </c>
      <c r="BL678" s="1" t="s">
        <v>6693</v>
      </c>
      <c r="BM678" s="1" t="s">
        <v>12155</v>
      </c>
      <c r="BN678" s="1" t="n">
        <v>36373476</v>
      </c>
      <c r="BO678" s="1" t="s">
        <v>542</v>
      </c>
      <c r="BP678" s="1"/>
      <c r="BQ678" s="1"/>
      <c r="BR678" s="1" t="s">
        <v>103</v>
      </c>
      <c r="BS678" s="1" t="s">
        <v>12156</v>
      </c>
      <c r="BT678" s="1" t="str">
        <f aca="false">HYPERLINK("https%3A%2F%2Fwww.webofscience.com%2Fwos%2Fwoscc%2Ffull-record%2FWOS:000882873400001","View Full Record in Web of Science")</f>
        <v>View Full Record in Web of Science</v>
      </c>
    </row>
    <row r="679" customFormat="false" ht="12.75" hidden="false" customHeight="false" outlineLevel="0" collapsed="false">
      <c r="A679" s="1" t="s">
        <v>181</v>
      </c>
      <c r="B679" s="1" t="s">
        <v>12157</v>
      </c>
      <c r="C679" s="1"/>
      <c r="D679" s="1"/>
      <c r="E679" s="1"/>
      <c r="F679" s="1" t="s">
        <v>12158</v>
      </c>
      <c r="G679" s="1"/>
      <c r="H679" s="1"/>
      <c r="I679" s="1" t="s">
        <v>12159</v>
      </c>
      <c r="J679" s="1" t="s">
        <v>9080</v>
      </c>
      <c r="K679" s="1"/>
      <c r="L679" s="1"/>
      <c r="M679" s="1" t="s">
        <v>78</v>
      </c>
      <c r="N679" s="1" t="s">
        <v>618</v>
      </c>
      <c r="O679" s="1"/>
      <c r="P679" s="1"/>
      <c r="Q679" s="1"/>
      <c r="R679" s="1"/>
      <c r="S679" s="1"/>
      <c r="T679" s="1" t="s">
        <v>12160</v>
      </c>
      <c r="U679" s="1" t="s">
        <v>12161</v>
      </c>
      <c r="V679" s="1" t="s">
        <v>12162</v>
      </c>
      <c r="W679" s="1" t="s">
        <v>12163</v>
      </c>
      <c r="X679" s="1" t="s">
        <v>12164</v>
      </c>
      <c r="Y679" s="1" t="s">
        <v>5979</v>
      </c>
      <c r="Z679" s="1" t="s">
        <v>12165</v>
      </c>
      <c r="AA679" s="1" t="s">
        <v>5981</v>
      </c>
      <c r="AB679" s="1" t="s">
        <v>4924</v>
      </c>
      <c r="AC679" s="1" t="s">
        <v>268</v>
      </c>
      <c r="AD679" s="1" t="s">
        <v>268</v>
      </c>
      <c r="AE679" s="1" t="s">
        <v>269</v>
      </c>
      <c r="AF679" s="1"/>
      <c r="AG679" s="1" t="n">
        <v>91</v>
      </c>
      <c r="AH679" s="1" t="n">
        <v>53</v>
      </c>
      <c r="AI679" s="1" t="n">
        <v>54</v>
      </c>
      <c r="AJ679" s="1" t="n">
        <v>26</v>
      </c>
      <c r="AK679" s="1" t="n">
        <v>239</v>
      </c>
      <c r="AL679" s="1" t="s">
        <v>679</v>
      </c>
      <c r="AM679" s="1" t="s">
        <v>680</v>
      </c>
      <c r="AN679" s="1" t="s">
        <v>681</v>
      </c>
      <c r="AO679" s="1" t="s">
        <v>9087</v>
      </c>
      <c r="AP679" s="1" t="s">
        <v>9088</v>
      </c>
      <c r="AQ679" s="1"/>
      <c r="AR679" s="1" t="s">
        <v>9089</v>
      </c>
      <c r="AS679" s="1" t="s">
        <v>9090</v>
      </c>
      <c r="AT679" s="1" t="s">
        <v>754</v>
      </c>
      <c r="AU679" s="1" t="n">
        <v>2023</v>
      </c>
      <c r="AV679" s="1" t="n">
        <v>56</v>
      </c>
      <c r="AW679" s="1" t="n">
        <v>5</v>
      </c>
      <c r="AX679" s="1"/>
      <c r="AY679" s="1"/>
      <c r="AZ679" s="1"/>
      <c r="BA679" s="1"/>
      <c r="BB679" s="1" t="n">
        <v>3951</v>
      </c>
      <c r="BC679" s="1" t="n">
        <v>3985</v>
      </c>
      <c r="BD679" s="1"/>
      <c r="BE679" s="1" t="s">
        <v>12166</v>
      </c>
      <c r="BF679" s="1" t="str">
        <f aca="false">HYPERLINK("http://dx.doi.org/10.1007/s10462-022-10271-9","http://dx.doi.org/10.1007/s10462-022-10271-9")</f>
        <v>http://dx.doi.org/10.1007/s10462-022-10271-9</v>
      </c>
      <c r="BG679" s="1"/>
      <c r="BH679" s="1" t="s">
        <v>3679</v>
      </c>
      <c r="BI679" s="1" t="n">
        <v>35</v>
      </c>
      <c r="BJ679" s="1" t="s">
        <v>1625</v>
      </c>
      <c r="BK679" s="1" t="s">
        <v>204</v>
      </c>
      <c r="BL679" s="1" t="s">
        <v>101</v>
      </c>
      <c r="BM679" s="1" t="s">
        <v>12167</v>
      </c>
      <c r="BN679" s="1" t="n">
        <v>36160367</v>
      </c>
      <c r="BO679" s="1" t="s">
        <v>207</v>
      </c>
      <c r="BP679" s="1"/>
      <c r="BQ679" s="1"/>
      <c r="BR679" s="1" t="s">
        <v>103</v>
      </c>
      <c r="BS679" s="1" t="s">
        <v>12168</v>
      </c>
      <c r="BT679" s="1" t="str">
        <f aca="false">HYPERLINK("https%3A%2F%2Fwww.webofscience.com%2Fwos%2Fwoscc%2Ffull-record%2FWOS:000854393600001","View Full Record in Web of Science")</f>
        <v>View Full Record in Web of Science</v>
      </c>
    </row>
    <row r="680" customFormat="false" ht="12.75" hidden="false" customHeight="false" outlineLevel="0" collapsed="false">
      <c r="A680" s="1" t="s">
        <v>181</v>
      </c>
      <c r="B680" s="1" t="s">
        <v>12169</v>
      </c>
      <c r="C680" s="1"/>
      <c r="D680" s="1"/>
      <c r="E680" s="1"/>
      <c r="F680" s="1" t="s">
        <v>12170</v>
      </c>
      <c r="G680" s="1"/>
      <c r="H680" s="1"/>
      <c r="I680" s="1" t="s">
        <v>12171</v>
      </c>
      <c r="J680" s="1" t="s">
        <v>12172</v>
      </c>
      <c r="K680" s="1"/>
      <c r="L680" s="1"/>
      <c r="M680" s="1" t="s">
        <v>78</v>
      </c>
      <c r="N680" s="1" t="s">
        <v>186</v>
      </c>
      <c r="O680" s="1"/>
      <c r="P680" s="1"/>
      <c r="Q680" s="1"/>
      <c r="R680" s="1"/>
      <c r="S680" s="1"/>
      <c r="T680" s="1" t="s">
        <v>12173</v>
      </c>
      <c r="U680" s="1" t="s">
        <v>12174</v>
      </c>
      <c r="V680" s="1" t="s">
        <v>12175</v>
      </c>
      <c r="W680" s="1" t="s">
        <v>12176</v>
      </c>
      <c r="X680" s="1" t="s">
        <v>12177</v>
      </c>
      <c r="Y680" s="1" t="s">
        <v>12178</v>
      </c>
      <c r="Z680" s="1" t="s">
        <v>12179</v>
      </c>
      <c r="AA680" s="1"/>
      <c r="AB680" s="1"/>
      <c r="AC680" s="1"/>
      <c r="AD680" s="1"/>
      <c r="AE680" s="1"/>
      <c r="AF680" s="1"/>
      <c r="AG680" s="1" t="n">
        <v>76</v>
      </c>
      <c r="AH680" s="1" t="n">
        <v>15</v>
      </c>
      <c r="AI680" s="1" t="n">
        <v>15</v>
      </c>
      <c r="AJ680" s="1" t="n">
        <v>5</v>
      </c>
      <c r="AK680" s="1" t="n">
        <v>39</v>
      </c>
      <c r="AL680" s="1" t="s">
        <v>3711</v>
      </c>
      <c r="AM680" s="1" t="s">
        <v>95</v>
      </c>
      <c r="AN680" s="1" t="s">
        <v>3712</v>
      </c>
      <c r="AO680" s="1" t="s">
        <v>12180</v>
      </c>
      <c r="AP680" s="1" t="s">
        <v>12181</v>
      </c>
      <c r="AQ680" s="1"/>
      <c r="AR680" s="1" t="s">
        <v>12182</v>
      </c>
      <c r="AS680" s="1" t="s">
        <v>12183</v>
      </c>
      <c r="AT680" s="1" t="s">
        <v>2698</v>
      </c>
      <c r="AU680" s="1" t="n">
        <v>2021</v>
      </c>
      <c r="AV680" s="1" t="n">
        <v>167</v>
      </c>
      <c r="AW680" s="1"/>
      <c r="AX680" s="1"/>
      <c r="AY680" s="1"/>
      <c r="AZ680" s="1"/>
      <c r="BA680" s="1"/>
      <c r="BB680" s="1"/>
      <c r="BC680" s="1"/>
      <c r="BD680" s="1" t="n">
        <v>120695</v>
      </c>
      <c r="BE680" s="1" t="s">
        <v>12184</v>
      </c>
      <c r="BF680" s="1" t="str">
        <f aca="false">HYPERLINK("http://dx.doi.org/10.1016/j.techfore.2021.120695","http://dx.doi.org/10.1016/j.techfore.2021.120695")</f>
        <v>http://dx.doi.org/10.1016/j.techfore.2021.120695</v>
      </c>
      <c r="BG680" s="1"/>
      <c r="BH680" s="1" t="s">
        <v>1749</v>
      </c>
      <c r="BI680" s="1" t="n">
        <v>15</v>
      </c>
      <c r="BJ680" s="1" t="s">
        <v>12185</v>
      </c>
      <c r="BK680" s="1" t="s">
        <v>610</v>
      </c>
      <c r="BL680" s="1" t="s">
        <v>9153</v>
      </c>
      <c r="BM680" s="1" t="s">
        <v>12186</v>
      </c>
      <c r="BN680" s="1"/>
      <c r="BO680" s="1" t="s">
        <v>2770</v>
      </c>
      <c r="BP680" s="1"/>
      <c r="BQ680" s="1"/>
      <c r="BR680" s="1" t="s">
        <v>103</v>
      </c>
      <c r="BS680" s="1" t="s">
        <v>12187</v>
      </c>
      <c r="BT680" s="1" t="str">
        <f aca="false">HYPERLINK("https%3A%2F%2Fwww.webofscience.com%2Fwos%2Fwoscc%2Ffull-record%2FWOS:000637776500002","View Full Record in Web of Science")</f>
        <v>View Full Record in Web of Science</v>
      </c>
    </row>
    <row r="681" customFormat="false" ht="12.75" hidden="false" customHeight="false" outlineLevel="0" collapsed="false">
      <c r="A681" s="1" t="s">
        <v>181</v>
      </c>
      <c r="B681" s="1" t="s">
        <v>12188</v>
      </c>
      <c r="C681" s="1"/>
      <c r="D681" s="1"/>
      <c r="E681" s="1"/>
      <c r="F681" s="1" t="s">
        <v>12189</v>
      </c>
      <c r="G681" s="1"/>
      <c r="H681" s="1"/>
      <c r="I681" s="1" t="s">
        <v>12190</v>
      </c>
      <c r="J681" s="1" t="s">
        <v>5545</v>
      </c>
      <c r="K681" s="1"/>
      <c r="L681" s="1"/>
      <c r="M681" s="1" t="s">
        <v>78</v>
      </c>
      <c r="N681" s="1" t="s">
        <v>186</v>
      </c>
      <c r="O681" s="1"/>
      <c r="P681" s="1"/>
      <c r="Q681" s="1"/>
      <c r="R681" s="1"/>
      <c r="S681" s="1"/>
      <c r="T681" s="1" t="s">
        <v>12191</v>
      </c>
      <c r="U681" s="1"/>
      <c r="V681" s="1" t="s">
        <v>12192</v>
      </c>
      <c r="W681" s="1" t="s">
        <v>12193</v>
      </c>
      <c r="X681" s="1" t="s">
        <v>12194</v>
      </c>
      <c r="Y681" s="1" t="s">
        <v>12195</v>
      </c>
      <c r="Z681" s="1" t="s">
        <v>12196</v>
      </c>
      <c r="AA681" s="1" t="s">
        <v>12197</v>
      </c>
      <c r="AB681" s="1" t="s">
        <v>9881</v>
      </c>
      <c r="AC681" s="1"/>
      <c r="AD681" s="1"/>
      <c r="AE681" s="1"/>
      <c r="AF681" s="1"/>
      <c r="AG681" s="1" t="n">
        <v>33</v>
      </c>
      <c r="AH681" s="1" t="n">
        <v>21</v>
      </c>
      <c r="AI681" s="1" t="n">
        <v>23</v>
      </c>
      <c r="AJ681" s="1" t="n">
        <v>6</v>
      </c>
      <c r="AK681" s="1" t="n">
        <v>36</v>
      </c>
      <c r="AL681" s="1" t="s">
        <v>679</v>
      </c>
      <c r="AM681" s="1" t="s">
        <v>680</v>
      </c>
      <c r="AN681" s="1" t="s">
        <v>681</v>
      </c>
      <c r="AO681" s="1" t="s">
        <v>5556</v>
      </c>
      <c r="AP681" s="1" t="s">
        <v>5557</v>
      </c>
      <c r="AQ681" s="1"/>
      <c r="AR681" s="1" t="s">
        <v>5558</v>
      </c>
      <c r="AS681" s="1" t="s">
        <v>5559</v>
      </c>
      <c r="AT681" s="1" t="s">
        <v>537</v>
      </c>
      <c r="AU681" s="1" t="n">
        <v>2021</v>
      </c>
      <c r="AV681" s="1" t="n">
        <v>56</v>
      </c>
      <c r="AW681" s="1" t="n">
        <v>2</v>
      </c>
      <c r="AX681" s="1"/>
      <c r="AY681" s="1"/>
      <c r="AZ681" s="1" t="s">
        <v>1698</v>
      </c>
      <c r="BA681" s="1"/>
      <c r="BB681" s="1" t="n">
        <v>681</v>
      </c>
      <c r="BC681" s="1" t="n">
        <v>694</v>
      </c>
      <c r="BD681" s="1"/>
      <c r="BE681" s="1" t="s">
        <v>12198</v>
      </c>
      <c r="BF681" s="1" t="str">
        <f aca="false">HYPERLINK("http://dx.doi.org/10.1007/s11187-019-00195-0","http://dx.doi.org/10.1007/s11187-019-00195-0")</f>
        <v>http://dx.doi.org/10.1007/s11187-019-00195-0</v>
      </c>
      <c r="BG681" s="1"/>
      <c r="BH681" s="1"/>
      <c r="BI681" s="1" t="n">
        <v>14</v>
      </c>
      <c r="BJ681" s="1" t="s">
        <v>5562</v>
      </c>
      <c r="BK681" s="1" t="s">
        <v>610</v>
      </c>
      <c r="BL681" s="1" t="s">
        <v>715</v>
      </c>
      <c r="BM681" s="1" t="s">
        <v>12199</v>
      </c>
      <c r="BN681" s="1"/>
      <c r="BO681" s="1" t="s">
        <v>207</v>
      </c>
      <c r="BP681" s="1"/>
      <c r="BQ681" s="1"/>
      <c r="BR681" s="1" t="s">
        <v>103</v>
      </c>
      <c r="BS681" s="1" t="s">
        <v>12200</v>
      </c>
      <c r="BT681" s="1" t="str">
        <f aca="false">HYPERLINK("https%3A%2F%2Fwww.webofscience.com%2Fwos%2Fwoscc%2Ffull-record%2FWOS:000629304500009","View Full Record in Web of Science")</f>
        <v>View Full Record in Web of Science</v>
      </c>
    </row>
    <row r="682" customFormat="false" ht="12.75" hidden="false" customHeight="false" outlineLevel="0" collapsed="false">
      <c r="A682" s="1" t="s">
        <v>181</v>
      </c>
      <c r="B682" s="1" t="s">
        <v>12201</v>
      </c>
      <c r="C682" s="1"/>
      <c r="D682" s="1"/>
      <c r="E682" s="1"/>
      <c r="F682" s="1" t="s">
        <v>12202</v>
      </c>
      <c r="G682" s="1"/>
      <c r="H682" s="1"/>
      <c r="I682" s="1" t="s">
        <v>12203</v>
      </c>
      <c r="J682" s="1" t="s">
        <v>1921</v>
      </c>
      <c r="K682" s="1"/>
      <c r="L682" s="1"/>
      <c r="M682" s="1" t="s">
        <v>78</v>
      </c>
      <c r="N682" s="1" t="s">
        <v>186</v>
      </c>
      <c r="O682" s="1"/>
      <c r="P682" s="1"/>
      <c r="Q682" s="1"/>
      <c r="R682" s="1"/>
      <c r="S682" s="1"/>
      <c r="T682" s="1" t="s">
        <v>12204</v>
      </c>
      <c r="U682" s="1" t="s">
        <v>12205</v>
      </c>
      <c r="V682" s="1" t="s">
        <v>12206</v>
      </c>
      <c r="W682" s="1" t="s">
        <v>12207</v>
      </c>
      <c r="X682" s="1" t="s">
        <v>12208</v>
      </c>
      <c r="Y682" s="1" t="s">
        <v>12209</v>
      </c>
      <c r="Z682" s="1" t="s">
        <v>12210</v>
      </c>
      <c r="AA682" s="1" t="s">
        <v>12211</v>
      </c>
      <c r="AB682" s="1" t="s">
        <v>12212</v>
      </c>
      <c r="AC682" s="1" t="s">
        <v>12213</v>
      </c>
      <c r="AD682" s="1" t="s">
        <v>12214</v>
      </c>
      <c r="AE682" s="1" t="s">
        <v>12215</v>
      </c>
      <c r="AF682" s="1"/>
      <c r="AG682" s="1" t="n">
        <v>61</v>
      </c>
      <c r="AH682" s="1" t="n">
        <v>0</v>
      </c>
      <c r="AI682" s="1" t="n">
        <v>0</v>
      </c>
      <c r="AJ682" s="1" t="n">
        <v>3</v>
      </c>
      <c r="AK682" s="1" t="n">
        <v>3</v>
      </c>
      <c r="AL682" s="1" t="s">
        <v>679</v>
      </c>
      <c r="AM682" s="1" t="s">
        <v>95</v>
      </c>
      <c r="AN682" s="1" t="s">
        <v>803</v>
      </c>
      <c r="AO682" s="1" t="s">
        <v>1929</v>
      </c>
      <c r="AP682" s="1" t="s">
        <v>1930</v>
      </c>
      <c r="AQ682" s="1"/>
      <c r="AR682" s="1" t="s">
        <v>1931</v>
      </c>
      <c r="AS682" s="1" t="s">
        <v>1932</v>
      </c>
      <c r="AT682" s="1" t="s">
        <v>474</v>
      </c>
      <c r="AU682" s="1" t="n">
        <v>2024</v>
      </c>
      <c r="AV682" s="1" t="n">
        <v>29</v>
      </c>
      <c r="AW682" s="1" t="n">
        <v>3</v>
      </c>
      <c r="AX682" s="1"/>
      <c r="AY682" s="1"/>
      <c r="AZ682" s="1"/>
      <c r="BA682" s="1"/>
      <c r="BB682" s="1" t="n">
        <v>279</v>
      </c>
      <c r="BC682" s="1" t="n">
        <v>301</v>
      </c>
      <c r="BD682" s="1"/>
      <c r="BE682" s="1" t="s">
        <v>12216</v>
      </c>
      <c r="BF682" s="1" t="str">
        <f aca="false">HYPERLINK("http://dx.doi.org/10.1007/s00766-024-00428-z","http://dx.doi.org/10.1007/s00766-024-00428-z")</f>
        <v>http://dx.doi.org/10.1007/s00766-024-00428-z</v>
      </c>
      <c r="BG682" s="1"/>
      <c r="BH682" s="1" t="s">
        <v>4909</v>
      </c>
      <c r="BI682" s="1" t="n">
        <v>23</v>
      </c>
      <c r="BJ682" s="1" t="s">
        <v>1394</v>
      </c>
      <c r="BK682" s="1" t="s">
        <v>204</v>
      </c>
      <c r="BL682" s="1" t="s">
        <v>101</v>
      </c>
      <c r="BM682" s="1" t="s">
        <v>12217</v>
      </c>
      <c r="BN682" s="1"/>
      <c r="BO682" s="1"/>
      <c r="BP682" s="1"/>
      <c r="BQ682" s="1"/>
      <c r="BR682" s="1" t="s">
        <v>103</v>
      </c>
      <c r="BS682" s="1" t="s">
        <v>12218</v>
      </c>
      <c r="BT682" s="1" t="str">
        <f aca="false">HYPERLINK("https%3A%2F%2Fwww.webofscience.com%2Fwos%2Fwoscc%2Ffull-record%2FWOS:001272283700001","View Full Record in Web of Science")</f>
        <v>View Full Record in Web of Science</v>
      </c>
    </row>
    <row r="683" customFormat="false" ht="12.75" hidden="false" customHeight="false" outlineLevel="0" collapsed="false">
      <c r="A683" s="1" t="s">
        <v>181</v>
      </c>
      <c r="B683" s="1" t="s">
        <v>12219</v>
      </c>
      <c r="C683" s="1"/>
      <c r="D683" s="1"/>
      <c r="E683" s="1"/>
      <c r="F683" s="1" t="s">
        <v>12220</v>
      </c>
      <c r="G683" s="1"/>
      <c r="H683" s="1"/>
      <c r="I683" s="1" t="s">
        <v>12221</v>
      </c>
      <c r="J683" s="1" t="s">
        <v>12222</v>
      </c>
      <c r="K683" s="1"/>
      <c r="L683" s="1"/>
      <c r="M683" s="1" t="s">
        <v>78</v>
      </c>
      <c r="N683" s="1" t="s">
        <v>186</v>
      </c>
      <c r="O683" s="1"/>
      <c r="P683" s="1"/>
      <c r="Q683" s="1"/>
      <c r="R683" s="1"/>
      <c r="S683" s="1"/>
      <c r="T683" s="1" t="s">
        <v>12223</v>
      </c>
      <c r="U683" s="1" t="s">
        <v>12224</v>
      </c>
      <c r="V683" s="1" t="s">
        <v>12225</v>
      </c>
      <c r="W683" s="1" t="s">
        <v>12226</v>
      </c>
      <c r="X683" s="1" t="s">
        <v>12227</v>
      </c>
      <c r="Y683" s="1" t="s">
        <v>12228</v>
      </c>
      <c r="Z683" s="1" t="s">
        <v>12229</v>
      </c>
      <c r="AA683" s="1" t="s">
        <v>12230</v>
      </c>
      <c r="AB683" s="1" t="s">
        <v>12231</v>
      </c>
      <c r="AC683" s="1" t="s">
        <v>12232</v>
      </c>
      <c r="AD683" s="1" t="s">
        <v>12232</v>
      </c>
      <c r="AE683" s="1" t="s">
        <v>12233</v>
      </c>
      <c r="AF683" s="1"/>
      <c r="AG683" s="1" t="n">
        <v>72</v>
      </c>
      <c r="AH683" s="1" t="n">
        <v>4</v>
      </c>
      <c r="AI683" s="1" t="n">
        <v>4</v>
      </c>
      <c r="AJ683" s="1" t="n">
        <v>7</v>
      </c>
      <c r="AK683" s="1" t="n">
        <v>29</v>
      </c>
      <c r="AL683" s="1" t="s">
        <v>2381</v>
      </c>
      <c r="AM683" s="1" t="s">
        <v>2382</v>
      </c>
      <c r="AN683" s="1" t="s">
        <v>2383</v>
      </c>
      <c r="AO683" s="1" t="s">
        <v>12234</v>
      </c>
      <c r="AP683" s="1" t="s">
        <v>12235</v>
      </c>
      <c r="AQ683" s="1"/>
      <c r="AR683" s="1" t="s">
        <v>12236</v>
      </c>
      <c r="AS683" s="1" t="s">
        <v>12237</v>
      </c>
      <c r="AT683" s="1" t="s">
        <v>5755</v>
      </c>
      <c r="AU683" s="1" t="n">
        <v>2024</v>
      </c>
      <c r="AV683" s="1" t="n">
        <v>62</v>
      </c>
      <c r="AW683" s="1" t="n">
        <v>3</v>
      </c>
      <c r="AX683" s="1"/>
      <c r="AY683" s="1"/>
      <c r="AZ683" s="1"/>
      <c r="BA683" s="1"/>
      <c r="BB683" s="1" t="n">
        <v>1219</v>
      </c>
      <c r="BC683" s="1" t="n">
        <v>1252</v>
      </c>
      <c r="BD683" s="1"/>
      <c r="BE683" s="1" t="s">
        <v>12238</v>
      </c>
      <c r="BF683" s="1" t="str">
        <f aca="false">HYPERLINK("http://dx.doi.org/10.1080/00472778.2022.2125979","http://dx.doi.org/10.1080/00472778.2022.2125979")</f>
        <v>http://dx.doi.org/10.1080/00472778.2022.2125979</v>
      </c>
      <c r="BG683" s="1"/>
      <c r="BH683" s="1" t="s">
        <v>2461</v>
      </c>
      <c r="BI683" s="1" t="n">
        <v>34</v>
      </c>
      <c r="BJ683" s="1" t="s">
        <v>714</v>
      </c>
      <c r="BK683" s="1" t="s">
        <v>610</v>
      </c>
      <c r="BL683" s="1" t="s">
        <v>715</v>
      </c>
      <c r="BM683" s="1" t="s">
        <v>12239</v>
      </c>
      <c r="BN683" s="1"/>
      <c r="BO683" s="1" t="s">
        <v>207</v>
      </c>
      <c r="BP683" s="1"/>
      <c r="BQ683" s="1"/>
      <c r="BR683" s="1" t="s">
        <v>103</v>
      </c>
      <c r="BS683" s="1" t="s">
        <v>12240</v>
      </c>
      <c r="BT683" s="1" t="str">
        <f aca="false">HYPERLINK("https%3A%2F%2Fwww.webofscience.com%2Fwos%2Fwoscc%2Ffull-record%2FWOS:000870579000001","View Full Record in Web of Science")</f>
        <v>View Full Record in Web of Science</v>
      </c>
    </row>
    <row r="684" customFormat="false" ht="12.75" hidden="false" customHeight="false" outlineLevel="0" collapsed="false">
      <c r="A684" s="1" t="s">
        <v>181</v>
      </c>
      <c r="B684" s="1" t="s">
        <v>12241</v>
      </c>
      <c r="C684" s="1"/>
      <c r="D684" s="1"/>
      <c r="E684" s="1"/>
      <c r="F684" s="1" t="s">
        <v>12242</v>
      </c>
      <c r="G684" s="1"/>
      <c r="H684" s="1"/>
      <c r="I684" s="1" t="s">
        <v>12243</v>
      </c>
      <c r="J684" s="1" t="s">
        <v>4875</v>
      </c>
      <c r="K684" s="1"/>
      <c r="L684" s="1"/>
      <c r="M684" s="1" t="s">
        <v>78</v>
      </c>
      <c r="N684" s="1" t="s">
        <v>186</v>
      </c>
      <c r="O684" s="1"/>
      <c r="P684" s="1"/>
      <c r="Q684" s="1"/>
      <c r="R684" s="1"/>
      <c r="S684" s="1"/>
      <c r="T684" s="1"/>
      <c r="U684" s="1"/>
      <c r="V684" s="1" t="s">
        <v>12244</v>
      </c>
      <c r="W684" s="1" t="s">
        <v>12245</v>
      </c>
      <c r="X684" s="1" t="s">
        <v>12246</v>
      </c>
      <c r="Y684" s="1" t="s">
        <v>12247</v>
      </c>
      <c r="Z684" s="1" t="s">
        <v>12248</v>
      </c>
      <c r="AA684" s="1" t="s">
        <v>6797</v>
      </c>
      <c r="AB684" s="1" t="s">
        <v>12249</v>
      </c>
      <c r="AC684" s="1"/>
      <c r="AD684" s="1"/>
      <c r="AE684" s="1"/>
      <c r="AF684" s="1"/>
      <c r="AG684" s="1" t="n">
        <v>21</v>
      </c>
      <c r="AH684" s="1" t="n">
        <v>1</v>
      </c>
      <c r="AI684" s="1" t="n">
        <v>1</v>
      </c>
      <c r="AJ684" s="1" t="n">
        <v>0</v>
      </c>
      <c r="AK684" s="1" t="n">
        <v>4</v>
      </c>
      <c r="AL684" s="1" t="s">
        <v>172</v>
      </c>
      <c r="AM684" s="1" t="s">
        <v>173</v>
      </c>
      <c r="AN684" s="1" t="s">
        <v>4882</v>
      </c>
      <c r="AO684" s="1" t="s">
        <v>4883</v>
      </c>
      <c r="AP684" s="1" t="s">
        <v>4884</v>
      </c>
      <c r="AQ684" s="1"/>
      <c r="AR684" s="1" t="s">
        <v>4875</v>
      </c>
      <c r="AS684" s="1" t="s">
        <v>4885</v>
      </c>
      <c r="AT684" s="1" t="s">
        <v>8809</v>
      </c>
      <c r="AU684" s="1" t="n">
        <v>2022</v>
      </c>
      <c r="AV684" s="1" t="n">
        <v>39</v>
      </c>
      <c r="AW684" s="1" t="n">
        <v>3</v>
      </c>
      <c r="AX684" s="1"/>
      <c r="AY684" s="1"/>
      <c r="AZ684" s="1"/>
      <c r="BA684" s="1"/>
      <c r="BB684" s="1" t="n">
        <v>22</v>
      </c>
      <c r="BC684" s="1" t="n">
        <v>30</v>
      </c>
      <c r="BD684" s="1"/>
      <c r="BE684" s="1" t="s">
        <v>12250</v>
      </c>
      <c r="BF684" s="1" t="str">
        <f aca="false">HYPERLINK("http://dx.doi.org/10.1109/MS.2021.3097284","http://dx.doi.org/10.1109/MS.2021.3097284")</f>
        <v>http://dx.doi.org/10.1109/MS.2021.3097284</v>
      </c>
      <c r="BG684" s="1"/>
      <c r="BH684" s="1"/>
      <c r="BI684" s="1" t="n">
        <v>9</v>
      </c>
      <c r="BJ684" s="1" t="s">
        <v>252</v>
      </c>
      <c r="BK684" s="1" t="s">
        <v>204</v>
      </c>
      <c r="BL684" s="1" t="s">
        <v>101</v>
      </c>
      <c r="BM684" s="1" t="s">
        <v>12251</v>
      </c>
      <c r="BN684" s="1"/>
      <c r="BO684" s="1"/>
      <c r="BP684" s="1"/>
      <c r="BQ684" s="1"/>
      <c r="BR684" s="1" t="s">
        <v>103</v>
      </c>
      <c r="BS684" s="1" t="s">
        <v>12252</v>
      </c>
      <c r="BT684" s="1" t="str">
        <f aca="false">HYPERLINK("https%3A%2F%2Fwww.webofscience.com%2Fwos%2Fwoscc%2Ffull-record%2FWOS:000811542700006","View Full Record in Web of Science")</f>
        <v>View Full Record in Web of Science</v>
      </c>
    </row>
    <row r="685" customFormat="false" ht="12.75" hidden="false" customHeight="false" outlineLevel="0" collapsed="false">
      <c r="A685" s="1" t="s">
        <v>72</v>
      </c>
      <c r="B685" s="1" t="s">
        <v>12253</v>
      </c>
      <c r="C685" s="1"/>
      <c r="D685" s="1" t="s">
        <v>12254</v>
      </c>
      <c r="E685" s="1"/>
      <c r="F685" s="1" t="s">
        <v>12255</v>
      </c>
      <c r="G685" s="1"/>
      <c r="H685" s="1"/>
      <c r="I685" s="1" t="s">
        <v>12256</v>
      </c>
      <c r="J685" s="1" t="s">
        <v>12257</v>
      </c>
      <c r="K685" s="1" t="s">
        <v>976</v>
      </c>
      <c r="L685" s="1"/>
      <c r="M685" s="1" t="s">
        <v>78</v>
      </c>
      <c r="N685" s="1" t="s">
        <v>79</v>
      </c>
      <c r="O685" s="1" t="s">
        <v>12258</v>
      </c>
      <c r="P685" s="1" t="s">
        <v>12259</v>
      </c>
      <c r="Q685" s="1" t="s">
        <v>1066</v>
      </c>
      <c r="R685" s="1"/>
      <c r="S685" s="1"/>
      <c r="T685" s="1" t="s">
        <v>12260</v>
      </c>
      <c r="U685" s="1" t="s">
        <v>12261</v>
      </c>
      <c r="V685" s="1" t="s">
        <v>12262</v>
      </c>
      <c r="W685" s="1" t="s">
        <v>12263</v>
      </c>
      <c r="X685" s="1" t="s">
        <v>12264</v>
      </c>
      <c r="Y685" s="1" t="s">
        <v>12265</v>
      </c>
      <c r="Z685" s="1" t="s">
        <v>12266</v>
      </c>
      <c r="AA685" s="1" t="s">
        <v>5339</v>
      </c>
      <c r="AB685" s="1" t="s">
        <v>11849</v>
      </c>
      <c r="AC685" s="1"/>
      <c r="AD685" s="1"/>
      <c r="AE685" s="1"/>
      <c r="AF685" s="1"/>
      <c r="AG685" s="1" t="n">
        <v>31</v>
      </c>
      <c r="AH685" s="1" t="n">
        <v>7</v>
      </c>
      <c r="AI685" s="1" t="n">
        <v>8</v>
      </c>
      <c r="AJ685" s="1" t="n">
        <v>0</v>
      </c>
      <c r="AK685" s="1" t="n">
        <v>0</v>
      </c>
      <c r="AL685" s="1" t="s">
        <v>302</v>
      </c>
      <c r="AM685" s="1" t="s">
        <v>303</v>
      </c>
      <c r="AN685" s="1" t="s">
        <v>304</v>
      </c>
      <c r="AO685" s="1" t="s">
        <v>989</v>
      </c>
      <c r="AP685" s="1" t="s">
        <v>990</v>
      </c>
      <c r="AQ685" s="1" t="s">
        <v>12267</v>
      </c>
      <c r="AR685" s="1" t="s">
        <v>992</v>
      </c>
      <c r="AS685" s="1"/>
      <c r="AT685" s="1"/>
      <c r="AU685" s="1" t="n">
        <v>2021</v>
      </c>
      <c r="AV685" s="1" t="n">
        <v>13126</v>
      </c>
      <c r="AW685" s="1"/>
      <c r="AX685" s="1"/>
      <c r="AY685" s="1"/>
      <c r="AZ685" s="1"/>
      <c r="BA685" s="1"/>
      <c r="BB685" s="1" t="n">
        <v>85</v>
      </c>
      <c r="BC685" s="1" t="n">
        <v>102</v>
      </c>
      <c r="BD685" s="1"/>
      <c r="BE685" s="1" t="s">
        <v>12268</v>
      </c>
      <c r="BF685" s="1" t="str">
        <f aca="false">HYPERLINK("http://dx.doi.org/10.1007/978-3-030-91452-3_6","http://dx.doi.org/10.1007/978-3-030-91452-3_6")</f>
        <v>http://dx.doi.org/10.1007/978-3-030-91452-3_6</v>
      </c>
      <c r="BG685" s="1"/>
      <c r="BH685" s="1"/>
      <c r="BI685" s="1" t="n">
        <v>18</v>
      </c>
      <c r="BJ685" s="1" t="s">
        <v>994</v>
      </c>
      <c r="BK685" s="1" t="s">
        <v>100</v>
      </c>
      <c r="BL685" s="1" t="s">
        <v>101</v>
      </c>
      <c r="BM685" s="1" t="s">
        <v>12269</v>
      </c>
      <c r="BN685" s="1"/>
      <c r="BO685" s="1"/>
      <c r="BP685" s="1"/>
      <c r="BQ685" s="1"/>
      <c r="BR685" s="1" t="s">
        <v>103</v>
      </c>
      <c r="BS685" s="1" t="s">
        <v>12270</v>
      </c>
      <c r="BT685" s="1" t="str">
        <f aca="false">HYPERLINK("https%3A%2F%2Fwww.webofscience.com%2Fwos%2Fwoscc%2Ffull-record%2FWOS:000765223700006","View Full Record in Web of Science")</f>
        <v>View Full Record in Web of Science</v>
      </c>
    </row>
    <row r="686" customFormat="false" ht="12.75" hidden="false" customHeight="false" outlineLevel="0" collapsed="false">
      <c r="A686" s="1" t="s">
        <v>181</v>
      </c>
      <c r="B686" s="1" t="s">
        <v>12271</v>
      </c>
      <c r="C686" s="1"/>
      <c r="D686" s="1"/>
      <c r="E686" s="1"/>
      <c r="F686" s="1" t="s">
        <v>12272</v>
      </c>
      <c r="G686" s="1"/>
      <c r="H686" s="1"/>
      <c r="I686" s="1" t="s">
        <v>12273</v>
      </c>
      <c r="J686" s="1" t="s">
        <v>12274</v>
      </c>
      <c r="K686" s="1"/>
      <c r="L686" s="1"/>
      <c r="M686" s="1" t="s">
        <v>78</v>
      </c>
      <c r="N686" s="1" t="s">
        <v>186</v>
      </c>
      <c r="O686" s="1"/>
      <c r="P686" s="1"/>
      <c r="Q686" s="1"/>
      <c r="R686" s="1"/>
      <c r="S686" s="1"/>
      <c r="T686" s="1" t="s">
        <v>12275</v>
      </c>
      <c r="U686" s="1" t="s">
        <v>12276</v>
      </c>
      <c r="V686" s="1" t="s">
        <v>12277</v>
      </c>
      <c r="W686" s="1" t="s">
        <v>12278</v>
      </c>
      <c r="X686" s="1" t="s">
        <v>12279</v>
      </c>
      <c r="Y686" s="1" t="s">
        <v>12280</v>
      </c>
      <c r="Z686" s="1" t="s">
        <v>12281</v>
      </c>
      <c r="AA686" s="1" t="s">
        <v>12282</v>
      </c>
      <c r="AB686" s="1" t="s">
        <v>12283</v>
      </c>
      <c r="AC686" s="1" t="s">
        <v>12284</v>
      </c>
      <c r="AD686" s="1" t="s">
        <v>12285</v>
      </c>
      <c r="AE686" s="1" t="s">
        <v>12286</v>
      </c>
      <c r="AF686" s="1"/>
      <c r="AG686" s="1" t="n">
        <v>71</v>
      </c>
      <c r="AH686" s="1" t="n">
        <v>1</v>
      </c>
      <c r="AI686" s="1" t="n">
        <v>1</v>
      </c>
      <c r="AJ686" s="1" t="n">
        <v>1</v>
      </c>
      <c r="AK686" s="1" t="n">
        <v>13</v>
      </c>
      <c r="AL686" s="1" t="s">
        <v>195</v>
      </c>
      <c r="AM686" s="1" t="s">
        <v>196</v>
      </c>
      <c r="AN686" s="1" t="s">
        <v>197</v>
      </c>
      <c r="AO686" s="1" t="s">
        <v>12287</v>
      </c>
      <c r="AP686" s="1" t="s">
        <v>12288</v>
      </c>
      <c r="AQ686" s="1"/>
      <c r="AR686" s="1" t="s">
        <v>12289</v>
      </c>
      <c r="AS686" s="1" t="s">
        <v>12290</v>
      </c>
      <c r="AT686" s="1" t="s">
        <v>12291</v>
      </c>
      <c r="AU686" s="1" t="n">
        <v>2023</v>
      </c>
      <c r="AV686" s="1" t="n">
        <v>38</v>
      </c>
      <c r="AW686" s="1" t="n">
        <v>6</v>
      </c>
      <c r="AX686" s="1"/>
      <c r="AY686" s="1"/>
      <c r="AZ686" s="1"/>
      <c r="BA686" s="1"/>
      <c r="BB686" s="1" t="n">
        <v>28</v>
      </c>
      <c r="BC686" s="1" t="n">
        <v>43</v>
      </c>
      <c r="BD686" s="1"/>
      <c r="BE686" s="1" t="s">
        <v>12292</v>
      </c>
      <c r="BF686" s="1" t="str">
        <f aca="false">HYPERLINK("http://dx.doi.org/10.1109/MAES.2023.3251969","http://dx.doi.org/10.1109/MAES.2023.3251969")</f>
        <v>http://dx.doi.org/10.1109/MAES.2023.3251969</v>
      </c>
      <c r="BG686" s="1"/>
      <c r="BH686" s="1"/>
      <c r="BI686" s="1" t="n">
        <v>16</v>
      </c>
      <c r="BJ686" s="1" t="s">
        <v>12293</v>
      </c>
      <c r="BK686" s="1" t="s">
        <v>204</v>
      </c>
      <c r="BL686" s="1" t="s">
        <v>640</v>
      </c>
      <c r="BM686" s="1" t="s">
        <v>12294</v>
      </c>
      <c r="BN686" s="1"/>
      <c r="BO686" s="1"/>
      <c r="BP686" s="1"/>
      <c r="BQ686" s="1"/>
      <c r="BR686" s="1" t="s">
        <v>103</v>
      </c>
      <c r="BS686" s="1" t="s">
        <v>12295</v>
      </c>
      <c r="BT686" s="1" t="str">
        <f aca="false">HYPERLINK("https%3A%2F%2Fwww.webofscience.com%2Fwos%2Fwoscc%2Ffull-record%2FWOS:001004539500003","View Full Record in Web of Science")</f>
        <v>View Full Record in Web of Science</v>
      </c>
    </row>
    <row r="687" customFormat="false" ht="12.75" hidden="false" customHeight="false" outlineLevel="0" collapsed="false">
      <c r="A687" s="1" t="s">
        <v>181</v>
      </c>
      <c r="B687" s="1" t="s">
        <v>12296</v>
      </c>
      <c r="C687" s="1"/>
      <c r="D687" s="1"/>
      <c r="E687" s="1"/>
      <c r="F687" s="1" t="s">
        <v>12297</v>
      </c>
      <c r="G687" s="1"/>
      <c r="H687" s="1"/>
      <c r="I687" s="1" t="s">
        <v>12298</v>
      </c>
      <c r="J687" s="1" t="s">
        <v>12299</v>
      </c>
      <c r="K687" s="1"/>
      <c r="L687" s="1"/>
      <c r="M687" s="1" t="s">
        <v>78</v>
      </c>
      <c r="N687" s="1" t="s">
        <v>186</v>
      </c>
      <c r="O687" s="1"/>
      <c r="P687" s="1"/>
      <c r="Q687" s="1"/>
      <c r="R687" s="1"/>
      <c r="S687" s="1"/>
      <c r="T687" s="1"/>
      <c r="U687" s="1" t="s">
        <v>12300</v>
      </c>
      <c r="V687" s="1" t="s">
        <v>12301</v>
      </c>
      <c r="W687" s="1" t="s">
        <v>12302</v>
      </c>
      <c r="X687" s="1" t="s">
        <v>10046</v>
      </c>
      <c r="Y687" s="1" t="s">
        <v>12303</v>
      </c>
      <c r="Z687" s="1" t="s">
        <v>12304</v>
      </c>
      <c r="AA687" s="1" t="s">
        <v>12305</v>
      </c>
      <c r="AB687" s="1" t="s">
        <v>12306</v>
      </c>
      <c r="AC687" s="1"/>
      <c r="AD687" s="1"/>
      <c r="AE687" s="1"/>
      <c r="AF687" s="1"/>
      <c r="AG687" s="1" t="n">
        <v>30</v>
      </c>
      <c r="AH687" s="1" t="n">
        <v>3</v>
      </c>
      <c r="AI687" s="1" t="n">
        <v>3</v>
      </c>
      <c r="AJ687" s="1" t="n">
        <v>1</v>
      </c>
      <c r="AK687" s="1" t="n">
        <v>5</v>
      </c>
      <c r="AL687" s="1" t="s">
        <v>8802</v>
      </c>
      <c r="AM687" s="1" t="s">
        <v>8803</v>
      </c>
      <c r="AN687" s="1" t="s">
        <v>8804</v>
      </c>
      <c r="AO687" s="1" t="s">
        <v>12307</v>
      </c>
      <c r="AP687" s="1" t="s">
        <v>12308</v>
      </c>
      <c r="AQ687" s="1"/>
      <c r="AR687" s="1" t="s">
        <v>12309</v>
      </c>
      <c r="AS687" s="1" t="s">
        <v>12310</v>
      </c>
      <c r="AT687" s="1" t="s">
        <v>12311</v>
      </c>
      <c r="AU687" s="1" t="n">
        <v>2020</v>
      </c>
      <c r="AV687" s="1" t="n">
        <v>40</v>
      </c>
      <c r="AW687" s="1" t="n">
        <v>5</v>
      </c>
      <c r="AX687" s="1"/>
      <c r="AY687" s="1"/>
      <c r="AZ687" s="1"/>
      <c r="BA687" s="1"/>
      <c r="BB687" s="1" t="n">
        <v>767</v>
      </c>
      <c r="BC687" s="1" t="n">
        <v>774</v>
      </c>
      <c r="BD687" s="1"/>
      <c r="BE687" s="1" t="s">
        <v>12312</v>
      </c>
      <c r="BF687" s="1" t="str">
        <f aca="false">HYPERLINK("http://dx.doi.org/10.11607/prd.4299","http://dx.doi.org/10.11607/prd.4299")</f>
        <v>http://dx.doi.org/10.11607/prd.4299</v>
      </c>
      <c r="BG687" s="1"/>
      <c r="BH687" s="1"/>
      <c r="BI687" s="1" t="n">
        <v>8</v>
      </c>
      <c r="BJ687" s="1" t="s">
        <v>4910</v>
      </c>
      <c r="BK687" s="1" t="s">
        <v>204</v>
      </c>
      <c r="BL687" s="1" t="s">
        <v>4910</v>
      </c>
      <c r="BM687" s="1" t="s">
        <v>12313</v>
      </c>
      <c r="BN687" s="1" t="n">
        <v>32926007</v>
      </c>
      <c r="BO687" s="1"/>
      <c r="BP687" s="1"/>
      <c r="BQ687" s="1"/>
      <c r="BR687" s="1" t="s">
        <v>103</v>
      </c>
      <c r="BS687" s="1" t="s">
        <v>12314</v>
      </c>
      <c r="BT687" s="1" t="str">
        <f aca="false">HYPERLINK("https%3A%2F%2Fwww.webofscience.com%2Fwos%2Fwoscc%2Ffull-record%2FWOS:000568147300020","View Full Record in Web of Science")</f>
        <v>View Full Record in Web of Science</v>
      </c>
    </row>
    <row r="688" customFormat="false" ht="12.75" hidden="false" customHeight="false" outlineLevel="0" collapsed="false">
      <c r="A688" s="1" t="s">
        <v>181</v>
      </c>
      <c r="B688" s="1" t="s">
        <v>12315</v>
      </c>
      <c r="C688" s="1"/>
      <c r="D688" s="1"/>
      <c r="E688" s="1"/>
      <c r="F688" s="1" t="s">
        <v>12316</v>
      </c>
      <c r="G688" s="1"/>
      <c r="H688" s="1"/>
      <c r="I688" s="1" t="s">
        <v>12317</v>
      </c>
      <c r="J688" s="1" t="s">
        <v>8624</v>
      </c>
      <c r="K688" s="1"/>
      <c r="L688" s="1"/>
      <c r="M688" s="1" t="s">
        <v>78</v>
      </c>
      <c r="N688" s="1" t="s">
        <v>186</v>
      </c>
      <c r="O688" s="1"/>
      <c r="P688" s="1"/>
      <c r="Q688" s="1"/>
      <c r="R688" s="1"/>
      <c r="S688" s="1"/>
      <c r="T688" s="1" t="s">
        <v>12318</v>
      </c>
      <c r="U688" s="1" t="s">
        <v>12319</v>
      </c>
      <c r="V688" s="1" t="s">
        <v>12320</v>
      </c>
      <c r="W688" s="1" t="s">
        <v>12321</v>
      </c>
      <c r="X688" s="1" t="s">
        <v>12322</v>
      </c>
      <c r="Y688" s="1" t="s">
        <v>12323</v>
      </c>
      <c r="Z688" s="1" t="s">
        <v>3956</v>
      </c>
      <c r="AA688" s="1" t="s">
        <v>12324</v>
      </c>
      <c r="AB688" s="1" t="s">
        <v>12325</v>
      </c>
      <c r="AC688" s="1"/>
      <c r="AD688" s="1"/>
      <c r="AE688" s="1"/>
      <c r="AF688" s="1"/>
      <c r="AG688" s="1" t="n">
        <v>34</v>
      </c>
      <c r="AH688" s="1" t="n">
        <v>4</v>
      </c>
      <c r="AI688" s="1" t="n">
        <v>4</v>
      </c>
      <c r="AJ688" s="1" t="n">
        <v>0</v>
      </c>
      <c r="AK688" s="1" t="n">
        <v>1</v>
      </c>
      <c r="AL688" s="1" t="s">
        <v>893</v>
      </c>
      <c r="AM688" s="1" t="s">
        <v>894</v>
      </c>
      <c r="AN688" s="1" t="s">
        <v>895</v>
      </c>
      <c r="AO688" s="1" t="s">
        <v>8635</v>
      </c>
      <c r="AP688" s="1" t="s">
        <v>8636</v>
      </c>
      <c r="AQ688" s="1"/>
      <c r="AR688" s="1" t="s">
        <v>8637</v>
      </c>
      <c r="AS688" s="1" t="s">
        <v>8638</v>
      </c>
      <c r="AT688" s="1" t="s">
        <v>1362</v>
      </c>
      <c r="AU688" s="1" t="n">
        <v>2021</v>
      </c>
      <c r="AV688" s="1" t="n">
        <v>78</v>
      </c>
      <c r="AW688" s="1"/>
      <c r="AX688" s="1"/>
      <c r="AY688" s="1"/>
      <c r="AZ688" s="1"/>
      <c r="BA688" s="1"/>
      <c r="BB688" s="1"/>
      <c r="BC688" s="1"/>
      <c r="BD688" s="1" t="n">
        <v>103541</v>
      </c>
      <c r="BE688" s="1" t="s">
        <v>12326</v>
      </c>
      <c r="BF688" s="1" t="str">
        <f aca="false">HYPERLINK("http://dx.doi.org/10.1016/j.csi.2021.103541","http://dx.doi.org/10.1016/j.csi.2021.103541")</f>
        <v>http://dx.doi.org/10.1016/j.csi.2021.103541</v>
      </c>
      <c r="BG688" s="1"/>
      <c r="BH688" s="1" t="s">
        <v>1970</v>
      </c>
      <c r="BI688" s="1" t="n">
        <v>14</v>
      </c>
      <c r="BJ688" s="1" t="s">
        <v>1098</v>
      </c>
      <c r="BK688" s="1" t="s">
        <v>204</v>
      </c>
      <c r="BL688" s="1" t="s">
        <v>101</v>
      </c>
      <c r="BM688" s="1" t="s">
        <v>8641</v>
      </c>
      <c r="BN688" s="1"/>
      <c r="BO688" s="1"/>
      <c r="BP688" s="1"/>
      <c r="BQ688" s="1"/>
      <c r="BR688" s="1" t="s">
        <v>103</v>
      </c>
      <c r="BS688" s="1" t="s">
        <v>12327</v>
      </c>
      <c r="BT688" s="1" t="str">
        <f aca="false">HYPERLINK("https%3A%2F%2Fwww.webofscience.com%2Fwos%2Fwoscc%2Ffull-record%2FWOS:000670669600010","View Full Record in Web of Science")</f>
        <v>View Full Record in Web of Science</v>
      </c>
    </row>
    <row r="689" customFormat="false" ht="12.75" hidden="false" customHeight="false" outlineLevel="0" collapsed="false">
      <c r="A689" s="1" t="s">
        <v>181</v>
      </c>
      <c r="B689" s="1" t="s">
        <v>12328</v>
      </c>
      <c r="C689" s="1"/>
      <c r="D689" s="1"/>
      <c r="E689" s="1"/>
      <c r="F689" s="1" t="s">
        <v>12329</v>
      </c>
      <c r="G689" s="1"/>
      <c r="H689" s="1"/>
      <c r="I689" s="1" t="s">
        <v>12330</v>
      </c>
      <c r="J689" s="1" t="s">
        <v>12331</v>
      </c>
      <c r="K689" s="1"/>
      <c r="L689" s="1"/>
      <c r="M689" s="1" t="s">
        <v>78</v>
      </c>
      <c r="N689" s="1" t="s">
        <v>186</v>
      </c>
      <c r="O689" s="1"/>
      <c r="P689" s="1"/>
      <c r="Q689" s="1"/>
      <c r="R689" s="1"/>
      <c r="S689" s="1"/>
      <c r="T689" s="1" t="s">
        <v>12332</v>
      </c>
      <c r="U689" s="1" t="s">
        <v>12333</v>
      </c>
      <c r="V689" s="1" t="s">
        <v>12334</v>
      </c>
      <c r="W689" s="1" t="s">
        <v>12335</v>
      </c>
      <c r="X689" s="1" t="s">
        <v>12336</v>
      </c>
      <c r="Y689" s="1" t="s">
        <v>12337</v>
      </c>
      <c r="Z689" s="1" t="s">
        <v>12338</v>
      </c>
      <c r="AA689" s="1" t="s">
        <v>12339</v>
      </c>
      <c r="AB689" s="1" t="s">
        <v>12340</v>
      </c>
      <c r="AC689" s="1" t="s">
        <v>12341</v>
      </c>
      <c r="AD689" s="1" t="s">
        <v>12342</v>
      </c>
      <c r="AE689" s="1" t="s">
        <v>12343</v>
      </c>
      <c r="AF689" s="1"/>
      <c r="AG689" s="1" t="n">
        <v>80</v>
      </c>
      <c r="AH689" s="1" t="n">
        <v>22</v>
      </c>
      <c r="AI689" s="1" t="n">
        <v>22</v>
      </c>
      <c r="AJ689" s="1" t="n">
        <v>10</v>
      </c>
      <c r="AK689" s="1" t="n">
        <v>59</v>
      </c>
      <c r="AL689" s="1" t="s">
        <v>8218</v>
      </c>
      <c r="AM689" s="1" t="s">
        <v>1908</v>
      </c>
      <c r="AN689" s="1" t="s">
        <v>8219</v>
      </c>
      <c r="AO689" s="1"/>
      <c r="AP689" s="1" t="s">
        <v>12344</v>
      </c>
      <c r="AQ689" s="1"/>
      <c r="AR689" s="1" t="s">
        <v>12331</v>
      </c>
      <c r="AS689" s="1" t="s">
        <v>12345</v>
      </c>
      <c r="AT689" s="1" t="s">
        <v>12346</v>
      </c>
      <c r="AU689" s="1" t="n">
        <v>2020</v>
      </c>
      <c r="AV689" s="1" t="n">
        <v>20</v>
      </c>
      <c r="AW689" s="1" t="n">
        <v>1</v>
      </c>
      <c r="AX689" s="1"/>
      <c r="AY689" s="1"/>
      <c r="AZ689" s="1"/>
      <c r="BA689" s="1"/>
      <c r="BB689" s="1"/>
      <c r="BC689" s="1"/>
      <c r="BD689" s="1" t="n">
        <v>357</v>
      </c>
      <c r="BE689" s="1" t="s">
        <v>12347</v>
      </c>
      <c r="BF689" s="1" t="str">
        <f aca="false">HYPERLINK("http://dx.doi.org/10.1186/s12888-020-02771-1","http://dx.doi.org/10.1186/s12888-020-02771-1")</f>
        <v>http://dx.doi.org/10.1186/s12888-020-02771-1</v>
      </c>
      <c r="BG689" s="1"/>
      <c r="BH689" s="1"/>
      <c r="BI689" s="1" t="n">
        <v>14</v>
      </c>
      <c r="BJ689" s="1" t="s">
        <v>12348</v>
      </c>
      <c r="BK689" s="1" t="s">
        <v>204</v>
      </c>
      <c r="BL689" s="1" t="s">
        <v>12348</v>
      </c>
      <c r="BM689" s="1" t="s">
        <v>12349</v>
      </c>
      <c r="BN689" s="1" t="n">
        <v>32635911</v>
      </c>
      <c r="BO689" s="1" t="s">
        <v>401</v>
      </c>
      <c r="BP689" s="1"/>
      <c r="BQ689" s="1"/>
      <c r="BR689" s="1" t="s">
        <v>103</v>
      </c>
      <c r="BS689" s="1" t="s">
        <v>12350</v>
      </c>
      <c r="BT689" s="1" t="str">
        <f aca="false">HYPERLINK("https%3A%2F%2Fwww.webofscience.com%2Fwos%2Fwoscc%2Ffull-record%2FWOS:000551906300002","View Full Record in Web of Science")</f>
        <v>View Full Record in Web of Science</v>
      </c>
    </row>
    <row r="690" customFormat="false" ht="12.75" hidden="false" customHeight="false" outlineLevel="0" collapsed="false">
      <c r="A690" s="1" t="s">
        <v>181</v>
      </c>
      <c r="B690" s="1" t="s">
        <v>12351</v>
      </c>
      <c r="C690" s="1"/>
      <c r="D690" s="1"/>
      <c r="E690" s="1"/>
      <c r="F690" s="1" t="s">
        <v>12352</v>
      </c>
      <c r="G690" s="1"/>
      <c r="H690" s="1"/>
      <c r="I690" s="1" t="s">
        <v>12353</v>
      </c>
      <c r="J690" s="1" t="s">
        <v>7764</v>
      </c>
      <c r="K690" s="1"/>
      <c r="L690" s="1"/>
      <c r="M690" s="1" t="s">
        <v>78</v>
      </c>
      <c r="N690" s="1" t="s">
        <v>186</v>
      </c>
      <c r="O690" s="1"/>
      <c r="P690" s="1"/>
      <c r="Q690" s="1"/>
      <c r="R690" s="1"/>
      <c r="S690" s="1"/>
      <c r="T690" s="1" t="s">
        <v>12354</v>
      </c>
      <c r="U690" s="1" t="s">
        <v>12355</v>
      </c>
      <c r="V690" s="1" t="s">
        <v>12356</v>
      </c>
      <c r="W690" s="1" t="s">
        <v>12357</v>
      </c>
      <c r="X690" s="1" t="s">
        <v>12358</v>
      </c>
      <c r="Y690" s="1" t="s">
        <v>12359</v>
      </c>
      <c r="Z690" s="1" t="s">
        <v>12360</v>
      </c>
      <c r="AA690" s="1" t="s">
        <v>12361</v>
      </c>
      <c r="AB690" s="1" t="s">
        <v>12362</v>
      </c>
      <c r="AC690" s="1" t="s">
        <v>12363</v>
      </c>
      <c r="AD690" s="1" t="s">
        <v>12363</v>
      </c>
      <c r="AE690" s="1" t="s">
        <v>12364</v>
      </c>
      <c r="AF690" s="1"/>
      <c r="AG690" s="1" t="n">
        <v>24</v>
      </c>
      <c r="AH690" s="1" t="n">
        <v>2</v>
      </c>
      <c r="AI690" s="1" t="n">
        <v>2</v>
      </c>
      <c r="AJ690" s="1" t="n">
        <v>0</v>
      </c>
      <c r="AK690" s="1" t="n">
        <v>7</v>
      </c>
      <c r="AL690" s="1" t="s">
        <v>367</v>
      </c>
      <c r="AM690" s="1" t="s">
        <v>368</v>
      </c>
      <c r="AN690" s="1" t="s">
        <v>369</v>
      </c>
      <c r="AO690" s="1"/>
      <c r="AP690" s="1" t="s">
        <v>7773</v>
      </c>
      <c r="AQ690" s="1"/>
      <c r="AR690" s="1" t="s">
        <v>7774</v>
      </c>
      <c r="AS690" s="1" t="s">
        <v>7775</v>
      </c>
      <c r="AT690" s="1" t="s">
        <v>474</v>
      </c>
      <c r="AU690" s="1" t="n">
        <v>2021</v>
      </c>
      <c r="AV690" s="1" t="n">
        <v>11</v>
      </c>
      <c r="AW690" s="1" t="n">
        <v>9</v>
      </c>
      <c r="AX690" s="1"/>
      <c r="AY690" s="1"/>
      <c r="AZ690" s="1"/>
      <c r="BA690" s="1"/>
      <c r="BB690" s="1"/>
      <c r="BC690" s="1"/>
      <c r="BD690" s="1" t="n">
        <v>1473</v>
      </c>
      <c r="BE690" s="1" t="s">
        <v>12365</v>
      </c>
      <c r="BF690" s="1" t="str">
        <f aca="false">HYPERLINK("http://dx.doi.org/10.3390/met11091473","http://dx.doi.org/10.3390/met11091473")</f>
        <v>http://dx.doi.org/10.3390/met11091473</v>
      </c>
      <c r="BG690" s="1"/>
      <c r="BH690" s="1"/>
      <c r="BI690" s="1" t="n">
        <v>12</v>
      </c>
      <c r="BJ690" s="1" t="s">
        <v>7777</v>
      </c>
      <c r="BK690" s="1" t="s">
        <v>204</v>
      </c>
      <c r="BL690" s="1" t="s">
        <v>7778</v>
      </c>
      <c r="BM690" s="1" t="s">
        <v>12366</v>
      </c>
      <c r="BN690" s="1"/>
      <c r="BO690" s="1" t="s">
        <v>401</v>
      </c>
      <c r="BP690" s="1"/>
      <c r="BQ690" s="1"/>
      <c r="BR690" s="1" t="s">
        <v>103</v>
      </c>
      <c r="BS690" s="1" t="s">
        <v>12367</v>
      </c>
      <c r="BT690" s="1" t="str">
        <f aca="false">HYPERLINK("https%3A%2F%2Fwww.webofscience.com%2Fwos%2Fwoscc%2Ffull-record%2FWOS:000701398500001","View Full Record in Web of Science")</f>
        <v>View Full Record in Web of Science</v>
      </c>
    </row>
    <row r="691" customFormat="false" ht="12.75" hidden="false" customHeight="false" outlineLevel="0" collapsed="false">
      <c r="A691" s="1" t="s">
        <v>72</v>
      </c>
      <c r="B691" s="1" t="s">
        <v>12368</v>
      </c>
      <c r="C691" s="1"/>
      <c r="D691" s="1" t="s">
        <v>12369</v>
      </c>
      <c r="E691" s="1"/>
      <c r="F691" s="1" t="s">
        <v>12370</v>
      </c>
      <c r="G691" s="1"/>
      <c r="H691" s="1"/>
      <c r="I691" s="1" t="s">
        <v>12371</v>
      </c>
      <c r="J691" s="1" t="s">
        <v>12372</v>
      </c>
      <c r="K691" s="1" t="s">
        <v>498</v>
      </c>
      <c r="L691" s="1"/>
      <c r="M691" s="1" t="s">
        <v>78</v>
      </c>
      <c r="N691" s="1" t="s">
        <v>79</v>
      </c>
      <c r="O691" s="1" t="s">
        <v>12373</v>
      </c>
      <c r="P691" s="1" t="s">
        <v>12374</v>
      </c>
      <c r="Q691" s="1" t="s">
        <v>320</v>
      </c>
      <c r="R691" s="1" t="s">
        <v>12375</v>
      </c>
      <c r="S691" s="1"/>
      <c r="T691" s="1" t="s">
        <v>12376</v>
      </c>
      <c r="U691" s="1"/>
      <c r="V691" s="1" t="s">
        <v>12377</v>
      </c>
      <c r="W691" s="1" t="s">
        <v>12378</v>
      </c>
      <c r="X691" s="1" t="s">
        <v>12379</v>
      </c>
      <c r="Y691" s="1" t="s">
        <v>12380</v>
      </c>
      <c r="Z691" s="1" t="s">
        <v>12381</v>
      </c>
      <c r="AA691" s="1" t="s">
        <v>12382</v>
      </c>
      <c r="AB691" s="1" t="s">
        <v>12383</v>
      </c>
      <c r="AC691" s="1"/>
      <c r="AD691" s="1"/>
      <c r="AE691" s="1"/>
      <c r="AF691" s="1"/>
      <c r="AG691" s="1" t="n">
        <v>14</v>
      </c>
      <c r="AH691" s="1" t="n">
        <v>3</v>
      </c>
      <c r="AI691" s="1" t="n">
        <v>3</v>
      </c>
      <c r="AJ691" s="1" t="n">
        <v>0</v>
      </c>
      <c r="AK691" s="1" t="n">
        <v>11</v>
      </c>
      <c r="AL691" s="1" t="s">
        <v>302</v>
      </c>
      <c r="AM691" s="1" t="s">
        <v>303</v>
      </c>
      <c r="AN691" s="1" t="s">
        <v>304</v>
      </c>
      <c r="AO691" s="1" t="s">
        <v>512</v>
      </c>
      <c r="AP691" s="1" t="s">
        <v>513</v>
      </c>
      <c r="AQ691" s="1" t="s">
        <v>12384</v>
      </c>
      <c r="AR691" s="1" t="s">
        <v>515</v>
      </c>
      <c r="AS691" s="1"/>
      <c r="AT691" s="1"/>
      <c r="AU691" s="1" t="n">
        <v>2021</v>
      </c>
      <c r="AV691" s="1" t="n">
        <v>426</v>
      </c>
      <c r="AW691" s="1"/>
      <c r="AX691" s="1"/>
      <c r="AY691" s="1"/>
      <c r="AZ691" s="1"/>
      <c r="BA691" s="1"/>
      <c r="BB691" s="1" t="n">
        <v>23</v>
      </c>
      <c r="BC691" s="1" t="n">
        <v>32</v>
      </c>
      <c r="BD691" s="1"/>
      <c r="BE691" s="1" t="s">
        <v>12385</v>
      </c>
      <c r="BF691" s="1" t="str">
        <f aca="false">HYPERLINK("http://dx.doi.org/10.1007/978-3-030-88583-0_3","http://dx.doi.org/10.1007/978-3-030-88583-0_3")</f>
        <v>http://dx.doi.org/10.1007/978-3-030-88583-0_3</v>
      </c>
      <c r="BG691" s="1"/>
      <c r="BH691" s="1"/>
      <c r="BI691" s="1" t="n">
        <v>10</v>
      </c>
      <c r="BJ691" s="1" t="s">
        <v>99</v>
      </c>
      <c r="BK691" s="1" t="s">
        <v>100</v>
      </c>
      <c r="BL691" s="1" t="s">
        <v>101</v>
      </c>
      <c r="BM691" s="1" t="s">
        <v>12386</v>
      </c>
      <c r="BN691" s="1"/>
      <c r="BO691" s="1" t="s">
        <v>282</v>
      </c>
      <c r="BP691" s="1"/>
      <c r="BQ691" s="1"/>
      <c r="BR691" s="1" t="s">
        <v>103</v>
      </c>
      <c r="BS691" s="1" t="s">
        <v>12387</v>
      </c>
      <c r="BT691" s="1" t="str">
        <f aca="false">HYPERLINK("https%3A%2F%2Fwww.webofscience.com%2Fwos%2Fwoscc%2Ffull-record%2FWOS:000719308400003","View Full Record in Web of Science")</f>
        <v>View Full Record in Web of Science</v>
      </c>
    </row>
    <row r="692" customFormat="false" ht="12.75" hidden="false" customHeight="false" outlineLevel="0" collapsed="false">
      <c r="A692" s="1" t="s">
        <v>181</v>
      </c>
      <c r="B692" s="1" t="s">
        <v>12388</v>
      </c>
      <c r="C692" s="1"/>
      <c r="D692" s="1"/>
      <c r="E692" s="1"/>
      <c r="F692" s="1" t="s">
        <v>12389</v>
      </c>
      <c r="G692" s="1"/>
      <c r="H692" s="1"/>
      <c r="I692" s="1" t="s">
        <v>12390</v>
      </c>
      <c r="J692" s="1" t="s">
        <v>5545</v>
      </c>
      <c r="K692" s="1"/>
      <c r="L692" s="1"/>
      <c r="M692" s="1" t="s">
        <v>78</v>
      </c>
      <c r="N692" s="1" t="s">
        <v>186</v>
      </c>
      <c r="O692" s="1"/>
      <c r="P692" s="1"/>
      <c r="Q692" s="1"/>
      <c r="R692" s="1"/>
      <c r="S692" s="1"/>
      <c r="T692" s="1" t="s">
        <v>12391</v>
      </c>
      <c r="U692" s="1" t="s">
        <v>12392</v>
      </c>
      <c r="V692" s="1" t="s">
        <v>12393</v>
      </c>
      <c r="W692" s="1" t="s">
        <v>12394</v>
      </c>
      <c r="X692" s="1" t="s">
        <v>12395</v>
      </c>
      <c r="Y692" s="1" t="s">
        <v>12396</v>
      </c>
      <c r="Z692" s="1" t="s">
        <v>12397</v>
      </c>
      <c r="AA692" s="1" t="s">
        <v>12197</v>
      </c>
      <c r="AB692" s="1"/>
      <c r="AC692" s="1"/>
      <c r="AD692" s="1"/>
      <c r="AE692" s="1"/>
      <c r="AF692" s="1"/>
      <c r="AG692" s="1" t="n">
        <v>39</v>
      </c>
      <c r="AH692" s="1" t="n">
        <v>43</v>
      </c>
      <c r="AI692" s="1" t="n">
        <v>44</v>
      </c>
      <c r="AJ692" s="1" t="n">
        <v>7</v>
      </c>
      <c r="AK692" s="1" t="n">
        <v>42</v>
      </c>
      <c r="AL692" s="1" t="s">
        <v>679</v>
      </c>
      <c r="AM692" s="1" t="s">
        <v>680</v>
      </c>
      <c r="AN692" s="1" t="s">
        <v>681</v>
      </c>
      <c r="AO692" s="1" t="s">
        <v>5556</v>
      </c>
      <c r="AP692" s="1" t="s">
        <v>5557</v>
      </c>
      <c r="AQ692" s="1"/>
      <c r="AR692" s="1" t="s">
        <v>5558</v>
      </c>
      <c r="AS692" s="1" t="s">
        <v>5559</v>
      </c>
      <c r="AT692" s="1" t="s">
        <v>537</v>
      </c>
      <c r="AU692" s="1" t="n">
        <v>2020</v>
      </c>
      <c r="AV692" s="1" t="n">
        <v>54</v>
      </c>
      <c r="AW692" s="1" t="n">
        <v>2</v>
      </c>
      <c r="AX692" s="1"/>
      <c r="AY692" s="1"/>
      <c r="AZ692" s="1" t="s">
        <v>1698</v>
      </c>
      <c r="BA692" s="1"/>
      <c r="BB692" s="1" t="n">
        <v>373</v>
      </c>
      <c r="BC692" s="1" t="n">
        <v>382</v>
      </c>
      <c r="BD692" s="1"/>
      <c r="BE692" s="1" t="s">
        <v>12398</v>
      </c>
      <c r="BF692" s="1" t="str">
        <f aca="false">HYPERLINK("http://dx.doi.org/10.1007/s11187-018-0039-z","http://dx.doi.org/10.1007/s11187-018-0039-z")</f>
        <v>http://dx.doi.org/10.1007/s11187-018-0039-z</v>
      </c>
      <c r="BG692" s="1"/>
      <c r="BH692" s="1"/>
      <c r="BI692" s="1" t="n">
        <v>10</v>
      </c>
      <c r="BJ692" s="1" t="s">
        <v>5562</v>
      </c>
      <c r="BK692" s="1" t="s">
        <v>610</v>
      </c>
      <c r="BL692" s="1" t="s">
        <v>715</v>
      </c>
      <c r="BM692" s="1" t="s">
        <v>12399</v>
      </c>
      <c r="BN692" s="1"/>
      <c r="BO692" s="1" t="s">
        <v>207</v>
      </c>
      <c r="BP692" s="1"/>
      <c r="BQ692" s="1"/>
      <c r="BR692" s="1" t="s">
        <v>103</v>
      </c>
      <c r="BS692" s="1" t="s">
        <v>12400</v>
      </c>
      <c r="BT692" s="1" t="str">
        <f aca="false">HYPERLINK("https%3A%2F%2Fwww.webofscience.com%2Fwos%2Fwoscc%2Ffull-record%2FWOS:000518505800001","View Full Record in Web of Science")</f>
        <v>View Full Record in Web of Science</v>
      </c>
    </row>
    <row r="693" customFormat="false" ht="12.75" hidden="false" customHeight="false" outlineLevel="0" collapsed="false">
      <c r="A693" s="1" t="s">
        <v>72</v>
      </c>
      <c r="B693" s="1" t="s">
        <v>12401</v>
      </c>
      <c r="C693" s="1"/>
      <c r="D693" s="1" t="s">
        <v>12402</v>
      </c>
      <c r="E693" s="1"/>
      <c r="F693" s="1" t="s">
        <v>12403</v>
      </c>
      <c r="G693" s="1"/>
      <c r="H693" s="1"/>
      <c r="I693" s="1" t="s">
        <v>12404</v>
      </c>
      <c r="J693" s="1" t="s">
        <v>12405</v>
      </c>
      <c r="K693" s="1" t="s">
        <v>976</v>
      </c>
      <c r="L693" s="1"/>
      <c r="M693" s="1" t="s">
        <v>78</v>
      </c>
      <c r="N693" s="1" t="s">
        <v>79</v>
      </c>
      <c r="O693" s="1" t="s">
        <v>12406</v>
      </c>
      <c r="P693" s="1" t="s">
        <v>12407</v>
      </c>
      <c r="Q693" s="1" t="s">
        <v>12408</v>
      </c>
      <c r="R693" s="1"/>
      <c r="S693" s="1"/>
      <c r="T693" s="1" t="s">
        <v>12409</v>
      </c>
      <c r="U693" s="1" t="s">
        <v>12410</v>
      </c>
      <c r="V693" s="1" t="s">
        <v>12411</v>
      </c>
      <c r="W693" s="1" t="s">
        <v>12412</v>
      </c>
      <c r="X693" s="1" t="s">
        <v>12413</v>
      </c>
      <c r="Y693" s="1" t="s">
        <v>12414</v>
      </c>
      <c r="Z693" s="1" t="s">
        <v>12415</v>
      </c>
      <c r="AA693" s="1" t="s">
        <v>12416</v>
      </c>
      <c r="AB693" s="1" t="s">
        <v>12417</v>
      </c>
      <c r="AC693" s="1" t="s">
        <v>12418</v>
      </c>
      <c r="AD693" s="1" t="s">
        <v>12418</v>
      </c>
      <c r="AE693" s="1" t="s">
        <v>12419</v>
      </c>
      <c r="AF693" s="1"/>
      <c r="AG693" s="1" t="n">
        <v>32</v>
      </c>
      <c r="AH693" s="1" t="n">
        <v>1</v>
      </c>
      <c r="AI693" s="1" t="n">
        <v>1</v>
      </c>
      <c r="AJ693" s="1" t="n">
        <v>2</v>
      </c>
      <c r="AK693" s="1" t="n">
        <v>3</v>
      </c>
      <c r="AL693" s="1" t="s">
        <v>302</v>
      </c>
      <c r="AM693" s="1" t="s">
        <v>303</v>
      </c>
      <c r="AN693" s="1" t="s">
        <v>304</v>
      </c>
      <c r="AO693" s="1" t="s">
        <v>989</v>
      </c>
      <c r="AP693" s="1" t="s">
        <v>990</v>
      </c>
      <c r="AQ693" s="1" t="s">
        <v>12420</v>
      </c>
      <c r="AR693" s="1" t="s">
        <v>992</v>
      </c>
      <c r="AS693" s="1"/>
      <c r="AT693" s="1"/>
      <c r="AU693" s="1" t="n">
        <v>2024</v>
      </c>
      <c r="AV693" s="1" t="n">
        <v>14483</v>
      </c>
      <c r="AW693" s="1"/>
      <c r="AX693" s="1"/>
      <c r="AY693" s="1"/>
      <c r="AZ693" s="1"/>
      <c r="BA693" s="1"/>
      <c r="BB693" s="1" t="n">
        <v>284</v>
      </c>
      <c r="BC693" s="1" t="n">
        <v>300</v>
      </c>
      <c r="BD693" s="1"/>
      <c r="BE693" s="1" t="s">
        <v>12421</v>
      </c>
      <c r="BF693" s="1" t="str">
        <f aca="false">HYPERLINK("http://dx.doi.org/10.1007/978-3-031-49266-2_20","http://dx.doi.org/10.1007/978-3-031-49266-2_20")</f>
        <v>http://dx.doi.org/10.1007/978-3-031-49266-2_20</v>
      </c>
      <c r="BG693" s="1"/>
      <c r="BH693" s="1"/>
      <c r="BI693" s="1" t="n">
        <v>17</v>
      </c>
      <c r="BJ693" s="1" t="s">
        <v>994</v>
      </c>
      <c r="BK693" s="1" t="s">
        <v>100</v>
      </c>
      <c r="BL693" s="1" t="s">
        <v>101</v>
      </c>
      <c r="BM693" s="1" t="s">
        <v>12422</v>
      </c>
      <c r="BN693" s="1"/>
      <c r="BO693" s="1"/>
      <c r="BP693" s="1"/>
      <c r="BQ693" s="1"/>
      <c r="BR693" s="1" t="s">
        <v>103</v>
      </c>
      <c r="BS693" s="1" t="s">
        <v>12423</v>
      </c>
      <c r="BT693" s="1" t="str">
        <f aca="false">HYPERLINK("https%3A%2F%2Fwww.webofscience.com%2Fwos%2Fwoscc%2Ffull-record%2FWOS:001157572800020","View Full Record in Web of Science")</f>
        <v>View Full Record in Web of Science</v>
      </c>
    </row>
    <row r="694" customFormat="false" ht="12.75" hidden="false" customHeight="false" outlineLevel="0" collapsed="false">
      <c r="A694" s="1" t="s">
        <v>181</v>
      </c>
      <c r="B694" s="1" t="s">
        <v>12424</v>
      </c>
      <c r="C694" s="1"/>
      <c r="D694" s="1"/>
      <c r="E694" s="1"/>
      <c r="F694" s="1" t="s">
        <v>12425</v>
      </c>
      <c r="G694" s="1"/>
      <c r="H694" s="1"/>
      <c r="I694" s="1" t="s">
        <v>12426</v>
      </c>
      <c r="J694" s="1" t="s">
        <v>5545</v>
      </c>
      <c r="K694" s="1"/>
      <c r="L694" s="1"/>
      <c r="M694" s="1" t="s">
        <v>78</v>
      </c>
      <c r="N694" s="1" t="s">
        <v>186</v>
      </c>
      <c r="O694" s="1"/>
      <c r="P694" s="1"/>
      <c r="Q694" s="1"/>
      <c r="R694" s="1"/>
      <c r="S694" s="1"/>
      <c r="T694" s="1" t="s">
        <v>12427</v>
      </c>
      <c r="U694" s="1"/>
      <c r="V694" s="1" t="s">
        <v>12428</v>
      </c>
      <c r="W694" s="1" t="s">
        <v>12429</v>
      </c>
      <c r="X694" s="1" t="s">
        <v>12430</v>
      </c>
      <c r="Y694" s="1" t="s">
        <v>12431</v>
      </c>
      <c r="Z694" s="1" t="s">
        <v>12432</v>
      </c>
      <c r="AA694" s="1"/>
      <c r="AB694" s="1" t="s">
        <v>12433</v>
      </c>
      <c r="AC694" s="1" t="s">
        <v>12434</v>
      </c>
      <c r="AD694" s="1" t="s">
        <v>12434</v>
      </c>
      <c r="AE694" s="1" t="s">
        <v>12435</v>
      </c>
      <c r="AF694" s="1"/>
      <c r="AG694" s="1" t="n">
        <v>121</v>
      </c>
      <c r="AH694" s="1" t="n">
        <v>1</v>
      </c>
      <c r="AI694" s="1" t="n">
        <v>1</v>
      </c>
      <c r="AJ694" s="1" t="n">
        <v>4</v>
      </c>
      <c r="AK694" s="1" t="n">
        <v>15</v>
      </c>
      <c r="AL694" s="1" t="s">
        <v>679</v>
      </c>
      <c r="AM694" s="1" t="s">
        <v>680</v>
      </c>
      <c r="AN694" s="1" t="s">
        <v>681</v>
      </c>
      <c r="AO694" s="1" t="s">
        <v>5556</v>
      </c>
      <c r="AP694" s="1" t="s">
        <v>5557</v>
      </c>
      <c r="AQ694" s="1"/>
      <c r="AR694" s="1" t="s">
        <v>5558</v>
      </c>
      <c r="AS694" s="1" t="s">
        <v>5559</v>
      </c>
      <c r="AT694" s="1" t="s">
        <v>2698</v>
      </c>
      <c r="AU694" s="1" t="n">
        <v>2024</v>
      </c>
      <c r="AV694" s="1" t="n">
        <v>63</v>
      </c>
      <c r="AW694" s="1" t="n">
        <v>1</v>
      </c>
      <c r="AX694" s="1"/>
      <c r="AY694" s="1"/>
      <c r="AZ694" s="1"/>
      <c r="BA694" s="1"/>
      <c r="BB694" s="1" t="n">
        <v>275</v>
      </c>
      <c r="BC694" s="1" t="n">
        <v>297</v>
      </c>
      <c r="BD694" s="1"/>
      <c r="BE694" s="1" t="s">
        <v>12436</v>
      </c>
      <c r="BF694" s="1" t="str">
        <f aca="false">HYPERLINK("http://dx.doi.org/10.1007/s11187-023-00812-z","http://dx.doi.org/10.1007/s11187-023-00812-z")</f>
        <v>http://dx.doi.org/10.1007/s11187-023-00812-z</v>
      </c>
      <c r="BG694" s="1"/>
      <c r="BH694" s="1" t="s">
        <v>3898</v>
      </c>
      <c r="BI694" s="1" t="n">
        <v>23</v>
      </c>
      <c r="BJ694" s="1" t="s">
        <v>5562</v>
      </c>
      <c r="BK694" s="1" t="s">
        <v>610</v>
      </c>
      <c r="BL694" s="1" t="s">
        <v>715</v>
      </c>
      <c r="BM694" s="1" t="s">
        <v>12437</v>
      </c>
      <c r="BN694" s="1"/>
      <c r="BO694" s="1"/>
      <c r="BP694" s="1"/>
      <c r="BQ694" s="1"/>
      <c r="BR694" s="1" t="s">
        <v>103</v>
      </c>
      <c r="BS694" s="1" t="s">
        <v>12438</v>
      </c>
      <c r="BT694" s="1" t="str">
        <f aca="false">HYPERLINK("https%3A%2F%2Fwww.webofscience.com%2Fwos%2Fwoscc%2Ffull-record%2FWOS:001059985100001","View Full Record in Web of Science")</f>
        <v>View Full Record in Web of Science</v>
      </c>
    </row>
    <row r="695" customFormat="false" ht="12.75" hidden="false" customHeight="false" outlineLevel="0" collapsed="false">
      <c r="A695" s="1" t="s">
        <v>181</v>
      </c>
      <c r="B695" s="1" t="s">
        <v>12439</v>
      </c>
      <c r="C695" s="1"/>
      <c r="D695" s="1"/>
      <c r="E695" s="1"/>
      <c r="F695" s="1" t="s">
        <v>12440</v>
      </c>
      <c r="G695" s="1"/>
      <c r="H695" s="1"/>
      <c r="I695" s="1" t="s">
        <v>12441</v>
      </c>
      <c r="J695" s="1" t="s">
        <v>6457</v>
      </c>
      <c r="K695" s="1"/>
      <c r="L695" s="1"/>
      <c r="M695" s="1" t="s">
        <v>78</v>
      </c>
      <c r="N695" s="1" t="s">
        <v>186</v>
      </c>
      <c r="O695" s="1"/>
      <c r="P695" s="1"/>
      <c r="Q695" s="1"/>
      <c r="R695" s="1"/>
      <c r="S695" s="1"/>
      <c r="T695" s="1"/>
      <c r="U695" s="1"/>
      <c r="V695" s="1"/>
      <c r="W695" s="1" t="s">
        <v>12442</v>
      </c>
      <c r="X695" s="1" t="s">
        <v>12443</v>
      </c>
      <c r="Y695" s="1" t="s">
        <v>12444</v>
      </c>
      <c r="Z695" s="1" t="s">
        <v>12445</v>
      </c>
      <c r="AA695" s="1" t="s">
        <v>4185</v>
      </c>
      <c r="AB695" s="1" t="s">
        <v>12446</v>
      </c>
      <c r="AC695" s="1"/>
      <c r="AD695" s="1"/>
      <c r="AE695" s="1"/>
      <c r="AF695" s="1"/>
      <c r="AG695" s="1" t="n">
        <v>11</v>
      </c>
      <c r="AH695" s="1" t="n">
        <v>10</v>
      </c>
      <c r="AI695" s="1" t="n">
        <v>10</v>
      </c>
      <c r="AJ695" s="1" t="n">
        <v>0</v>
      </c>
      <c r="AK695" s="1" t="n">
        <v>11</v>
      </c>
      <c r="AL695" s="1" t="s">
        <v>94</v>
      </c>
      <c r="AM695" s="1" t="s">
        <v>95</v>
      </c>
      <c r="AN695" s="1" t="s">
        <v>826</v>
      </c>
      <c r="AO695" s="1" t="s">
        <v>6467</v>
      </c>
      <c r="AP695" s="1" t="s">
        <v>6468</v>
      </c>
      <c r="AQ695" s="1"/>
      <c r="AR695" s="1" t="s">
        <v>6469</v>
      </c>
      <c r="AS695" s="1" t="s">
        <v>6470</v>
      </c>
      <c r="AT695" s="1" t="s">
        <v>277</v>
      </c>
      <c r="AU695" s="1" t="n">
        <v>2020</v>
      </c>
      <c r="AV695" s="1" t="n">
        <v>63</v>
      </c>
      <c r="AW695" s="1" t="n">
        <v>3</v>
      </c>
      <c r="AX695" s="1"/>
      <c r="AY695" s="1"/>
      <c r="AZ695" s="1"/>
      <c r="BA695" s="1"/>
      <c r="BB695" s="1" t="n">
        <v>56</v>
      </c>
      <c r="BC695" s="1" t="n">
        <v>61</v>
      </c>
      <c r="BD695" s="1"/>
      <c r="BE695" s="1" t="s">
        <v>12447</v>
      </c>
      <c r="BF695" s="1" t="str">
        <f aca="false">HYPERLINK("http://dx.doi.org/10.1145/3343146","http://dx.doi.org/10.1145/3343146")</f>
        <v>http://dx.doi.org/10.1145/3343146</v>
      </c>
      <c r="BG695" s="1"/>
      <c r="BH695" s="1"/>
      <c r="BI695" s="1" t="n">
        <v>6</v>
      </c>
      <c r="BJ695" s="1" t="s">
        <v>6472</v>
      </c>
      <c r="BK695" s="1" t="s">
        <v>204</v>
      </c>
      <c r="BL695" s="1" t="s">
        <v>101</v>
      </c>
      <c r="BM695" s="1" t="s">
        <v>12448</v>
      </c>
      <c r="BN695" s="1"/>
      <c r="BO695" s="1" t="s">
        <v>179</v>
      </c>
      <c r="BP695" s="1"/>
      <c r="BQ695" s="1"/>
      <c r="BR695" s="1" t="s">
        <v>103</v>
      </c>
      <c r="BS695" s="1" t="s">
        <v>12449</v>
      </c>
      <c r="BT695" s="1" t="str">
        <f aca="false">HYPERLINK("https%3A%2F%2Fwww.webofscience.com%2Fwos%2Fwoscc%2Ffull-record%2FWOS:000582584200021","View Full Record in Web of Science")</f>
        <v>View Full Record in Web of Science</v>
      </c>
    </row>
    <row r="696" customFormat="false" ht="12.75" hidden="false" customHeight="false" outlineLevel="0" collapsed="false">
      <c r="A696" s="1" t="s">
        <v>181</v>
      </c>
      <c r="B696" s="1" t="s">
        <v>12450</v>
      </c>
      <c r="C696" s="1"/>
      <c r="D696" s="1"/>
      <c r="E696" s="1"/>
      <c r="F696" s="1" t="s">
        <v>12451</v>
      </c>
      <c r="G696" s="1"/>
      <c r="H696" s="1"/>
      <c r="I696" s="1" t="s">
        <v>12452</v>
      </c>
      <c r="J696" s="1" t="s">
        <v>4022</v>
      </c>
      <c r="K696" s="1"/>
      <c r="L696" s="1"/>
      <c r="M696" s="1" t="s">
        <v>78</v>
      </c>
      <c r="N696" s="1" t="s">
        <v>618</v>
      </c>
      <c r="O696" s="1"/>
      <c r="P696" s="1"/>
      <c r="Q696" s="1"/>
      <c r="R696" s="1"/>
      <c r="S696" s="1"/>
      <c r="T696" s="1" t="s">
        <v>12453</v>
      </c>
      <c r="U696" s="1" t="s">
        <v>12454</v>
      </c>
      <c r="V696" s="1" t="s">
        <v>12455</v>
      </c>
      <c r="W696" s="1" t="s">
        <v>12456</v>
      </c>
      <c r="X696" s="1" t="s">
        <v>12457</v>
      </c>
      <c r="Y696" s="1" t="s">
        <v>6959</v>
      </c>
      <c r="Z696" s="1" t="s">
        <v>12458</v>
      </c>
      <c r="AA696" s="1" t="s">
        <v>5981</v>
      </c>
      <c r="AB696" s="1" t="s">
        <v>12459</v>
      </c>
      <c r="AC696" s="1" t="s">
        <v>12460</v>
      </c>
      <c r="AD696" s="1" t="s">
        <v>12461</v>
      </c>
      <c r="AE696" s="1" t="s">
        <v>12462</v>
      </c>
      <c r="AF696" s="1"/>
      <c r="AG696" s="1" t="n">
        <v>164</v>
      </c>
      <c r="AH696" s="1" t="n">
        <v>37</v>
      </c>
      <c r="AI696" s="1" t="n">
        <v>42</v>
      </c>
      <c r="AJ696" s="1" t="n">
        <v>10</v>
      </c>
      <c r="AK696" s="1" t="n">
        <v>68</v>
      </c>
      <c r="AL696" s="1" t="s">
        <v>367</v>
      </c>
      <c r="AM696" s="1" t="s">
        <v>368</v>
      </c>
      <c r="AN696" s="1" t="s">
        <v>369</v>
      </c>
      <c r="AO696" s="1"/>
      <c r="AP696" s="1" t="s">
        <v>4032</v>
      </c>
      <c r="AQ696" s="1"/>
      <c r="AR696" s="1" t="s">
        <v>4022</v>
      </c>
      <c r="AS696" s="1" t="s">
        <v>4033</v>
      </c>
      <c r="AT696" s="1" t="s">
        <v>474</v>
      </c>
      <c r="AU696" s="1" t="n">
        <v>2022</v>
      </c>
      <c r="AV696" s="1" t="n">
        <v>15</v>
      </c>
      <c r="AW696" s="1" t="n">
        <v>18</v>
      </c>
      <c r="AX696" s="1"/>
      <c r="AY696" s="1"/>
      <c r="AZ696" s="1"/>
      <c r="BA696" s="1"/>
      <c r="BB696" s="1"/>
      <c r="BC696" s="1"/>
      <c r="BD696" s="1" t="n">
        <v>6799</v>
      </c>
      <c r="BE696" s="1" t="s">
        <v>12463</v>
      </c>
      <c r="BF696" s="1" t="str">
        <f aca="false">HYPERLINK("http://dx.doi.org/10.3390/en15186799","http://dx.doi.org/10.3390/en15186799")</f>
        <v>http://dx.doi.org/10.3390/en15186799</v>
      </c>
      <c r="BG696" s="1"/>
      <c r="BH696" s="1"/>
      <c r="BI696" s="1" t="n">
        <v>37</v>
      </c>
      <c r="BJ696" s="1" t="s">
        <v>4035</v>
      </c>
      <c r="BK696" s="1" t="s">
        <v>204</v>
      </c>
      <c r="BL696" s="1" t="s">
        <v>4035</v>
      </c>
      <c r="BM696" s="1" t="s">
        <v>12464</v>
      </c>
      <c r="BN696" s="1"/>
      <c r="BO696" s="1" t="s">
        <v>542</v>
      </c>
      <c r="BP696" s="1"/>
      <c r="BQ696" s="1"/>
      <c r="BR696" s="1" t="s">
        <v>103</v>
      </c>
      <c r="BS696" s="1" t="s">
        <v>12465</v>
      </c>
      <c r="BT696" s="1" t="str">
        <f aca="false">HYPERLINK("https%3A%2F%2Fwww.webofscience.com%2Fwos%2Fwoscc%2Ffull-record%2FWOS:000858224500001","View Full Record in Web of Science")</f>
        <v>View Full Record in Web of Science</v>
      </c>
    </row>
    <row r="697" customFormat="false" ht="12.75" hidden="false" customHeight="false" outlineLevel="0" collapsed="false">
      <c r="A697" s="1" t="s">
        <v>181</v>
      </c>
      <c r="B697" s="1" t="s">
        <v>12466</v>
      </c>
      <c r="C697" s="1"/>
      <c r="D697" s="1"/>
      <c r="E697" s="1"/>
      <c r="F697" s="1" t="s">
        <v>12467</v>
      </c>
      <c r="G697" s="1"/>
      <c r="H697" s="1"/>
      <c r="I697" s="1" t="s">
        <v>12468</v>
      </c>
      <c r="J697" s="1" t="s">
        <v>12469</v>
      </c>
      <c r="K697" s="1"/>
      <c r="L697" s="1"/>
      <c r="M697" s="1" t="s">
        <v>78</v>
      </c>
      <c r="N697" s="1" t="s">
        <v>907</v>
      </c>
      <c r="O697" s="1"/>
      <c r="P697" s="1"/>
      <c r="Q697" s="1"/>
      <c r="R697" s="1"/>
      <c r="S697" s="1"/>
      <c r="T697" s="1" t="s">
        <v>4893</v>
      </c>
      <c r="U697" s="1" t="s">
        <v>12470</v>
      </c>
      <c r="V697" s="1" t="s">
        <v>12471</v>
      </c>
      <c r="W697" s="1" t="s">
        <v>12472</v>
      </c>
      <c r="X697" s="1" t="s">
        <v>12473</v>
      </c>
      <c r="Y697" s="1" t="s">
        <v>4898</v>
      </c>
      <c r="Z697" s="1" t="s">
        <v>4899</v>
      </c>
      <c r="AA697" s="1" t="s">
        <v>12474</v>
      </c>
      <c r="AB697" s="1" t="s">
        <v>4901</v>
      </c>
      <c r="AC697" s="1" t="s">
        <v>4902</v>
      </c>
      <c r="AD697" s="1" t="s">
        <v>4902</v>
      </c>
      <c r="AE697" s="1" t="s">
        <v>12475</v>
      </c>
      <c r="AF697" s="1"/>
      <c r="AG697" s="1" t="n">
        <v>42</v>
      </c>
      <c r="AH697" s="1" t="n">
        <v>7</v>
      </c>
      <c r="AI697" s="1" t="n">
        <v>7</v>
      </c>
      <c r="AJ697" s="1" t="n">
        <v>1</v>
      </c>
      <c r="AK697" s="1" t="n">
        <v>9</v>
      </c>
      <c r="AL697" s="1" t="s">
        <v>600</v>
      </c>
      <c r="AM697" s="1" t="s">
        <v>601</v>
      </c>
      <c r="AN697" s="1" t="s">
        <v>602</v>
      </c>
      <c r="AO697" s="1" t="s">
        <v>12476</v>
      </c>
      <c r="AP697" s="1" t="s">
        <v>12477</v>
      </c>
      <c r="AQ697" s="1"/>
      <c r="AR697" s="1" t="s">
        <v>12469</v>
      </c>
      <c r="AS697" s="1" t="s">
        <v>12478</v>
      </c>
      <c r="AT697" s="1" t="s">
        <v>12479</v>
      </c>
      <c r="AU697" s="1" t="n">
        <v>2022</v>
      </c>
      <c r="AV697" s="1"/>
      <c r="AW697" s="1"/>
      <c r="AX697" s="1"/>
      <c r="AY697" s="1"/>
      <c r="AZ697" s="1"/>
      <c r="BA697" s="1"/>
      <c r="BB697" s="1"/>
      <c r="BC697" s="1"/>
      <c r="BD697" s="1"/>
      <c r="BE697" s="1" t="s">
        <v>12480</v>
      </c>
      <c r="BF697" s="1" t="str">
        <f aca="false">HYPERLINK("http://dx.doi.org/10.1111/ger.12619","http://dx.doi.org/10.1111/ger.12619")</f>
        <v>http://dx.doi.org/10.1111/ger.12619</v>
      </c>
      <c r="BG697" s="1"/>
      <c r="BH697" s="1" t="s">
        <v>2540</v>
      </c>
      <c r="BI697" s="1" t="n">
        <v>9</v>
      </c>
      <c r="BJ697" s="1" t="s">
        <v>12481</v>
      </c>
      <c r="BK697" s="1" t="s">
        <v>204</v>
      </c>
      <c r="BL697" s="1" t="s">
        <v>12481</v>
      </c>
      <c r="BM697" s="1" t="s">
        <v>12482</v>
      </c>
      <c r="BN697" s="1" t="n">
        <v>35064682</v>
      </c>
      <c r="BO697" s="1" t="s">
        <v>207</v>
      </c>
      <c r="BP697" s="1"/>
      <c r="BQ697" s="1"/>
      <c r="BR697" s="1" t="s">
        <v>103</v>
      </c>
      <c r="BS697" s="1" t="s">
        <v>12483</v>
      </c>
      <c r="BT697" s="1" t="str">
        <f aca="false">HYPERLINK("https%3A%2F%2Fwww.webofscience.com%2Fwos%2Fwoscc%2Ffull-record%2FWOS:000745467500001","View Full Record in Web of Science")</f>
        <v>View Full Record in Web of Science</v>
      </c>
    </row>
    <row r="698" customFormat="false" ht="12.75" hidden="false" customHeight="false" outlineLevel="0" collapsed="false">
      <c r="A698" s="1" t="s">
        <v>181</v>
      </c>
      <c r="B698" s="1" t="s">
        <v>12484</v>
      </c>
      <c r="C698" s="1"/>
      <c r="D698" s="1"/>
      <c r="E698" s="1"/>
      <c r="F698" s="1" t="s">
        <v>12485</v>
      </c>
      <c r="G698" s="1"/>
      <c r="H698" s="1"/>
      <c r="I698" s="1" t="s">
        <v>12486</v>
      </c>
      <c r="J698" s="1" t="s">
        <v>2226</v>
      </c>
      <c r="K698" s="1"/>
      <c r="L698" s="1"/>
      <c r="M698" s="1" t="s">
        <v>78</v>
      </c>
      <c r="N698" s="1" t="s">
        <v>186</v>
      </c>
      <c r="O698" s="1"/>
      <c r="P698" s="1"/>
      <c r="Q698" s="1"/>
      <c r="R698" s="1"/>
      <c r="S698" s="1"/>
      <c r="T698" s="1" t="s">
        <v>12487</v>
      </c>
      <c r="U698" s="1"/>
      <c r="V698" s="1" t="s">
        <v>12488</v>
      </c>
      <c r="W698" s="1" t="s">
        <v>12489</v>
      </c>
      <c r="X698" s="1" t="s">
        <v>12490</v>
      </c>
      <c r="Y698" s="1" t="s">
        <v>12491</v>
      </c>
      <c r="Z698" s="1" t="s">
        <v>12492</v>
      </c>
      <c r="AA698" s="1" t="s">
        <v>12493</v>
      </c>
      <c r="AB698" s="1" t="s">
        <v>12494</v>
      </c>
      <c r="AC698" s="1" t="s">
        <v>12495</v>
      </c>
      <c r="AD698" s="1" t="s">
        <v>12496</v>
      </c>
      <c r="AE698" s="1" t="s">
        <v>12497</v>
      </c>
      <c r="AF698" s="1"/>
      <c r="AG698" s="1" t="n">
        <v>33</v>
      </c>
      <c r="AH698" s="1" t="n">
        <v>12</v>
      </c>
      <c r="AI698" s="1" t="n">
        <v>12</v>
      </c>
      <c r="AJ698" s="1" t="n">
        <v>1</v>
      </c>
      <c r="AK698" s="1" t="n">
        <v>9</v>
      </c>
      <c r="AL698" s="1" t="s">
        <v>367</v>
      </c>
      <c r="AM698" s="1" t="s">
        <v>368</v>
      </c>
      <c r="AN698" s="1" t="s">
        <v>369</v>
      </c>
      <c r="AO698" s="1"/>
      <c r="AP698" s="1" t="s">
        <v>2234</v>
      </c>
      <c r="AQ698" s="1"/>
      <c r="AR698" s="1" t="s">
        <v>2235</v>
      </c>
      <c r="AS698" s="1" t="s">
        <v>2236</v>
      </c>
      <c r="AT698" s="1" t="s">
        <v>277</v>
      </c>
      <c r="AU698" s="1" t="n">
        <v>2021</v>
      </c>
      <c r="AV698" s="1" t="n">
        <v>13</v>
      </c>
      <c r="AW698" s="1" t="n">
        <v>5</v>
      </c>
      <c r="AX698" s="1"/>
      <c r="AY698" s="1"/>
      <c r="AZ698" s="1"/>
      <c r="BA698" s="1"/>
      <c r="BB698" s="1"/>
      <c r="BC698" s="1"/>
      <c r="BD698" s="1" t="n">
        <v>833</v>
      </c>
      <c r="BE698" s="1" t="s">
        <v>12498</v>
      </c>
      <c r="BF698" s="1" t="str">
        <f aca="false">HYPERLINK("http://dx.doi.org/10.3390/rs13050833","http://dx.doi.org/10.3390/rs13050833")</f>
        <v>http://dx.doi.org/10.3390/rs13050833</v>
      </c>
      <c r="BG698" s="1"/>
      <c r="BH698" s="1"/>
      <c r="BI698" s="1" t="n">
        <v>16</v>
      </c>
      <c r="BJ698" s="1" t="s">
        <v>2238</v>
      </c>
      <c r="BK698" s="1" t="s">
        <v>204</v>
      </c>
      <c r="BL698" s="1" t="s">
        <v>2239</v>
      </c>
      <c r="BM698" s="1" t="s">
        <v>12499</v>
      </c>
      <c r="BN698" s="1"/>
      <c r="BO698" s="1" t="s">
        <v>542</v>
      </c>
      <c r="BP698" s="1"/>
      <c r="BQ698" s="1"/>
      <c r="BR698" s="1" t="s">
        <v>103</v>
      </c>
      <c r="BS698" s="1" t="s">
        <v>12500</v>
      </c>
      <c r="BT698" s="1" t="str">
        <f aca="false">HYPERLINK("https%3A%2F%2Fwww.webofscience.com%2Fwos%2Fwoscc%2Ffull-record%2FWOS:000628499600001","View Full Record in Web of Science")</f>
        <v>View Full Record in Web of Science</v>
      </c>
    </row>
    <row r="699" customFormat="false" ht="12.75" hidden="false" customHeight="false" outlineLevel="0" collapsed="false">
      <c r="A699" s="1" t="s">
        <v>72</v>
      </c>
      <c r="B699" s="1" t="s">
        <v>12501</v>
      </c>
      <c r="C699" s="1"/>
      <c r="D699" s="1" t="s">
        <v>12502</v>
      </c>
      <c r="E699" s="1"/>
      <c r="F699" s="1" t="s">
        <v>12503</v>
      </c>
      <c r="G699" s="1"/>
      <c r="H699" s="1"/>
      <c r="I699" s="1" t="s">
        <v>12504</v>
      </c>
      <c r="J699" s="1" t="s">
        <v>12505</v>
      </c>
      <c r="K699" s="1" t="s">
        <v>498</v>
      </c>
      <c r="L699" s="1"/>
      <c r="M699" s="1" t="s">
        <v>78</v>
      </c>
      <c r="N699" s="1" t="s">
        <v>79</v>
      </c>
      <c r="O699" s="1" t="s">
        <v>12373</v>
      </c>
      <c r="P699" s="1" t="s">
        <v>12374</v>
      </c>
      <c r="Q699" s="1" t="s">
        <v>320</v>
      </c>
      <c r="R699" s="1" t="s">
        <v>12375</v>
      </c>
      <c r="S699" s="1"/>
      <c r="T699" s="1" t="s">
        <v>12506</v>
      </c>
      <c r="U699" s="1" t="s">
        <v>672</v>
      </c>
      <c r="V699" s="1" t="s">
        <v>12507</v>
      </c>
      <c r="W699" s="1" t="s">
        <v>12508</v>
      </c>
      <c r="X699" s="1" t="s">
        <v>12509</v>
      </c>
      <c r="Y699" s="1" t="s">
        <v>4096</v>
      </c>
      <c r="Z699" s="1" t="s">
        <v>12510</v>
      </c>
      <c r="AA699" s="1" t="s">
        <v>12511</v>
      </c>
      <c r="AB699" s="1"/>
      <c r="AC699" s="1" t="s">
        <v>12512</v>
      </c>
      <c r="AD699" s="1" t="s">
        <v>4101</v>
      </c>
      <c r="AE699" s="1" t="s">
        <v>12513</v>
      </c>
      <c r="AF699" s="1"/>
      <c r="AG699" s="1" t="n">
        <v>22</v>
      </c>
      <c r="AH699" s="1" t="n">
        <v>15</v>
      </c>
      <c r="AI699" s="1" t="n">
        <v>16</v>
      </c>
      <c r="AJ699" s="1" t="n">
        <v>0</v>
      </c>
      <c r="AK699" s="1" t="n">
        <v>15</v>
      </c>
      <c r="AL699" s="1" t="s">
        <v>302</v>
      </c>
      <c r="AM699" s="1" t="s">
        <v>303</v>
      </c>
      <c r="AN699" s="1" t="s">
        <v>304</v>
      </c>
      <c r="AO699" s="1" t="s">
        <v>512</v>
      </c>
      <c r="AP699" s="1" t="s">
        <v>513</v>
      </c>
      <c r="AQ699" s="1" t="s">
        <v>12514</v>
      </c>
      <c r="AR699" s="1" t="s">
        <v>515</v>
      </c>
      <c r="AS699" s="1"/>
      <c r="AT699" s="1"/>
      <c r="AU699" s="1" t="n">
        <v>2021</v>
      </c>
      <c r="AV699" s="1" t="n">
        <v>419</v>
      </c>
      <c r="AW699" s="1"/>
      <c r="AX699" s="1"/>
      <c r="AY699" s="1"/>
      <c r="AZ699" s="1"/>
      <c r="BA699" s="1"/>
      <c r="BB699" s="1" t="n">
        <v>3</v>
      </c>
      <c r="BC699" s="1" t="n">
        <v>18</v>
      </c>
      <c r="BD699" s="1"/>
      <c r="BE699" s="1" t="s">
        <v>12515</v>
      </c>
      <c r="BF699" s="1" t="str">
        <f aca="false">HYPERLINK("http://dx.doi.org/10.1007/978-3-030-78098-2_1","http://dx.doi.org/10.1007/978-3-030-78098-2_1")</f>
        <v>http://dx.doi.org/10.1007/978-3-030-78098-2_1</v>
      </c>
      <c r="BG699" s="1"/>
      <c r="BH699" s="1"/>
      <c r="BI699" s="1" t="n">
        <v>16</v>
      </c>
      <c r="BJ699" s="1" t="s">
        <v>994</v>
      </c>
      <c r="BK699" s="1" t="s">
        <v>100</v>
      </c>
      <c r="BL699" s="1" t="s">
        <v>101</v>
      </c>
      <c r="BM699" s="1" t="s">
        <v>12516</v>
      </c>
      <c r="BN699" s="1"/>
      <c r="BO699" s="1" t="s">
        <v>282</v>
      </c>
      <c r="BP699" s="1"/>
      <c r="BQ699" s="1"/>
      <c r="BR699" s="1" t="s">
        <v>103</v>
      </c>
      <c r="BS699" s="1" t="s">
        <v>12517</v>
      </c>
      <c r="BT699" s="1" t="str">
        <f aca="false">HYPERLINK("https%3A%2F%2Fwww.webofscience.com%2Fwos%2Fwoscc%2Ffull-record%2FWOS:000724675400001","View Full Record in Web of Science")</f>
        <v>View Full Record in Web of Science</v>
      </c>
    </row>
    <row r="700" customFormat="false" ht="12.75" hidden="false" customHeight="false" outlineLevel="0" collapsed="false">
      <c r="A700" s="1" t="s">
        <v>181</v>
      </c>
      <c r="B700" s="1" t="s">
        <v>12518</v>
      </c>
      <c r="C700" s="1"/>
      <c r="D700" s="1"/>
      <c r="E700" s="1"/>
      <c r="F700" s="1" t="s">
        <v>12519</v>
      </c>
      <c r="G700" s="1"/>
      <c r="H700" s="1"/>
      <c r="I700" s="1" t="s">
        <v>12520</v>
      </c>
      <c r="J700" s="1" t="s">
        <v>185</v>
      </c>
      <c r="K700" s="1"/>
      <c r="L700" s="1"/>
      <c r="M700" s="1" t="s">
        <v>78</v>
      </c>
      <c r="N700" s="1" t="s">
        <v>186</v>
      </c>
      <c r="O700" s="1"/>
      <c r="P700" s="1"/>
      <c r="Q700" s="1"/>
      <c r="R700" s="1"/>
      <c r="S700" s="1"/>
      <c r="T700" s="1" t="s">
        <v>12521</v>
      </c>
      <c r="U700" s="1"/>
      <c r="V700" s="1" t="s">
        <v>12522</v>
      </c>
      <c r="W700" s="1" t="s">
        <v>12523</v>
      </c>
      <c r="X700" s="1" t="s">
        <v>12524</v>
      </c>
      <c r="Y700" s="1" t="s">
        <v>12525</v>
      </c>
      <c r="Z700" s="1" t="s">
        <v>12526</v>
      </c>
      <c r="AA700" s="1" t="s">
        <v>8731</v>
      </c>
      <c r="AB700" s="1" t="s">
        <v>12527</v>
      </c>
      <c r="AC700" s="1" t="s">
        <v>12528</v>
      </c>
      <c r="AD700" s="1" t="s">
        <v>12529</v>
      </c>
      <c r="AE700" s="1" t="s">
        <v>12530</v>
      </c>
      <c r="AF700" s="1"/>
      <c r="AG700" s="1" t="n">
        <v>25</v>
      </c>
      <c r="AH700" s="1" t="n">
        <v>0</v>
      </c>
      <c r="AI700" s="1" t="n">
        <v>0</v>
      </c>
      <c r="AJ700" s="1" t="n">
        <v>5</v>
      </c>
      <c r="AK700" s="1" t="n">
        <v>5</v>
      </c>
      <c r="AL700" s="1" t="s">
        <v>195</v>
      </c>
      <c r="AM700" s="1" t="s">
        <v>196</v>
      </c>
      <c r="AN700" s="1" t="s">
        <v>197</v>
      </c>
      <c r="AO700" s="1" t="s">
        <v>198</v>
      </c>
      <c r="AP700" s="1" t="s">
        <v>199</v>
      </c>
      <c r="AQ700" s="1"/>
      <c r="AR700" s="1" t="s">
        <v>200</v>
      </c>
      <c r="AS700" s="1" t="s">
        <v>201</v>
      </c>
      <c r="AT700" s="1"/>
      <c r="AU700" s="1" t="n">
        <v>2024</v>
      </c>
      <c r="AV700" s="1" t="n">
        <v>21</v>
      </c>
      <c r="AW700" s="1"/>
      <c r="AX700" s="1"/>
      <c r="AY700" s="1"/>
      <c r="AZ700" s="1"/>
      <c r="BA700" s="1"/>
      <c r="BB700" s="1"/>
      <c r="BC700" s="1"/>
      <c r="BD700" s="1" t="n">
        <v>4014505</v>
      </c>
      <c r="BE700" s="1" t="s">
        <v>12531</v>
      </c>
      <c r="BF700" s="1" t="str">
        <f aca="false">HYPERLINK("http://dx.doi.org/10.1109/LGRS.2024.3431683","http://dx.doi.org/10.1109/LGRS.2024.3431683")</f>
        <v>http://dx.doi.org/10.1109/LGRS.2024.3431683</v>
      </c>
      <c r="BG700" s="1"/>
      <c r="BH700" s="1"/>
      <c r="BI700" s="1" t="n">
        <v>5</v>
      </c>
      <c r="BJ700" s="1" t="s">
        <v>203</v>
      </c>
      <c r="BK700" s="1" t="s">
        <v>204</v>
      </c>
      <c r="BL700" s="1" t="s">
        <v>205</v>
      </c>
      <c r="BM700" s="1" t="s">
        <v>12532</v>
      </c>
      <c r="BN700" s="1"/>
      <c r="BO700" s="1" t="s">
        <v>282</v>
      </c>
      <c r="BP700" s="1"/>
      <c r="BQ700" s="1"/>
      <c r="BR700" s="1" t="s">
        <v>103</v>
      </c>
      <c r="BS700" s="1" t="s">
        <v>12533</v>
      </c>
      <c r="BT700" s="1" t="str">
        <f aca="false">HYPERLINK("https%3A%2F%2Fwww.webofscience.com%2Fwos%2Fwoscc%2Ffull-record%2FWOS:001301004100001","View Full Record in Web of Science")</f>
        <v>View Full Record in Web of Science</v>
      </c>
    </row>
    <row r="701" customFormat="false" ht="12.75" hidden="false" customHeight="false" outlineLevel="0" collapsed="false">
      <c r="A701" s="1" t="s">
        <v>181</v>
      </c>
      <c r="B701" s="1" t="s">
        <v>12534</v>
      </c>
      <c r="C701" s="1"/>
      <c r="D701" s="1"/>
      <c r="E701" s="1"/>
      <c r="F701" s="1" t="s">
        <v>12535</v>
      </c>
      <c r="G701" s="1"/>
      <c r="H701" s="1"/>
      <c r="I701" s="1" t="s">
        <v>12536</v>
      </c>
      <c r="J701" s="1" t="s">
        <v>1733</v>
      </c>
      <c r="K701" s="1"/>
      <c r="L701" s="1"/>
      <c r="M701" s="1" t="s">
        <v>78</v>
      </c>
      <c r="N701" s="1" t="s">
        <v>186</v>
      </c>
      <c r="O701" s="1"/>
      <c r="P701" s="1"/>
      <c r="Q701" s="1"/>
      <c r="R701" s="1"/>
      <c r="S701" s="1"/>
      <c r="T701" s="1"/>
      <c r="U701" s="1" t="s">
        <v>12537</v>
      </c>
      <c r="V701" s="1" t="s">
        <v>12538</v>
      </c>
      <c r="W701" s="1" t="s">
        <v>12539</v>
      </c>
      <c r="X701" s="1" t="s">
        <v>5206</v>
      </c>
      <c r="Y701" s="1" t="s">
        <v>9118</v>
      </c>
      <c r="Z701" s="1" t="s">
        <v>10974</v>
      </c>
      <c r="AA701" s="1"/>
      <c r="AB701" s="1" t="s">
        <v>12540</v>
      </c>
      <c r="AC701" s="1"/>
      <c r="AD701" s="1"/>
      <c r="AE701" s="1"/>
      <c r="AF701" s="1"/>
      <c r="AG701" s="1" t="n">
        <v>38</v>
      </c>
      <c r="AH701" s="1" t="n">
        <v>3</v>
      </c>
      <c r="AI701" s="1" t="n">
        <v>3</v>
      </c>
      <c r="AJ701" s="1" t="n">
        <v>0</v>
      </c>
      <c r="AK701" s="1" t="n">
        <v>3</v>
      </c>
      <c r="AL701" s="1" t="s">
        <v>600</v>
      </c>
      <c r="AM701" s="1" t="s">
        <v>601</v>
      </c>
      <c r="AN701" s="1" t="s">
        <v>1744</v>
      </c>
      <c r="AO701" s="1" t="s">
        <v>1745</v>
      </c>
      <c r="AP701" s="1"/>
      <c r="AQ701" s="1"/>
      <c r="AR701" s="1" t="s">
        <v>1746</v>
      </c>
      <c r="AS701" s="1" t="s">
        <v>1747</v>
      </c>
      <c r="AT701" s="1" t="s">
        <v>421</v>
      </c>
      <c r="AU701" s="1" t="n">
        <v>2023</v>
      </c>
      <c r="AV701" s="1" t="n">
        <v>10</v>
      </c>
      <c r="AW701" s="1" t="n">
        <v>4</v>
      </c>
      <c r="AX701" s="1"/>
      <c r="AY701" s="1"/>
      <c r="AZ701" s="1"/>
      <c r="BA701" s="1"/>
      <c r="BB701" s="1" t="n">
        <v>2158</v>
      </c>
      <c r="BC701" s="1" t="n">
        <v>2164</v>
      </c>
      <c r="BD701" s="1"/>
      <c r="BE701" s="1" t="s">
        <v>12541</v>
      </c>
      <c r="BF701" s="1" t="str">
        <f aca="false">HYPERLINK("http://dx.doi.org/10.1002/nop2.1463","http://dx.doi.org/10.1002/nop2.1463")</f>
        <v>http://dx.doi.org/10.1002/nop2.1463</v>
      </c>
      <c r="BG701" s="1"/>
      <c r="BH701" s="1" t="s">
        <v>279</v>
      </c>
      <c r="BI701" s="1" t="n">
        <v>7</v>
      </c>
      <c r="BJ701" s="1" t="s">
        <v>609</v>
      </c>
      <c r="BK701" s="1" t="s">
        <v>398</v>
      </c>
      <c r="BL701" s="1" t="s">
        <v>609</v>
      </c>
      <c r="BM701" s="1" t="s">
        <v>12542</v>
      </c>
      <c r="BN701" s="1" t="n">
        <v>36334046</v>
      </c>
      <c r="BO701" s="1" t="s">
        <v>401</v>
      </c>
      <c r="BP701" s="1"/>
      <c r="BQ701" s="1"/>
      <c r="BR701" s="1" t="s">
        <v>103</v>
      </c>
      <c r="BS701" s="1" t="s">
        <v>12543</v>
      </c>
      <c r="BT701" s="1" t="str">
        <f aca="false">HYPERLINK("https%3A%2F%2Fwww.webofscience.com%2Fwos%2Fwoscc%2Ffull-record%2FWOS:000879079900001","View Full Record in Web of Science")</f>
        <v>View Full Record in Web of Science</v>
      </c>
    </row>
    <row r="702" customFormat="false" ht="12.75" hidden="false" customHeight="false" outlineLevel="0" collapsed="false">
      <c r="A702" s="1" t="s">
        <v>181</v>
      </c>
      <c r="B702" s="1" t="s">
        <v>12544</v>
      </c>
      <c r="C702" s="1"/>
      <c r="D702" s="1"/>
      <c r="E702" s="1"/>
      <c r="F702" s="1" t="s">
        <v>12545</v>
      </c>
      <c r="G702" s="1"/>
      <c r="H702" s="1"/>
      <c r="I702" s="1" t="s">
        <v>12546</v>
      </c>
      <c r="J702" s="1" t="s">
        <v>12547</v>
      </c>
      <c r="K702" s="1"/>
      <c r="L702" s="1"/>
      <c r="M702" s="1" t="s">
        <v>78</v>
      </c>
      <c r="N702" s="1" t="s">
        <v>186</v>
      </c>
      <c r="O702" s="1"/>
      <c r="P702" s="1"/>
      <c r="Q702" s="1"/>
      <c r="R702" s="1"/>
      <c r="S702" s="1"/>
      <c r="T702" s="1" t="s">
        <v>12548</v>
      </c>
      <c r="U702" s="1" t="s">
        <v>12549</v>
      </c>
      <c r="V702" s="1" t="s">
        <v>12550</v>
      </c>
      <c r="W702" s="1" t="s">
        <v>12551</v>
      </c>
      <c r="X702" s="1" t="s">
        <v>12145</v>
      </c>
      <c r="Y702" s="1" t="s">
        <v>12552</v>
      </c>
      <c r="Z702" s="1" t="s">
        <v>12553</v>
      </c>
      <c r="AA702" s="1"/>
      <c r="AB702" s="1" t="s">
        <v>12554</v>
      </c>
      <c r="AC702" s="1"/>
      <c r="AD702" s="1"/>
      <c r="AE702" s="1"/>
      <c r="AF702" s="1"/>
      <c r="AG702" s="1" t="n">
        <v>45</v>
      </c>
      <c r="AH702" s="1" t="n">
        <v>4</v>
      </c>
      <c r="AI702" s="1" t="n">
        <v>4</v>
      </c>
      <c r="AJ702" s="1" t="n">
        <v>0</v>
      </c>
      <c r="AK702" s="1" t="n">
        <v>2</v>
      </c>
      <c r="AL702" s="1" t="s">
        <v>600</v>
      </c>
      <c r="AM702" s="1" t="s">
        <v>601</v>
      </c>
      <c r="AN702" s="1" t="s">
        <v>602</v>
      </c>
      <c r="AO702" s="1" t="s">
        <v>12555</v>
      </c>
      <c r="AP702" s="1" t="s">
        <v>12556</v>
      </c>
      <c r="AQ702" s="1"/>
      <c r="AR702" s="1" t="s">
        <v>12557</v>
      </c>
      <c r="AS702" s="1" t="s">
        <v>12558</v>
      </c>
      <c r="AT702" s="1" t="s">
        <v>277</v>
      </c>
      <c r="AU702" s="1" t="n">
        <v>2020</v>
      </c>
      <c r="AV702" s="1" t="n">
        <v>18</v>
      </c>
      <c r="AW702" s="1" t="n">
        <v>1</v>
      </c>
      <c r="AX702" s="1"/>
      <c r="AY702" s="1"/>
      <c r="AZ702" s="1"/>
      <c r="BA702" s="1"/>
      <c r="BB702" s="1" t="n">
        <v>20</v>
      </c>
      <c r="BC702" s="1" t="n">
        <v>28</v>
      </c>
      <c r="BD702" s="1"/>
      <c r="BE702" s="1" t="s">
        <v>12559</v>
      </c>
      <c r="BF702" s="1" t="str">
        <f aca="false">HYPERLINK("http://dx.doi.org/10.1002/msc.1434","http://dx.doi.org/10.1002/msc.1434")</f>
        <v>http://dx.doi.org/10.1002/msc.1434</v>
      </c>
      <c r="BG702" s="1"/>
      <c r="BH702" s="1" t="s">
        <v>10981</v>
      </c>
      <c r="BI702" s="1" t="n">
        <v>9</v>
      </c>
      <c r="BJ702" s="1" t="s">
        <v>12560</v>
      </c>
      <c r="BK702" s="1" t="s">
        <v>253</v>
      </c>
      <c r="BL702" s="1" t="s">
        <v>12560</v>
      </c>
      <c r="BM702" s="1" t="s">
        <v>12561</v>
      </c>
      <c r="BN702" s="1" t="n">
        <v>31917514</v>
      </c>
      <c r="BO702" s="1" t="s">
        <v>179</v>
      </c>
      <c r="BP702" s="1"/>
      <c r="BQ702" s="1"/>
      <c r="BR702" s="1" t="s">
        <v>103</v>
      </c>
      <c r="BS702" s="1" t="s">
        <v>12562</v>
      </c>
      <c r="BT702" s="1" t="str">
        <f aca="false">HYPERLINK("https%3A%2F%2Fwww.webofscience.com%2Fwos%2Fwoscc%2Ffull-record%2FWOS:000506259700001","View Full Record in Web of Science")</f>
        <v>View Full Record in Web of Science</v>
      </c>
    </row>
    <row r="703" customFormat="false" ht="12.75" hidden="false" customHeight="false" outlineLevel="0" collapsed="false">
      <c r="A703" s="1" t="s">
        <v>181</v>
      </c>
      <c r="B703" s="1" t="s">
        <v>12563</v>
      </c>
      <c r="C703" s="1"/>
      <c r="D703" s="1"/>
      <c r="E703" s="1"/>
      <c r="F703" s="1" t="s">
        <v>12564</v>
      </c>
      <c r="G703" s="1"/>
      <c r="H703" s="1"/>
      <c r="I703" s="1" t="s">
        <v>12565</v>
      </c>
      <c r="J703" s="1" t="s">
        <v>12566</v>
      </c>
      <c r="K703" s="1"/>
      <c r="L703" s="1"/>
      <c r="M703" s="1" t="s">
        <v>78</v>
      </c>
      <c r="N703" s="1" t="s">
        <v>186</v>
      </c>
      <c r="O703" s="1"/>
      <c r="P703" s="1"/>
      <c r="Q703" s="1"/>
      <c r="R703" s="1"/>
      <c r="S703" s="1"/>
      <c r="T703" s="1" t="s">
        <v>12567</v>
      </c>
      <c r="U703" s="1" t="s">
        <v>12568</v>
      </c>
      <c r="V703" s="1" t="s">
        <v>12569</v>
      </c>
      <c r="W703" s="1" t="s">
        <v>12570</v>
      </c>
      <c r="X703" s="1" t="s">
        <v>12571</v>
      </c>
      <c r="Y703" s="1" t="s">
        <v>12572</v>
      </c>
      <c r="Z703" s="1" t="s">
        <v>12573</v>
      </c>
      <c r="AA703" s="1" t="s">
        <v>12574</v>
      </c>
      <c r="AB703" s="1" t="s">
        <v>12575</v>
      </c>
      <c r="AC703" s="1" t="s">
        <v>12576</v>
      </c>
      <c r="AD703" s="1" t="s">
        <v>12576</v>
      </c>
      <c r="AE703" s="1" t="s">
        <v>12577</v>
      </c>
      <c r="AF703" s="1"/>
      <c r="AG703" s="1" t="n">
        <v>61</v>
      </c>
      <c r="AH703" s="1" t="n">
        <v>0</v>
      </c>
      <c r="AI703" s="1" t="n">
        <v>0</v>
      </c>
      <c r="AJ703" s="1" t="n">
        <v>2</v>
      </c>
      <c r="AK703" s="1" t="n">
        <v>2</v>
      </c>
      <c r="AL703" s="1" t="s">
        <v>600</v>
      </c>
      <c r="AM703" s="1" t="s">
        <v>601</v>
      </c>
      <c r="AN703" s="1" t="s">
        <v>602</v>
      </c>
      <c r="AO703" s="1" t="s">
        <v>12578</v>
      </c>
      <c r="AP703" s="1" t="s">
        <v>12579</v>
      </c>
      <c r="AQ703" s="1"/>
      <c r="AR703" s="1" t="s">
        <v>12580</v>
      </c>
      <c r="AS703" s="1" t="s">
        <v>12581</v>
      </c>
      <c r="AT703" s="1" t="s">
        <v>1391</v>
      </c>
      <c r="AU703" s="1" t="n">
        <v>2024</v>
      </c>
      <c r="AV703" s="1" t="n">
        <v>34</v>
      </c>
      <c r="AW703" s="1" t="n">
        <v>6</v>
      </c>
      <c r="AX703" s="1"/>
      <c r="AY703" s="1"/>
      <c r="AZ703" s="1"/>
      <c r="BA703" s="1"/>
      <c r="BB703" s="1"/>
      <c r="BC703" s="1"/>
      <c r="BD703" s="1" t="s">
        <v>12582</v>
      </c>
      <c r="BE703" s="1" t="s">
        <v>12583</v>
      </c>
      <c r="BF703" s="1" t="str">
        <f aca="false">HYPERLINK("http://dx.doi.org/10.1002/ima.23221","http://dx.doi.org/10.1002/ima.23221")</f>
        <v>http://dx.doi.org/10.1002/ima.23221</v>
      </c>
      <c r="BG703" s="1"/>
      <c r="BH703" s="1"/>
      <c r="BI703" s="1" t="n">
        <v>13</v>
      </c>
      <c r="BJ703" s="1" t="s">
        <v>12584</v>
      </c>
      <c r="BK703" s="1" t="s">
        <v>204</v>
      </c>
      <c r="BL703" s="1" t="s">
        <v>12585</v>
      </c>
      <c r="BM703" s="1" t="s">
        <v>12586</v>
      </c>
      <c r="BN703" s="1"/>
      <c r="BO703" s="1" t="s">
        <v>282</v>
      </c>
      <c r="BP703" s="1"/>
      <c r="BQ703" s="1"/>
      <c r="BR703" s="1" t="s">
        <v>103</v>
      </c>
      <c r="BS703" s="1" t="s">
        <v>12587</v>
      </c>
      <c r="BT703" s="1" t="str">
        <f aca="false">HYPERLINK("https%3A%2F%2Fwww.webofscience.com%2Fwos%2Fwoscc%2Ffull-record%2FWOS:001370225400001","View Full Record in Web of Science")</f>
        <v>View Full Record in Web of Science</v>
      </c>
    </row>
    <row r="704" customFormat="false" ht="12.75" hidden="false" customHeight="false" outlineLevel="0" collapsed="false">
      <c r="A704" s="1" t="s">
        <v>181</v>
      </c>
      <c r="B704" s="1" t="s">
        <v>12588</v>
      </c>
      <c r="C704" s="1"/>
      <c r="D704" s="1"/>
      <c r="E704" s="1"/>
      <c r="F704" s="1" t="s">
        <v>12589</v>
      </c>
      <c r="G704" s="1"/>
      <c r="H704" s="1"/>
      <c r="I704" s="1" t="s">
        <v>12590</v>
      </c>
      <c r="J704" s="1" t="s">
        <v>4875</v>
      </c>
      <c r="K704" s="1"/>
      <c r="L704" s="1"/>
      <c r="M704" s="1" t="s">
        <v>78</v>
      </c>
      <c r="N704" s="1" t="s">
        <v>186</v>
      </c>
      <c r="O704" s="1"/>
      <c r="P704" s="1"/>
      <c r="Q704" s="1"/>
      <c r="R704" s="1"/>
      <c r="S704" s="1"/>
      <c r="T704" s="1" t="s">
        <v>12591</v>
      </c>
      <c r="U704" s="1" t="s">
        <v>8130</v>
      </c>
      <c r="V704" s="1" t="s">
        <v>12592</v>
      </c>
      <c r="W704" s="1" t="s">
        <v>12593</v>
      </c>
      <c r="X704" s="1" t="s">
        <v>12594</v>
      </c>
      <c r="Y704" s="1" t="s">
        <v>12595</v>
      </c>
      <c r="Z704" s="1" t="s">
        <v>12596</v>
      </c>
      <c r="AA704" s="1" t="s">
        <v>12597</v>
      </c>
      <c r="AB704" s="1" t="s">
        <v>12598</v>
      </c>
      <c r="AC704" s="1" t="s">
        <v>12599</v>
      </c>
      <c r="AD704" s="1" t="s">
        <v>12600</v>
      </c>
      <c r="AE704" s="1" t="s">
        <v>12601</v>
      </c>
      <c r="AF704" s="1"/>
      <c r="AG704" s="1" t="n">
        <v>15</v>
      </c>
      <c r="AH704" s="1" t="n">
        <v>4</v>
      </c>
      <c r="AI704" s="1" t="n">
        <v>4</v>
      </c>
      <c r="AJ704" s="1" t="n">
        <v>2</v>
      </c>
      <c r="AK704" s="1" t="n">
        <v>8</v>
      </c>
      <c r="AL704" s="1" t="s">
        <v>172</v>
      </c>
      <c r="AM704" s="1" t="s">
        <v>173</v>
      </c>
      <c r="AN704" s="1" t="s">
        <v>4882</v>
      </c>
      <c r="AO704" s="1" t="s">
        <v>4883</v>
      </c>
      <c r="AP704" s="1" t="s">
        <v>4884</v>
      </c>
      <c r="AQ704" s="1"/>
      <c r="AR704" s="1" t="s">
        <v>4875</v>
      </c>
      <c r="AS704" s="1" t="s">
        <v>4885</v>
      </c>
      <c r="AT704" s="1" t="s">
        <v>474</v>
      </c>
      <c r="AU704" s="1" t="n">
        <v>2023</v>
      </c>
      <c r="AV704" s="1" t="n">
        <v>40</v>
      </c>
      <c r="AW704" s="1" t="n">
        <v>5</v>
      </c>
      <c r="AX704" s="1"/>
      <c r="AY704" s="1"/>
      <c r="AZ704" s="1"/>
      <c r="BA704" s="1"/>
      <c r="BB704" s="1" t="n">
        <v>85</v>
      </c>
      <c r="BC704" s="1" t="n">
        <v>93</v>
      </c>
      <c r="BD704" s="1"/>
      <c r="BE704" s="1" t="s">
        <v>12602</v>
      </c>
      <c r="BF704" s="1" t="str">
        <f aca="false">HYPERLINK("http://dx.doi.org/10.1109/MS.2023.3276929","http://dx.doi.org/10.1109/MS.2023.3276929")</f>
        <v>http://dx.doi.org/10.1109/MS.2023.3276929</v>
      </c>
      <c r="BG704" s="1"/>
      <c r="BH704" s="1"/>
      <c r="BI704" s="1" t="n">
        <v>9</v>
      </c>
      <c r="BJ704" s="1" t="s">
        <v>252</v>
      </c>
      <c r="BK704" s="1" t="s">
        <v>204</v>
      </c>
      <c r="BL704" s="1" t="s">
        <v>101</v>
      </c>
      <c r="BM704" s="1" t="s">
        <v>12603</v>
      </c>
      <c r="BN704" s="1"/>
      <c r="BO704" s="1" t="s">
        <v>2770</v>
      </c>
      <c r="BP704" s="1"/>
      <c r="BQ704" s="1"/>
      <c r="BR704" s="1" t="s">
        <v>103</v>
      </c>
      <c r="BS704" s="1" t="s">
        <v>12604</v>
      </c>
      <c r="BT704" s="1" t="str">
        <f aca="false">HYPERLINK("https%3A%2F%2Fwww.webofscience.com%2Fwos%2Fwoscc%2Ffull-record%2FWOS:001085299800010","View Full Record in Web of Science")</f>
        <v>View Full Record in Web of Science</v>
      </c>
    </row>
    <row r="705" customFormat="false" ht="12.75" hidden="false" customHeight="false" outlineLevel="0" collapsed="false">
      <c r="A705" s="1" t="s">
        <v>181</v>
      </c>
      <c r="B705" s="1" t="s">
        <v>12605</v>
      </c>
      <c r="C705" s="1"/>
      <c r="D705" s="1"/>
      <c r="E705" s="1"/>
      <c r="F705" s="1" t="s">
        <v>12606</v>
      </c>
      <c r="G705" s="1"/>
      <c r="H705" s="1"/>
      <c r="I705" s="1" t="s">
        <v>12607</v>
      </c>
      <c r="J705" s="1" t="s">
        <v>12608</v>
      </c>
      <c r="K705" s="1"/>
      <c r="L705" s="1"/>
      <c r="M705" s="1" t="s">
        <v>78</v>
      </c>
      <c r="N705" s="1" t="s">
        <v>186</v>
      </c>
      <c r="O705" s="1"/>
      <c r="P705" s="1"/>
      <c r="Q705" s="1"/>
      <c r="R705" s="1"/>
      <c r="S705" s="1"/>
      <c r="T705" s="1" t="s">
        <v>12609</v>
      </c>
      <c r="U705" s="1" t="s">
        <v>12610</v>
      </c>
      <c r="V705" s="1" t="s">
        <v>12611</v>
      </c>
      <c r="W705" s="1" t="s">
        <v>12612</v>
      </c>
      <c r="X705" s="1" t="s">
        <v>12613</v>
      </c>
      <c r="Y705" s="1" t="s">
        <v>12614</v>
      </c>
      <c r="Z705" s="1" t="s">
        <v>12615</v>
      </c>
      <c r="AA705" s="1" t="s">
        <v>12616</v>
      </c>
      <c r="AB705" s="1" t="s">
        <v>12617</v>
      </c>
      <c r="AC705" s="1" t="s">
        <v>10714</v>
      </c>
      <c r="AD705" s="1" t="s">
        <v>10714</v>
      </c>
      <c r="AE705" s="1" t="s">
        <v>12618</v>
      </c>
      <c r="AF705" s="1"/>
      <c r="AG705" s="1" t="n">
        <v>73</v>
      </c>
      <c r="AH705" s="1" t="n">
        <v>21</v>
      </c>
      <c r="AI705" s="1" t="n">
        <v>22</v>
      </c>
      <c r="AJ705" s="1" t="n">
        <v>3</v>
      </c>
      <c r="AK705" s="1" t="n">
        <v>33</v>
      </c>
      <c r="AL705" s="1" t="s">
        <v>270</v>
      </c>
      <c r="AM705" s="1" t="s">
        <v>271</v>
      </c>
      <c r="AN705" s="1" t="s">
        <v>272</v>
      </c>
      <c r="AO705" s="1" t="s">
        <v>12619</v>
      </c>
      <c r="AP705" s="1" t="s">
        <v>12620</v>
      </c>
      <c r="AQ705" s="1"/>
      <c r="AR705" s="1" t="s">
        <v>12621</v>
      </c>
      <c r="AS705" s="1" t="s">
        <v>12622</v>
      </c>
      <c r="AT705" s="1" t="s">
        <v>474</v>
      </c>
      <c r="AU705" s="1" t="n">
        <v>2021</v>
      </c>
      <c r="AV705" s="1" t="n">
        <v>19</v>
      </c>
      <c r="AW705" s="1" t="n">
        <v>3</v>
      </c>
      <c r="AX705" s="1"/>
      <c r="AY705" s="1"/>
      <c r="AZ705" s="1" t="s">
        <v>1698</v>
      </c>
      <c r="BA705" s="1"/>
      <c r="BB705" s="1" t="n">
        <v>863</v>
      </c>
      <c r="BC705" s="1" t="n">
        <v>882</v>
      </c>
      <c r="BD705" s="1"/>
      <c r="BE705" s="1" t="s">
        <v>12623</v>
      </c>
      <c r="BF705" s="1" t="str">
        <f aca="false">HYPERLINK("http://dx.doi.org/10.1007/s10257-020-00465-5","http://dx.doi.org/10.1007/s10257-020-00465-5")</f>
        <v>http://dx.doi.org/10.1007/s10257-020-00465-5</v>
      </c>
      <c r="BG705" s="1"/>
      <c r="BH705" s="1" t="s">
        <v>6317</v>
      </c>
      <c r="BI705" s="1" t="n">
        <v>20</v>
      </c>
      <c r="BJ705" s="1" t="s">
        <v>11556</v>
      </c>
      <c r="BK705" s="1" t="s">
        <v>610</v>
      </c>
      <c r="BL705" s="1" t="s">
        <v>715</v>
      </c>
      <c r="BM705" s="1" t="s">
        <v>12624</v>
      </c>
      <c r="BN705" s="1"/>
      <c r="BO705" s="1" t="s">
        <v>282</v>
      </c>
      <c r="BP705" s="1"/>
      <c r="BQ705" s="1"/>
      <c r="BR705" s="1" t="s">
        <v>103</v>
      </c>
      <c r="BS705" s="1" t="s">
        <v>12625</v>
      </c>
      <c r="BT705" s="1" t="str">
        <f aca="false">HYPERLINK("https%3A%2F%2Fwww.webofscience.com%2Fwos%2Fwoscc%2Ffull-record%2FWOS:000516000200001","View Full Record in Web of Science")</f>
        <v>View Full Record in Web of Science</v>
      </c>
    </row>
    <row r="706" customFormat="false" ht="12.75" hidden="false" customHeight="false" outlineLevel="0" collapsed="false">
      <c r="A706" s="1" t="s">
        <v>72</v>
      </c>
      <c r="B706" s="1" t="s">
        <v>12626</v>
      </c>
      <c r="C706" s="1"/>
      <c r="D706" s="1" t="s">
        <v>12627</v>
      </c>
      <c r="E706" s="1"/>
      <c r="F706" s="1" t="s">
        <v>12628</v>
      </c>
      <c r="G706" s="1"/>
      <c r="H706" s="1"/>
      <c r="I706" s="1" t="s">
        <v>12629</v>
      </c>
      <c r="J706" s="1" t="s">
        <v>12630</v>
      </c>
      <c r="K706" s="1"/>
      <c r="L706" s="1"/>
      <c r="M706" s="1" t="s">
        <v>78</v>
      </c>
      <c r="N706" s="1" t="s">
        <v>79</v>
      </c>
      <c r="O706" s="1" t="s">
        <v>12631</v>
      </c>
      <c r="P706" s="1" t="s">
        <v>12632</v>
      </c>
      <c r="Q706" s="1" t="s">
        <v>320</v>
      </c>
      <c r="R706" s="1" t="s">
        <v>1086</v>
      </c>
      <c r="S706" s="1"/>
      <c r="T706" s="1" t="s">
        <v>12633</v>
      </c>
      <c r="U706" s="1"/>
      <c r="V706" s="1" t="s">
        <v>12634</v>
      </c>
      <c r="W706" s="1" t="s">
        <v>12635</v>
      </c>
      <c r="X706" s="1" t="s">
        <v>9974</v>
      </c>
      <c r="Y706" s="1" t="s">
        <v>5337</v>
      </c>
      <c r="Z706" s="1" t="s">
        <v>12636</v>
      </c>
      <c r="AA706" s="1" t="s">
        <v>12637</v>
      </c>
      <c r="AB706" s="1"/>
      <c r="AC706" s="1" t="s">
        <v>1186</v>
      </c>
      <c r="AD706" s="1" t="s">
        <v>1186</v>
      </c>
      <c r="AE706" s="1" t="s">
        <v>1187</v>
      </c>
      <c r="AF706" s="1"/>
      <c r="AG706" s="1" t="n">
        <v>28</v>
      </c>
      <c r="AH706" s="1" t="n">
        <v>8</v>
      </c>
      <c r="AI706" s="1" t="n">
        <v>8</v>
      </c>
      <c r="AJ706" s="1" t="n">
        <v>0</v>
      </c>
      <c r="AK706" s="1" t="n">
        <v>0</v>
      </c>
      <c r="AL706" s="1" t="s">
        <v>106</v>
      </c>
      <c r="AM706" s="1" t="s">
        <v>95</v>
      </c>
      <c r="AN706" s="1" t="s">
        <v>122</v>
      </c>
      <c r="AO706" s="1"/>
      <c r="AP706" s="1"/>
      <c r="AQ706" s="1" t="s">
        <v>12638</v>
      </c>
      <c r="AR706" s="1"/>
      <c r="AS706" s="1"/>
      <c r="AT706" s="1"/>
      <c r="AU706" s="1" t="n">
        <v>2022</v>
      </c>
      <c r="AV706" s="1"/>
      <c r="AW706" s="1"/>
      <c r="AX706" s="1"/>
      <c r="AY706" s="1"/>
      <c r="AZ706" s="1"/>
      <c r="BA706" s="1"/>
      <c r="BB706" s="1" t="n">
        <v>274</v>
      </c>
      <c r="BC706" s="1" t="n">
        <v>280</v>
      </c>
      <c r="BD706" s="1"/>
      <c r="BE706" s="1" t="s">
        <v>12639</v>
      </c>
      <c r="BF706" s="1" t="str">
        <f aca="false">HYPERLINK("http://dx.doi.org/10.1109/RE54965.2022.00041","http://dx.doi.org/10.1109/RE54965.2022.00041")</f>
        <v>http://dx.doi.org/10.1109/RE54965.2022.00041</v>
      </c>
      <c r="BG706" s="1"/>
      <c r="BH706" s="1"/>
      <c r="BI706" s="1" t="n">
        <v>7</v>
      </c>
      <c r="BJ706" s="1" t="s">
        <v>12640</v>
      </c>
      <c r="BK706" s="1" t="s">
        <v>100</v>
      </c>
      <c r="BL706" s="1" t="s">
        <v>1255</v>
      </c>
      <c r="BM706" s="1" t="s">
        <v>12641</v>
      </c>
      <c r="BN706" s="1"/>
      <c r="BO706" s="1" t="s">
        <v>227</v>
      </c>
      <c r="BP706" s="1"/>
      <c r="BQ706" s="1"/>
      <c r="BR706" s="1" t="s">
        <v>103</v>
      </c>
      <c r="BS706" s="1" t="s">
        <v>12642</v>
      </c>
      <c r="BT706" s="1" t="str">
        <f aca="false">HYPERLINK("https%3A%2F%2Fwww.webofscience.com%2Fwos%2Fwoscc%2Ffull-record%2FWOS:000931050900034","View Full Record in Web of Science")</f>
        <v>View Full Record in Web of Science</v>
      </c>
    </row>
    <row r="707" customFormat="false" ht="12.75" hidden="false" customHeight="false" outlineLevel="0" collapsed="false">
      <c r="A707" s="1" t="s">
        <v>181</v>
      </c>
      <c r="B707" s="1" t="s">
        <v>12643</v>
      </c>
      <c r="C707" s="1"/>
      <c r="D707" s="1"/>
      <c r="E707" s="1"/>
      <c r="F707" s="1" t="s">
        <v>12644</v>
      </c>
      <c r="G707" s="1"/>
      <c r="H707" s="1"/>
      <c r="I707" s="1" t="s">
        <v>12645</v>
      </c>
      <c r="J707" s="1" t="s">
        <v>12646</v>
      </c>
      <c r="K707" s="1"/>
      <c r="L707" s="1"/>
      <c r="M707" s="1" t="s">
        <v>78</v>
      </c>
      <c r="N707" s="1" t="s">
        <v>186</v>
      </c>
      <c r="O707" s="1"/>
      <c r="P707" s="1"/>
      <c r="Q707" s="1"/>
      <c r="R707" s="1"/>
      <c r="S707" s="1"/>
      <c r="T707" s="1" t="s">
        <v>12647</v>
      </c>
      <c r="U707" s="1" t="s">
        <v>12648</v>
      </c>
      <c r="V707" s="1" t="s">
        <v>12649</v>
      </c>
      <c r="W707" s="1" t="s">
        <v>12650</v>
      </c>
      <c r="X707" s="1" t="s">
        <v>12651</v>
      </c>
      <c r="Y707" s="1" t="s">
        <v>12652</v>
      </c>
      <c r="Z707" s="1" t="s">
        <v>12653</v>
      </c>
      <c r="AA707" s="1" t="s">
        <v>12654</v>
      </c>
      <c r="AB707" s="1" t="s">
        <v>5747</v>
      </c>
      <c r="AC707" s="1" t="s">
        <v>12655</v>
      </c>
      <c r="AD707" s="1" t="s">
        <v>12655</v>
      </c>
      <c r="AE707" s="1" t="s">
        <v>12656</v>
      </c>
      <c r="AF707" s="1"/>
      <c r="AG707" s="1" t="n">
        <v>127</v>
      </c>
      <c r="AH707" s="1" t="n">
        <v>0</v>
      </c>
      <c r="AI707" s="1" t="n">
        <v>0</v>
      </c>
      <c r="AJ707" s="1" t="n">
        <v>6</v>
      </c>
      <c r="AK707" s="1" t="n">
        <v>6</v>
      </c>
      <c r="AL707" s="1" t="s">
        <v>679</v>
      </c>
      <c r="AM707" s="1" t="s">
        <v>95</v>
      </c>
      <c r="AN707" s="1" t="s">
        <v>803</v>
      </c>
      <c r="AO707" s="1" t="s">
        <v>12657</v>
      </c>
      <c r="AP707" s="1" t="s">
        <v>12658</v>
      </c>
      <c r="AQ707" s="1"/>
      <c r="AR707" s="1" t="s">
        <v>12659</v>
      </c>
      <c r="AS707" s="1" t="s">
        <v>12660</v>
      </c>
      <c r="AT707" s="1" t="s">
        <v>372</v>
      </c>
      <c r="AU707" s="1" t="n">
        <v>2024</v>
      </c>
      <c r="AV707" s="1" t="n">
        <v>73</v>
      </c>
      <c r="AW707" s="1" t="n">
        <v>4</v>
      </c>
      <c r="AX707" s="1"/>
      <c r="AY707" s="1"/>
      <c r="AZ707" s="1"/>
      <c r="BA707" s="1"/>
      <c r="BB707" s="1" t="n">
        <v>1365</v>
      </c>
      <c r="BC707" s="1" t="n">
        <v>1393</v>
      </c>
      <c r="BD707" s="1"/>
      <c r="BE707" s="1" t="s">
        <v>12661</v>
      </c>
      <c r="BF707" s="1" t="str">
        <f aca="false">HYPERLINK("http://dx.doi.org/10.1007/s00168-024-01297-8","http://dx.doi.org/10.1007/s00168-024-01297-8")</f>
        <v>http://dx.doi.org/10.1007/s00168-024-01297-8</v>
      </c>
      <c r="BG707" s="1"/>
      <c r="BH707" s="1" t="s">
        <v>6127</v>
      </c>
      <c r="BI707" s="1" t="n">
        <v>29</v>
      </c>
      <c r="BJ707" s="1" t="s">
        <v>5757</v>
      </c>
      <c r="BK707" s="1" t="s">
        <v>610</v>
      </c>
      <c r="BL707" s="1" t="s">
        <v>5758</v>
      </c>
      <c r="BM707" s="1" t="s">
        <v>12662</v>
      </c>
      <c r="BN707" s="1"/>
      <c r="BO707" s="1" t="s">
        <v>282</v>
      </c>
      <c r="BP707" s="1"/>
      <c r="BQ707" s="1"/>
      <c r="BR707" s="1" t="s">
        <v>103</v>
      </c>
      <c r="BS707" s="1" t="s">
        <v>12663</v>
      </c>
      <c r="BT707" s="1" t="str">
        <f aca="false">HYPERLINK("https%3A%2F%2Fwww.webofscience.com%2Fwos%2Fwoscc%2Ffull-record%2FWOS:001295682000002","View Full Record in Web of Science")</f>
        <v>View Full Record in Web of Science</v>
      </c>
    </row>
    <row r="708" customFormat="false" ht="12.75" hidden="false" customHeight="false" outlineLevel="0" collapsed="false">
      <c r="A708" s="1" t="s">
        <v>181</v>
      </c>
      <c r="B708" s="1" t="s">
        <v>12664</v>
      </c>
      <c r="C708" s="1"/>
      <c r="D708" s="1"/>
      <c r="E708" s="1"/>
      <c r="F708" s="1" t="s">
        <v>12665</v>
      </c>
      <c r="G708" s="1"/>
      <c r="H708" s="1"/>
      <c r="I708" s="1" t="s">
        <v>12666</v>
      </c>
      <c r="J708" s="1" t="s">
        <v>10928</v>
      </c>
      <c r="K708" s="1"/>
      <c r="L708" s="1"/>
      <c r="M708" s="1" t="s">
        <v>78</v>
      </c>
      <c r="N708" s="1" t="s">
        <v>186</v>
      </c>
      <c r="O708" s="1"/>
      <c r="P708" s="1"/>
      <c r="Q708" s="1"/>
      <c r="R708" s="1"/>
      <c r="S708" s="1"/>
      <c r="T708" s="1" t="s">
        <v>12667</v>
      </c>
      <c r="U708" s="1" t="s">
        <v>12668</v>
      </c>
      <c r="V708" s="1" t="s">
        <v>12669</v>
      </c>
      <c r="W708" s="1" t="s">
        <v>12670</v>
      </c>
      <c r="X708" s="1" t="s">
        <v>12473</v>
      </c>
      <c r="Y708" s="1" t="s">
        <v>6548</v>
      </c>
      <c r="Z708" s="1" t="s">
        <v>4899</v>
      </c>
      <c r="AA708" s="1" t="s">
        <v>12671</v>
      </c>
      <c r="AB708" s="1" t="s">
        <v>5231</v>
      </c>
      <c r="AC708" s="1" t="s">
        <v>12672</v>
      </c>
      <c r="AD708" s="1" t="s">
        <v>12672</v>
      </c>
      <c r="AE708" s="1" t="s">
        <v>12673</v>
      </c>
      <c r="AF708" s="1"/>
      <c r="AG708" s="1" t="n">
        <v>31</v>
      </c>
      <c r="AH708" s="1" t="n">
        <v>2</v>
      </c>
      <c r="AI708" s="1" t="n">
        <v>2</v>
      </c>
      <c r="AJ708" s="1" t="n">
        <v>1</v>
      </c>
      <c r="AK708" s="1" t="n">
        <v>1</v>
      </c>
      <c r="AL708" s="1" t="s">
        <v>270</v>
      </c>
      <c r="AM708" s="1" t="s">
        <v>271</v>
      </c>
      <c r="AN708" s="1" t="s">
        <v>272</v>
      </c>
      <c r="AO708" s="1" t="s">
        <v>10939</v>
      </c>
      <c r="AP708" s="1" t="s">
        <v>10940</v>
      </c>
      <c r="AQ708" s="1"/>
      <c r="AR708" s="1" t="s">
        <v>10941</v>
      </c>
      <c r="AS708" s="1" t="s">
        <v>10942</v>
      </c>
      <c r="AT708" s="1" t="s">
        <v>12674</v>
      </c>
      <c r="AU708" s="1" t="n">
        <v>2023</v>
      </c>
      <c r="AV708" s="1" t="n">
        <v>28</v>
      </c>
      <c r="AW708" s="1" t="n">
        <v>1</v>
      </c>
      <c r="AX708" s="1"/>
      <c r="AY708" s="1"/>
      <c r="AZ708" s="1"/>
      <c r="BA708" s="1"/>
      <c r="BB708" s="1"/>
      <c r="BC708" s="1"/>
      <c r="BD708" s="1" t="n">
        <v>8</v>
      </c>
      <c r="BE708" s="1" t="s">
        <v>12675</v>
      </c>
      <c r="BF708" s="1" t="str">
        <f aca="false">HYPERLINK("http://dx.doi.org/10.1007/s00784-023-05407-2","http://dx.doi.org/10.1007/s00784-023-05407-2")</f>
        <v>http://dx.doi.org/10.1007/s00784-023-05407-2</v>
      </c>
      <c r="BG708" s="1"/>
      <c r="BH708" s="1"/>
      <c r="BI708" s="1" t="n">
        <v>7</v>
      </c>
      <c r="BJ708" s="1" t="s">
        <v>4910</v>
      </c>
      <c r="BK708" s="1" t="s">
        <v>204</v>
      </c>
      <c r="BL708" s="1" t="s">
        <v>4910</v>
      </c>
      <c r="BM708" s="1" t="s">
        <v>12676</v>
      </c>
      <c r="BN708" s="1" t="n">
        <v>38123762</v>
      </c>
      <c r="BO708" s="1" t="s">
        <v>612</v>
      </c>
      <c r="BP708" s="1"/>
      <c r="BQ708" s="1"/>
      <c r="BR708" s="1" t="s">
        <v>103</v>
      </c>
      <c r="BS708" s="1" t="s">
        <v>12677</v>
      </c>
      <c r="BT708" s="1" t="str">
        <f aca="false">HYPERLINK("https%3A%2F%2Fwww.webofscience.com%2Fwos%2Fwoscc%2Ffull-record%2FWOS:001132641500001","View Full Record in Web of Science")</f>
        <v>View Full Record in Web of Science</v>
      </c>
    </row>
    <row r="709" customFormat="false" ht="12.75" hidden="false" customHeight="false" outlineLevel="0" collapsed="false">
      <c r="A709" s="1" t="s">
        <v>181</v>
      </c>
      <c r="B709" s="1" t="s">
        <v>12241</v>
      </c>
      <c r="C709" s="1"/>
      <c r="D709" s="1"/>
      <c r="E709" s="1"/>
      <c r="F709" s="1" t="s">
        <v>12242</v>
      </c>
      <c r="G709" s="1"/>
      <c r="H709" s="1"/>
      <c r="I709" s="1" t="s">
        <v>12678</v>
      </c>
      <c r="J709" s="1" t="s">
        <v>3700</v>
      </c>
      <c r="K709" s="1"/>
      <c r="L709" s="1"/>
      <c r="M709" s="1" t="s">
        <v>78</v>
      </c>
      <c r="N709" s="1" t="s">
        <v>186</v>
      </c>
      <c r="O709" s="1"/>
      <c r="P709" s="1"/>
      <c r="Q709" s="1"/>
      <c r="R709" s="1"/>
      <c r="S709" s="1"/>
      <c r="T709" s="1" t="s">
        <v>12679</v>
      </c>
      <c r="U709" s="1"/>
      <c r="V709" s="1" t="s">
        <v>12680</v>
      </c>
      <c r="W709" s="1" t="s">
        <v>12681</v>
      </c>
      <c r="X709" s="1" t="s">
        <v>10847</v>
      </c>
      <c r="Y709" s="1" t="s">
        <v>10848</v>
      </c>
      <c r="Z709" s="1" t="s">
        <v>12248</v>
      </c>
      <c r="AA709" s="1" t="s">
        <v>6797</v>
      </c>
      <c r="AB709" s="1" t="s">
        <v>12249</v>
      </c>
      <c r="AC709" s="1"/>
      <c r="AD709" s="1"/>
      <c r="AE709" s="1"/>
      <c r="AF709" s="1"/>
      <c r="AG709" s="1" t="n">
        <v>72</v>
      </c>
      <c r="AH709" s="1" t="n">
        <v>18</v>
      </c>
      <c r="AI709" s="1" t="n">
        <v>19</v>
      </c>
      <c r="AJ709" s="1" t="n">
        <v>1</v>
      </c>
      <c r="AK709" s="1" t="n">
        <v>5</v>
      </c>
      <c r="AL709" s="1" t="s">
        <v>3711</v>
      </c>
      <c r="AM709" s="1" t="s">
        <v>95</v>
      </c>
      <c r="AN709" s="1" t="s">
        <v>3712</v>
      </c>
      <c r="AO709" s="1" t="s">
        <v>3713</v>
      </c>
      <c r="AP709" s="1" t="s">
        <v>3714</v>
      </c>
      <c r="AQ709" s="1"/>
      <c r="AR709" s="1" t="s">
        <v>3715</v>
      </c>
      <c r="AS709" s="1" t="s">
        <v>3716</v>
      </c>
      <c r="AT709" s="1" t="s">
        <v>537</v>
      </c>
      <c r="AU709" s="1" t="n">
        <v>2022</v>
      </c>
      <c r="AV709" s="1" t="n">
        <v>184</v>
      </c>
      <c r="AW709" s="1"/>
      <c r="AX709" s="1"/>
      <c r="AY709" s="1"/>
      <c r="AZ709" s="1"/>
      <c r="BA709" s="1"/>
      <c r="BB709" s="1"/>
      <c r="BC709" s="1"/>
      <c r="BD709" s="1" t="n">
        <v>111136</v>
      </c>
      <c r="BE709" s="1" t="s">
        <v>12682</v>
      </c>
      <c r="BF709" s="1" t="str">
        <f aca="false">HYPERLINK("http://dx.doi.org/10.1016/j.jss.2021.111136","http://dx.doi.org/10.1016/j.jss.2021.111136")</f>
        <v>http://dx.doi.org/10.1016/j.jss.2021.111136</v>
      </c>
      <c r="BG709" s="1"/>
      <c r="BH709" s="1" t="s">
        <v>1624</v>
      </c>
      <c r="BI709" s="1" t="n">
        <v>50</v>
      </c>
      <c r="BJ709" s="1" t="s">
        <v>994</v>
      </c>
      <c r="BK709" s="1" t="s">
        <v>204</v>
      </c>
      <c r="BL709" s="1" t="s">
        <v>101</v>
      </c>
      <c r="BM709" s="1" t="s">
        <v>12683</v>
      </c>
      <c r="BN709" s="1" t="n">
        <v>34751198</v>
      </c>
      <c r="BO709" s="1" t="s">
        <v>12684</v>
      </c>
      <c r="BP709" s="1"/>
      <c r="BQ709" s="1"/>
      <c r="BR709" s="1" t="s">
        <v>103</v>
      </c>
      <c r="BS709" s="1" t="s">
        <v>12685</v>
      </c>
      <c r="BT709" s="1" t="str">
        <f aca="false">HYPERLINK("https%3A%2F%2Fwww.webofscience.com%2Fwos%2Fwoscc%2Ffull-record%2FWOS:000722219800001","View Full Record in Web of Science")</f>
        <v>View Full Record in Web of Science</v>
      </c>
    </row>
    <row r="710" customFormat="false" ht="12.75" hidden="false" customHeight="false" outlineLevel="0" collapsed="false">
      <c r="A710" s="1" t="s">
        <v>72</v>
      </c>
      <c r="B710" s="1" t="s">
        <v>12686</v>
      </c>
      <c r="C710" s="1"/>
      <c r="D710" s="1"/>
      <c r="E710" s="1" t="s">
        <v>106</v>
      </c>
      <c r="F710" s="1" t="s">
        <v>12687</v>
      </c>
      <c r="G710" s="1"/>
      <c r="H710" s="1"/>
      <c r="I710" s="1" t="s">
        <v>12688</v>
      </c>
      <c r="J710" s="1" t="s">
        <v>12689</v>
      </c>
      <c r="K710" s="1"/>
      <c r="L710" s="1"/>
      <c r="M710" s="1" t="s">
        <v>78</v>
      </c>
      <c r="N710" s="1" t="s">
        <v>79</v>
      </c>
      <c r="O710" s="1" t="s">
        <v>12690</v>
      </c>
      <c r="P710" s="1" t="s">
        <v>12691</v>
      </c>
      <c r="Q710" s="1" t="s">
        <v>320</v>
      </c>
      <c r="R710" s="1" t="s">
        <v>12692</v>
      </c>
      <c r="S710" s="1"/>
      <c r="T710" s="1" t="s">
        <v>12693</v>
      </c>
      <c r="U710" s="1"/>
      <c r="V710" s="1" t="s">
        <v>12694</v>
      </c>
      <c r="W710" s="1" t="s">
        <v>12695</v>
      </c>
      <c r="X710" s="1" t="s">
        <v>12696</v>
      </c>
      <c r="Y710" s="1" t="s">
        <v>9823</v>
      </c>
      <c r="Z710" s="1" t="s">
        <v>12697</v>
      </c>
      <c r="AA710" s="1" t="s">
        <v>12698</v>
      </c>
      <c r="AB710" s="1" t="s">
        <v>12699</v>
      </c>
      <c r="AC710" s="1"/>
      <c r="AD710" s="1"/>
      <c r="AE710" s="1"/>
      <c r="AF710" s="1"/>
      <c r="AG710" s="1" t="n">
        <v>29</v>
      </c>
      <c r="AH710" s="1" t="n">
        <v>0</v>
      </c>
      <c r="AI710" s="1" t="n">
        <v>0</v>
      </c>
      <c r="AJ710" s="1" t="n">
        <v>8</v>
      </c>
      <c r="AK710" s="1" t="n">
        <v>30</v>
      </c>
      <c r="AL710" s="1" t="s">
        <v>106</v>
      </c>
      <c r="AM710" s="1" t="s">
        <v>95</v>
      </c>
      <c r="AN710" s="1" t="s">
        <v>122</v>
      </c>
      <c r="AO710" s="1"/>
      <c r="AP710" s="1"/>
      <c r="AQ710" s="1" t="s">
        <v>12700</v>
      </c>
      <c r="AR710" s="1"/>
      <c r="AS710" s="1"/>
      <c r="AT710" s="1"/>
      <c r="AU710" s="1" t="n">
        <v>2021</v>
      </c>
      <c r="AV710" s="1"/>
      <c r="AW710" s="1"/>
      <c r="AX710" s="1"/>
      <c r="AY710" s="1"/>
      <c r="AZ710" s="1"/>
      <c r="BA710" s="1"/>
      <c r="BB710" s="1"/>
      <c r="BC710" s="1"/>
      <c r="BD710" s="1"/>
      <c r="BE710" s="1" t="s">
        <v>12701</v>
      </c>
      <c r="BF710" s="1" t="str">
        <f aca="false">HYPERLINK("http://dx.doi.org/10.1109/SSCI50451.2021.9659885","http://dx.doi.org/10.1109/SSCI50451.2021.9659885")</f>
        <v>http://dx.doi.org/10.1109/SSCI50451.2021.9659885</v>
      </c>
      <c r="BG710" s="1"/>
      <c r="BH710" s="1"/>
      <c r="BI710" s="1" t="n">
        <v>8</v>
      </c>
      <c r="BJ710" s="1" t="s">
        <v>12702</v>
      </c>
      <c r="BK710" s="1" t="s">
        <v>100</v>
      </c>
      <c r="BL710" s="1" t="s">
        <v>12703</v>
      </c>
      <c r="BM710" s="1" t="s">
        <v>12704</v>
      </c>
      <c r="BN710" s="1"/>
      <c r="BO710" s="1" t="s">
        <v>227</v>
      </c>
      <c r="BP710" s="1"/>
      <c r="BQ710" s="1"/>
      <c r="BR710" s="1" t="s">
        <v>103</v>
      </c>
      <c r="BS710" s="1" t="s">
        <v>12705</v>
      </c>
      <c r="BT710" s="1" t="str">
        <f aca="false">HYPERLINK("https%3A%2F%2Fwww.webofscience.com%2Fwos%2Fwoscc%2Ffull-record%2FWOS:000824464300066","View Full Record in Web of Science")</f>
        <v>View Full Record in Web of Science</v>
      </c>
    </row>
    <row r="711" customFormat="false" ht="12.75" hidden="false" customHeight="false" outlineLevel="0" collapsed="false">
      <c r="A711" s="1" t="s">
        <v>181</v>
      </c>
      <c r="B711" s="1" t="s">
        <v>12706</v>
      </c>
      <c r="C711" s="1"/>
      <c r="D711" s="1"/>
      <c r="E711" s="1"/>
      <c r="F711" s="1" t="s">
        <v>12707</v>
      </c>
      <c r="G711" s="1"/>
      <c r="H711" s="1"/>
      <c r="I711" s="1" t="s">
        <v>12708</v>
      </c>
      <c r="J711" s="1" t="s">
        <v>12709</v>
      </c>
      <c r="K711" s="1"/>
      <c r="L711" s="1"/>
      <c r="M711" s="1" t="s">
        <v>78</v>
      </c>
      <c r="N711" s="1" t="s">
        <v>186</v>
      </c>
      <c r="O711" s="1"/>
      <c r="P711" s="1"/>
      <c r="Q711" s="1"/>
      <c r="R711" s="1"/>
      <c r="S711" s="1"/>
      <c r="T711" s="1" t="s">
        <v>12710</v>
      </c>
      <c r="U711" s="1"/>
      <c r="V711" s="1" t="s">
        <v>12711</v>
      </c>
      <c r="W711" s="1" t="s">
        <v>12712</v>
      </c>
      <c r="X711" s="1" t="s">
        <v>12713</v>
      </c>
      <c r="Y711" s="1" t="s">
        <v>7234</v>
      </c>
      <c r="Z711" s="1" t="s">
        <v>12714</v>
      </c>
      <c r="AA711" s="1"/>
      <c r="AB711" s="1" t="s">
        <v>12715</v>
      </c>
      <c r="AC711" s="1" t="s">
        <v>12716</v>
      </c>
      <c r="AD711" s="1" t="s">
        <v>12716</v>
      </c>
      <c r="AE711" s="1" t="s">
        <v>916</v>
      </c>
      <c r="AF711" s="1"/>
      <c r="AG711" s="1" t="n">
        <v>34</v>
      </c>
      <c r="AH711" s="1" t="n">
        <v>2</v>
      </c>
      <c r="AI711" s="1" t="n">
        <v>2</v>
      </c>
      <c r="AJ711" s="1" t="n">
        <v>1</v>
      </c>
      <c r="AK711" s="1" t="n">
        <v>2</v>
      </c>
      <c r="AL711" s="1" t="s">
        <v>367</v>
      </c>
      <c r="AM711" s="1" t="s">
        <v>368</v>
      </c>
      <c r="AN711" s="1" t="s">
        <v>369</v>
      </c>
      <c r="AO711" s="1"/>
      <c r="AP711" s="1" t="s">
        <v>12717</v>
      </c>
      <c r="AQ711" s="1"/>
      <c r="AR711" s="1" t="s">
        <v>12718</v>
      </c>
      <c r="AS711" s="1" t="s">
        <v>12719</v>
      </c>
      <c r="AT711" s="1" t="s">
        <v>372</v>
      </c>
      <c r="AU711" s="1" t="n">
        <v>2023</v>
      </c>
      <c r="AV711" s="1" t="n">
        <v>15</v>
      </c>
      <c r="AW711" s="1" t="n">
        <v>23</v>
      </c>
      <c r="AX711" s="1"/>
      <c r="AY711" s="1"/>
      <c r="AZ711" s="1"/>
      <c r="BA711" s="1"/>
      <c r="BB711" s="1"/>
      <c r="BC711" s="1"/>
      <c r="BD711" s="1" t="n">
        <v>4520</v>
      </c>
      <c r="BE711" s="1" t="s">
        <v>12720</v>
      </c>
      <c r="BF711" s="1" t="str">
        <f aca="false">HYPERLINK("http://dx.doi.org/10.3390/polym15234520","http://dx.doi.org/10.3390/polym15234520")</f>
        <v>http://dx.doi.org/10.3390/polym15234520</v>
      </c>
      <c r="BG711" s="1"/>
      <c r="BH711" s="1"/>
      <c r="BI711" s="1" t="n">
        <v>19</v>
      </c>
      <c r="BJ711" s="1" t="s">
        <v>1432</v>
      </c>
      <c r="BK711" s="1" t="s">
        <v>204</v>
      </c>
      <c r="BL711" s="1" t="s">
        <v>1432</v>
      </c>
      <c r="BM711" s="1" t="s">
        <v>12721</v>
      </c>
      <c r="BN711" s="1" t="n">
        <v>38231942</v>
      </c>
      <c r="BO711" s="1" t="s">
        <v>401</v>
      </c>
      <c r="BP711" s="1"/>
      <c r="BQ711" s="1"/>
      <c r="BR711" s="1" t="s">
        <v>103</v>
      </c>
      <c r="BS711" s="1" t="s">
        <v>12722</v>
      </c>
      <c r="BT711" s="1" t="str">
        <f aca="false">HYPERLINK("https%3A%2F%2Fwww.webofscience.com%2Fwos%2Fwoscc%2Ffull-record%2FWOS:001116663400001","View Full Record in Web of Science")</f>
        <v>View Full Record in Web of Science</v>
      </c>
    </row>
    <row r="712" customFormat="false" ht="12.75" hidden="false" customHeight="false" outlineLevel="0" collapsed="false">
      <c r="A712" s="1" t="s">
        <v>181</v>
      </c>
      <c r="B712" s="1" t="s">
        <v>12723</v>
      </c>
      <c r="C712" s="1"/>
      <c r="D712" s="1"/>
      <c r="E712" s="1"/>
      <c r="F712" s="1" t="s">
        <v>12724</v>
      </c>
      <c r="G712" s="1"/>
      <c r="H712" s="1"/>
      <c r="I712" s="1" t="s">
        <v>12725</v>
      </c>
      <c r="J712" s="1" t="s">
        <v>12726</v>
      </c>
      <c r="K712" s="1"/>
      <c r="L712" s="1"/>
      <c r="M712" s="1" t="s">
        <v>78</v>
      </c>
      <c r="N712" s="1" t="s">
        <v>186</v>
      </c>
      <c r="O712" s="1"/>
      <c r="P712" s="1"/>
      <c r="Q712" s="1"/>
      <c r="R712" s="1"/>
      <c r="S712" s="1"/>
      <c r="T712" s="1" t="s">
        <v>12727</v>
      </c>
      <c r="U712" s="1" t="s">
        <v>12728</v>
      </c>
      <c r="V712" s="1" t="s">
        <v>12729</v>
      </c>
      <c r="W712" s="1" t="s">
        <v>12730</v>
      </c>
      <c r="X712" s="1" t="s">
        <v>12731</v>
      </c>
      <c r="Y712" s="1" t="s">
        <v>12732</v>
      </c>
      <c r="Z712" s="1" t="s">
        <v>12733</v>
      </c>
      <c r="AA712" s="1" t="s">
        <v>12734</v>
      </c>
      <c r="AB712" s="1" t="s">
        <v>12735</v>
      </c>
      <c r="AC712" s="1" t="s">
        <v>12736</v>
      </c>
      <c r="AD712" s="1" t="s">
        <v>12737</v>
      </c>
      <c r="AE712" s="1" t="s">
        <v>12738</v>
      </c>
      <c r="AF712" s="1"/>
      <c r="AG712" s="1" t="n">
        <v>43</v>
      </c>
      <c r="AH712" s="1" t="n">
        <v>3</v>
      </c>
      <c r="AI712" s="1" t="n">
        <v>3</v>
      </c>
      <c r="AJ712" s="1" t="n">
        <v>22</v>
      </c>
      <c r="AK712" s="1" t="n">
        <v>60</v>
      </c>
      <c r="AL712" s="1" t="s">
        <v>2129</v>
      </c>
      <c r="AM712" s="1" t="s">
        <v>1908</v>
      </c>
      <c r="AN712" s="1" t="s">
        <v>2130</v>
      </c>
      <c r="AO712" s="1" t="s">
        <v>12739</v>
      </c>
      <c r="AP712" s="1" t="s">
        <v>12740</v>
      </c>
      <c r="AQ712" s="1"/>
      <c r="AR712" s="1" t="s">
        <v>12741</v>
      </c>
      <c r="AS712" s="1" t="s">
        <v>12742</v>
      </c>
      <c r="AT712" s="1" t="s">
        <v>12743</v>
      </c>
      <c r="AU712" s="1" t="n">
        <v>2023</v>
      </c>
      <c r="AV712" s="1" t="n">
        <v>16</v>
      </c>
      <c r="AW712" s="1" t="n">
        <v>1</v>
      </c>
      <c r="AX712" s="1"/>
      <c r="AY712" s="1"/>
      <c r="AZ712" s="1"/>
      <c r="BA712" s="1"/>
      <c r="BB712" s="1"/>
      <c r="BC712" s="1"/>
      <c r="BD712" s="1" t="n">
        <v>139</v>
      </c>
      <c r="BE712" s="1" t="s">
        <v>12744</v>
      </c>
      <c r="BF712" s="1" t="str">
        <f aca="false">HYPERLINK("http://dx.doi.org/10.1007/s44196-023-00314-6","http://dx.doi.org/10.1007/s44196-023-00314-6")</f>
        <v>http://dx.doi.org/10.1007/s44196-023-00314-6</v>
      </c>
      <c r="BG712" s="1"/>
      <c r="BH712" s="1"/>
      <c r="BI712" s="1" t="n">
        <v>16</v>
      </c>
      <c r="BJ712" s="1" t="s">
        <v>3772</v>
      </c>
      <c r="BK712" s="1" t="s">
        <v>204</v>
      </c>
      <c r="BL712" s="1" t="s">
        <v>101</v>
      </c>
      <c r="BM712" s="1" t="s">
        <v>12745</v>
      </c>
      <c r="BN712" s="1"/>
      <c r="BO712" s="1" t="s">
        <v>642</v>
      </c>
      <c r="BP712" s="1"/>
      <c r="BQ712" s="1"/>
      <c r="BR712" s="1" t="s">
        <v>103</v>
      </c>
      <c r="BS712" s="1" t="s">
        <v>12746</v>
      </c>
      <c r="BT712" s="1" t="str">
        <f aca="false">HYPERLINK("https%3A%2F%2Fwww.webofscience.com%2Fwos%2Fwoscc%2Ffull-record%2FWOS:001057554400001","View Full Record in Web of Science")</f>
        <v>View Full Record in Web of Science</v>
      </c>
    </row>
    <row r="713" customFormat="false" ht="12.75" hidden="false" customHeight="false" outlineLevel="0" collapsed="false">
      <c r="A713" s="1" t="s">
        <v>72</v>
      </c>
      <c r="B713" s="1" t="s">
        <v>12747</v>
      </c>
      <c r="C713" s="1"/>
      <c r="D713" s="1" t="s">
        <v>12748</v>
      </c>
      <c r="E713" s="1"/>
      <c r="F713" s="1" t="s">
        <v>12749</v>
      </c>
      <c r="G713" s="1"/>
      <c r="H713" s="1"/>
      <c r="I713" s="1" t="s">
        <v>12750</v>
      </c>
      <c r="J713" s="1" t="s">
        <v>12751</v>
      </c>
      <c r="K713" s="1" t="s">
        <v>2842</v>
      </c>
      <c r="L713" s="1"/>
      <c r="M713" s="1" t="s">
        <v>78</v>
      </c>
      <c r="N713" s="1" t="s">
        <v>79</v>
      </c>
      <c r="O713" s="1" t="s">
        <v>12752</v>
      </c>
      <c r="P713" s="1" t="s">
        <v>12753</v>
      </c>
      <c r="Q713" s="1" t="s">
        <v>12754</v>
      </c>
      <c r="R713" s="1"/>
      <c r="S713" s="1"/>
      <c r="T713" s="1" t="s">
        <v>12755</v>
      </c>
      <c r="U713" s="1"/>
      <c r="V713" s="1" t="s">
        <v>12756</v>
      </c>
      <c r="W713" s="1" t="s">
        <v>12757</v>
      </c>
      <c r="X713" s="1" t="s">
        <v>12758</v>
      </c>
      <c r="Y713" s="1" t="s">
        <v>12759</v>
      </c>
      <c r="Z713" s="1" t="s">
        <v>12760</v>
      </c>
      <c r="AA713" s="1" t="s">
        <v>12761</v>
      </c>
      <c r="AB713" s="1" t="s">
        <v>12762</v>
      </c>
      <c r="AC713" s="1"/>
      <c r="AD713" s="1"/>
      <c r="AE713" s="1"/>
      <c r="AF713" s="1"/>
      <c r="AG713" s="1" t="n">
        <v>18</v>
      </c>
      <c r="AH713" s="1" t="n">
        <v>2</v>
      </c>
      <c r="AI713" s="1" t="n">
        <v>2</v>
      </c>
      <c r="AJ713" s="1" t="n">
        <v>0</v>
      </c>
      <c r="AK713" s="1" t="n">
        <v>13</v>
      </c>
      <c r="AL713" s="1" t="s">
        <v>302</v>
      </c>
      <c r="AM713" s="1" t="s">
        <v>303</v>
      </c>
      <c r="AN713" s="1" t="s">
        <v>304</v>
      </c>
      <c r="AO713" s="1" t="s">
        <v>2854</v>
      </c>
      <c r="AP713" s="1" t="s">
        <v>2855</v>
      </c>
      <c r="AQ713" s="1" t="s">
        <v>12763</v>
      </c>
      <c r="AR713" s="1" t="s">
        <v>2857</v>
      </c>
      <c r="AS713" s="1"/>
      <c r="AT713" s="1"/>
      <c r="AU713" s="1" t="n">
        <v>2021</v>
      </c>
      <c r="AV713" s="1" t="n">
        <v>1538</v>
      </c>
      <c r="AW713" s="1"/>
      <c r="AX713" s="1"/>
      <c r="AY713" s="1"/>
      <c r="AZ713" s="1"/>
      <c r="BA713" s="1"/>
      <c r="BB713" s="1" t="n">
        <v>179</v>
      </c>
      <c r="BC713" s="1" t="n">
        <v>184</v>
      </c>
      <c r="BD713" s="1"/>
      <c r="BE713" s="1" t="s">
        <v>12764</v>
      </c>
      <c r="BF713" s="1" t="str">
        <f aca="false">HYPERLINK("http://dx.doi.org/10.1007/978-3-030-94209-0_15","http://dx.doi.org/10.1007/978-3-030-94209-0_15")</f>
        <v>http://dx.doi.org/10.1007/978-3-030-94209-0_15</v>
      </c>
      <c r="BG713" s="1"/>
      <c r="BH713" s="1"/>
      <c r="BI713" s="1" t="n">
        <v>6</v>
      </c>
      <c r="BJ713" s="1" t="s">
        <v>12765</v>
      </c>
      <c r="BK713" s="1" t="s">
        <v>100</v>
      </c>
      <c r="BL713" s="1" t="s">
        <v>12766</v>
      </c>
      <c r="BM713" s="1" t="s">
        <v>12767</v>
      </c>
      <c r="BN713" s="1"/>
      <c r="BO713" s="1"/>
      <c r="BP713" s="1"/>
      <c r="BQ713" s="1"/>
      <c r="BR713" s="1" t="s">
        <v>103</v>
      </c>
      <c r="BS713" s="1" t="s">
        <v>12768</v>
      </c>
      <c r="BT713" s="1" t="str">
        <f aca="false">HYPERLINK("https%3A%2F%2Fwww.webofscience.com%2Fwos%2Fwoscc%2Ffull-record%2FWOS:000928975700015","View Full Record in Web of Science")</f>
        <v>View Full Record in Web of Science</v>
      </c>
    </row>
    <row r="714" customFormat="false" ht="12.75" hidden="false" customHeight="false" outlineLevel="0" collapsed="false">
      <c r="A714" s="1" t="s">
        <v>72</v>
      </c>
      <c r="B714" s="1" t="s">
        <v>12769</v>
      </c>
      <c r="C714" s="1"/>
      <c r="D714" s="1" t="s">
        <v>11840</v>
      </c>
      <c r="E714" s="1"/>
      <c r="F714" s="1" t="s">
        <v>12770</v>
      </c>
      <c r="G714" s="1"/>
      <c r="H714" s="1"/>
      <c r="I714" s="1" t="s">
        <v>12771</v>
      </c>
      <c r="J714" s="1" t="s">
        <v>11843</v>
      </c>
      <c r="K714" s="1"/>
      <c r="L714" s="1"/>
      <c r="M714" s="1" t="s">
        <v>78</v>
      </c>
      <c r="N714" s="1" t="s">
        <v>79</v>
      </c>
      <c r="O714" s="1" t="s">
        <v>6495</v>
      </c>
      <c r="P714" s="1" t="s">
        <v>6496</v>
      </c>
      <c r="Q714" s="1" t="s">
        <v>320</v>
      </c>
      <c r="R714" s="1" t="s">
        <v>1086</v>
      </c>
      <c r="S714" s="1"/>
      <c r="T714" s="1"/>
      <c r="U714" s="1"/>
      <c r="V714" s="1" t="s">
        <v>12772</v>
      </c>
      <c r="W714" s="1" t="s">
        <v>12773</v>
      </c>
      <c r="X714" s="1" t="s">
        <v>11846</v>
      </c>
      <c r="Y714" s="1" t="s">
        <v>12774</v>
      </c>
      <c r="Z714" s="1" t="s">
        <v>12775</v>
      </c>
      <c r="AA714" s="1"/>
      <c r="AB714" s="1" t="s">
        <v>11849</v>
      </c>
      <c r="AC714" s="1" t="s">
        <v>1186</v>
      </c>
      <c r="AD714" s="1" t="s">
        <v>1186</v>
      </c>
      <c r="AE714" s="1" t="s">
        <v>12776</v>
      </c>
      <c r="AF714" s="1"/>
      <c r="AG714" s="1" t="n">
        <v>27</v>
      </c>
      <c r="AH714" s="1" t="n">
        <v>16</v>
      </c>
      <c r="AI714" s="1" t="n">
        <v>17</v>
      </c>
      <c r="AJ714" s="1" t="n">
        <v>2</v>
      </c>
      <c r="AK714" s="1" t="n">
        <v>6</v>
      </c>
      <c r="AL714" s="1" t="s">
        <v>172</v>
      </c>
      <c r="AM714" s="1" t="s">
        <v>173</v>
      </c>
      <c r="AN714" s="1" t="s">
        <v>174</v>
      </c>
      <c r="AO714" s="1"/>
      <c r="AP714" s="1"/>
      <c r="AQ714" s="1" t="s">
        <v>11850</v>
      </c>
      <c r="AR714" s="1"/>
      <c r="AS714" s="1"/>
      <c r="AT714" s="1"/>
      <c r="AU714" s="1" t="n">
        <v>2021</v>
      </c>
      <c r="AV714" s="1"/>
      <c r="AW714" s="1"/>
      <c r="AX714" s="1"/>
      <c r="AY714" s="1"/>
      <c r="AZ714" s="1"/>
      <c r="BA714" s="1"/>
      <c r="BB714" s="1" t="n">
        <v>80</v>
      </c>
      <c r="BC714" s="1" t="n">
        <v>86</v>
      </c>
      <c r="BD714" s="1"/>
      <c r="BE714" s="1" t="s">
        <v>12777</v>
      </c>
      <c r="BF714" s="1" t="str">
        <f aca="false">HYPERLINK("http://dx.doi.org/10.1109/REW53955.2021.00019","http://dx.doi.org/10.1109/REW53955.2021.00019")</f>
        <v>http://dx.doi.org/10.1109/REW53955.2021.00019</v>
      </c>
      <c r="BG714" s="1"/>
      <c r="BH714" s="1"/>
      <c r="BI714" s="1" t="n">
        <v>7</v>
      </c>
      <c r="BJ714" s="1" t="s">
        <v>994</v>
      </c>
      <c r="BK714" s="1" t="s">
        <v>100</v>
      </c>
      <c r="BL714" s="1" t="s">
        <v>101</v>
      </c>
      <c r="BM714" s="1" t="s">
        <v>11852</v>
      </c>
      <c r="BN714" s="1"/>
      <c r="BO714" s="1" t="s">
        <v>227</v>
      </c>
      <c r="BP714" s="1"/>
      <c r="BQ714" s="1"/>
      <c r="BR714" s="1" t="s">
        <v>103</v>
      </c>
      <c r="BS714" s="1" t="s">
        <v>12778</v>
      </c>
      <c r="BT714" s="1" t="str">
        <f aca="false">HYPERLINK("https%3A%2F%2Fwww.webofscience.com%2Fwos%2Fwoscc%2Ffull-record%2FWOS:000788547300011","View Full Record in Web of Science")</f>
        <v>View Full Record in Web of Science</v>
      </c>
    </row>
    <row r="715" customFormat="false" ht="12.75" hidden="false" customHeight="false" outlineLevel="0" collapsed="false">
      <c r="A715" s="1" t="s">
        <v>72</v>
      </c>
      <c r="B715" s="1" t="s">
        <v>12779</v>
      </c>
      <c r="C715" s="1"/>
      <c r="D715" s="1" t="s">
        <v>12780</v>
      </c>
      <c r="E715" s="1"/>
      <c r="F715" s="1" t="s">
        <v>12781</v>
      </c>
      <c r="G715" s="1"/>
      <c r="H715" s="1"/>
      <c r="I715" s="1" t="s">
        <v>12782</v>
      </c>
      <c r="J715" s="1" t="s">
        <v>12783</v>
      </c>
      <c r="K715" s="1" t="s">
        <v>12784</v>
      </c>
      <c r="L715" s="1"/>
      <c r="M715" s="1" t="s">
        <v>78</v>
      </c>
      <c r="N715" s="1" t="s">
        <v>79</v>
      </c>
      <c r="O715" s="1" t="s">
        <v>12785</v>
      </c>
      <c r="P715" s="1" t="s">
        <v>12786</v>
      </c>
      <c r="Q715" s="1" t="s">
        <v>12787</v>
      </c>
      <c r="R715" s="1"/>
      <c r="S715" s="1"/>
      <c r="T715" s="1"/>
      <c r="U715" s="1"/>
      <c r="V715" s="1"/>
      <c r="W715" s="1" t="s">
        <v>12788</v>
      </c>
      <c r="X715" s="1" t="s">
        <v>12789</v>
      </c>
      <c r="Y715" s="1" t="s">
        <v>12790</v>
      </c>
      <c r="Z715" s="1" t="s">
        <v>12791</v>
      </c>
      <c r="AA715" s="1" t="s">
        <v>12792</v>
      </c>
      <c r="AB715" s="1"/>
      <c r="AC715" s="1"/>
      <c r="AD715" s="1"/>
      <c r="AE715" s="1"/>
      <c r="AF715" s="1"/>
      <c r="AG715" s="1" t="n">
        <v>3</v>
      </c>
      <c r="AH715" s="1" t="n">
        <v>0</v>
      </c>
      <c r="AI715" s="1" t="n">
        <v>0</v>
      </c>
      <c r="AJ715" s="1" t="n">
        <v>0</v>
      </c>
      <c r="AK715" s="1" t="n">
        <v>0</v>
      </c>
      <c r="AL715" s="1" t="s">
        <v>12793</v>
      </c>
      <c r="AM715" s="1" t="s">
        <v>12794</v>
      </c>
      <c r="AN715" s="1" t="s">
        <v>12795</v>
      </c>
      <c r="AO715" s="1"/>
      <c r="AP715" s="1"/>
      <c r="AQ715" s="1" t="s">
        <v>12796</v>
      </c>
      <c r="AR715" s="1" t="s">
        <v>12797</v>
      </c>
      <c r="AS715" s="1"/>
      <c r="AT715" s="1"/>
      <c r="AU715" s="1" t="n">
        <v>2021</v>
      </c>
      <c r="AV715" s="1"/>
      <c r="AW715" s="1"/>
      <c r="AX715" s="1"/>
      <c r="AY715" s="1"/>
      <c r="AZ715" s="1"/>
      <c r="BA715" s="1"/>
      <c r="BB715" s="1" t="n">
        <v>4940</v>
      </c>
      <c r="BC715" s="1" t="n">
        <v>4940</v>
      </c>
      <c r="BD715" s="1"/>
      <c r="BE715" s="1"/>
      <c r="BF715" s="1"/>
      <c r="BG715" s="1"/>
      <c r="BH715" s="1"/>
      <c r="BI715" s="1" t="n">
        <v>1</v>
      </c>
      <c r="BJ715" s="1" t="s">
        <v>3754</v>
      </c>
      <c r="BK715" s="1" t="s">
        <v>100</v>
      </c>
      <c r="BL715" s="1" t="s">
        <v>101</v>
      </c>
      <c r="BM715" s="1" t="s">
        <v>12798</v>
      </c>
      <c r="BN715" s="1"/>
      <c r="BO715" s="1"/>
      <c r="BP715" s="1"/>
      <c r="BQ715" s="1"/>
      <c r="BR715" s="1" t="s">
        <v>103</v>
      </c>
      <c r="BS715" s="1" t="s">
        <v>12799</v>
      </c>
      <c r="BT715" s="1" t="str">
        <f aca="false">HYPERLINK("https%3A%2F%2Fwww.webofscience.com%2Fwos%2Fwoscc%2Ffull-record%2FWOS:001300419504116","View Full Record in Web of Science")</f>
        <v>View Full Record in Web of Science</v>
      </c>
    </row>
    <row r="716" customFormat="false" ht="12.75" hidden="false" customHeight="false" outlineLevel="0" collapsed="false">
      <c r="A716" s="1" t="s">
        <v>181</v>
      </c>
      <c r="B716" s="1" t="s">
        <v>12800</v>
      </c>
      <c r="C716" s="1"/>
      <c r="D716" s="1"/>
      <c r="E716" s="1"/>
      <c r="F716" s="1" t="s">
        <v>12801</v>
      </c>
      <c r="G716" s="1"/>
      <c r="H716" s="1"/>
      <c r="I716" s="1" t="s">
        <v>12802</v>
      </c>
      <c r="J716" s="1" t="s">
        <v>4178</v>
      </c>
      <c r="K716" s="1"/>
      <c r="L716" s="1"/>
      <c r="M716" s="1" t="s">
        <v>78</v>
      </c>
      <c r="N716" s="1" t="s">
        <v>186</v>
      </c>
      <c r="O716" s="1"/>
      <c r="P716" s="1"/>
      <c r="Q716" s="1"/>
      <c r="R716" s="1"/>
      <c r="S716" s="1"/>
      <c r="T716" s="1" t="s">
        <v>12803</v>
      </c>
      <c r="U716" s="1" t="s">
        <v>12804</v>
      </c>
      <c r="V716" s="1" t="s">
        <v>12805</v>
      </c>
      <c r="W716" s="1" t="s">
        <v>12806</v>
      </c>
      <c r="X716" s="1" t="s">
        <v>12322</v>
      </c>
      <c r="Y716" s="1" t="s">
        <v>12807</v>
      </c>
      <c r="Z716" s="1" t="s">
        <v>4148</v>
      </c>
      <c r="AA716" s="1" t="s">
        <v>12808</v>
      </c>
      <c r="AB716" s="1" t="s">
        <v>12809</v>
      </c>
      <c r="AC716" s="1" t="s">
        <v>12810</v>
      </c>
      <c r="AD716" s="1" t="s">
        <v>677</v>
      </c>
      <c r="AE716" s="1" t="s">
        <v>12811</v>
      </c>
      <c r="AF716" s="1"/>
      <c r="AG716" s="1" t="n">
        <v>107</v>
      </c>
      <c r="AH716" s="1" t="n">
        <v>5</v>
      </c>
      <c r="AI716" s="1" t="n">
        <v>5</v>
      </c>
      <c r="AJ716" s="1" t="n">
        <v>0</v>
      </c>
      <c r="AK716" s="1" t="n">
        <v>7</v>
      </c>
      <c r="AL716" s="1" t="s">
        <v>600</v>
      </c>
      <c r="AM716" s="1" t="s">
        <v>601</v>
      </c>
      <c r="AN716" s="1" t="s">
        <v>602</v>
      </c>
      <c r="AO716" s="1" t="s">
        <v>4190</v>
      </c>
      <c r="AP716" s="1" t="s">
        <v>4191</v>
      </c>
      <c r="AQ716" s="1"/>
      <c r="AR716" s="1" t="s">
        <v>4192</v>
      </c>
      <c r="AS716" s="1" t="s">
        <v>4193</v>
      </c>
      <c r="AT716" s="1" t="s">
        <v>2698</v>
      </c>
      <c r="AU716" s="1" t="n">
        <v>2021</v>
      </c>
      <c r="AV716" s="1" t="n">
        <v>33</v>
      </c>
      <c r="AW716" s="1" t="n">
        <v>6</v>
      </c>
      <c r="AX716" s="1"/>
      <c r="AY716" s="1"/>
      <c r="AZ716" s="1"/>
      <c r="BA716" s="1"/>
      <c r="BB716" s="1"/>
      <c r="BC716" s="1"/>
      <c r="BD716" s="1" t="s">
        <v>12812</v>
      </c>
      <c r="BE716" s="1" t="s">
        <v>12813</v>
      </c>
      <c r="BF716" s="1" t="str">
        <f aca="false">HYPERLINK("http://dx.doi.org/10.1002/smr.2345","http://dx.doi.org/10.1002/smr.2345")</f>
        <v>http://dx.doi.org/10.1002/smr.2345</v>
      </c>
      <c r="BG716" s="1"/>
      <c r="BH716" s="1" t="s">
        <v>1749</v>
      </c>
      <c r="BI716" s="1" t="n">
        <v>24</v>
      </c>
      <c r="BJ716" s="1" t="s">
        <v>252</v>
      </c>
      <c r="BK716" s="1" t="s">
        <v>398</v>
      </c>
      <c r="BL716" s="1" t="s">
        <v>101</v>
      </c>
      <c r="BM716" s="1" t="s">
        <v>12814</v>
      </c>
      <c r="BN716" s="1"/>
      <c r="BO716" s="1" t="s">
        <v>179</v>
      </c>
      <c r="BP716" s="1"/>
      <c r="BQ716" s="1"/>
      <c r="BR716" s="1" t="s">
        <v>103</v>
      </c>
      <c r="BS716" s="1" t="s">
        <v>12815</v>
      </c>
      <c r="BT716" s="1" t="str">
        <f aca="false">HYPERLINK("https%3A%2F%2Fwww.webofscience.com%2Fwos%2Fwoscc%2Ffull-record%2FWOS:000630322200001","View Full Record in Web of Science")</f>
        <v>View Full Record in Web of Science</v>
      </c>
    </row>
    <row r="717" customFormat="false" ht="12.75" hidden="false" customHeight="false" outlineLevel="0" collapsed="false">
      <c r="A717" s="1" t="s">
        <v>181</v>
      </c>
      <c r="B717" s="1" t="s">
        <v>12816</v>
      </c>
      <c r="C717" s="1"/>
      <c r="D717" s="1"/>
      <c r="E717" s="1"/>
      <c r="F717" s="1" t="s">
        <v>12817</v>
      </c>
      <c r="G717" s="1"/>
      <c r="H717" s="1"/>
      <c r="I717" s="1" t="s">
        <v>12818</v>
      </c>
      <c r="J717" s="1" t="s">
        <v>1378</v>
      </c>
      <c r="K717" s="1"/>
      <c r="L717" s="1"/>
      <c r="M717" s="1" t="s">
        <v>78</v>
      </c>
      <c r="N717" s="1" t="s">
        <v>186</v>
      </c>
      <c r="O717" s="1"/>
      <c r="P717" s="1"/>
      <c r="Q717" s="1"/>
      <c r="R717" s="1"/>
      <c r="S717" s="1"/>
      <c r="T717" s="1" t="s">
        <v>12819</v>
      </c>
      <c r="U717" s="1" t="s">
        <v>12820</v>
      </c>
      <c r="V717" s="1" t="s">
        <v>12821</v>
      </c>
      <c r="W717" s="1" t="s">
        <v>12822</v>
      </c>
      <c r="X717" s="1" t="s">
        <v>12823</v>
      </c>
      <c r="Y717" s="1" t="s">
        <v>12824</v>
      </c>
      <c r="Z717" s="1" t="s">
        <v>12825</v>
      </c>
      <c r="AA717" s="1" t="s">
        <v>12211</v>
      </c>
      <c r="AB717" s="1" t="s">
        <v>2492</v>
      </c>
      <c r="AC717" s="1"/>
      <c r="AD717" s="1"/>
      <c r="AE717" s="1"/>
      <c r="AF717" s="1"/>
      <c r="AG717" s="1" t="n">
        <v>322</v>
      </c>
      <c r="AH717" s="1" t="n">
        <v>0</v>
      </c>
      <c r="AI717" s="1" t="n">
        <v>0</v>
      </c>
      <c r="AJ717" s="1" t="n">
        <v>3</v>
      </c>
      <c r="AK717" s="1" t="n">
        <v>3</v>
      </c>
      <c r="AL717" s="1" t="s">
        <v>893</v>
      </c>
      <c r="AM717" s="1" t="s">
        <v>894</v>
      </c>
      <c r="AN717" s="1" t="s">
        <v>895</v>
      </c>
      <c r="AO717" s="1" t="s">
        <v>1387</v>
      </c>
      <c r="AP717" s="1" t="s">
        <v>1388</v>
      </c>
      <c r="AQ717" s="1"/>
      <c r="AR717" s="1" t="s">
        <v>1389</v>
      </c>
      <c r="AS717" s="1" t="s">
        <v>1390</v>
      </c>
      <c r="AT717" s="1" t="s">
        <v>537</v>
      </c>
      <c r="AU717" s="1" t="n">
        <v>2025</v>
      </c>
      <c r="AV717" s="1" t="n">
        <v>178</v>
      </c>
      <c r="AW717" s="1"/>
      <c r="AX717" s="1"/>
      <c r="AY717" s="1"/>
      <c r="AZ717" s="1"/>
      <c r="BA717" s="1"/>
      <c r="BB717" s="1"/>
      <c r="BC717" s="1"/>
      <c r="BD717" s="1" t="n">
        <v>107622</v>
      </c>
      <c r="BE717" s="1" t="s">
        <v>12826</v>
      </c>
      <c r="BF717" s="1" t="str">
        <f aca="false">HYPERLINK("http://dx.doi.org/10.1016/j.infsof.2024.107622","http://dx.doi.org/10.1016/j.infsof.2024.107622")</f>
        <v>http://dx.doi.org/10.1016/j.infsof.2024.107622</v>
      </c>
      <c r="BG717" s="1"/>
      <c r="BH717" s="1" t="s">
        <v>4047</v>
      </c>
      <c r="BI717" s="1" t="n">
        <v>34</v>
      </c>
      <c r="BJ717" s="1" t="s">
        <v>1394</v>
      </c>
      <c r="BK717" s="1" t="s">
        <v>204</v>
      </c>
      <c r="BL717" s="1" t="s">
        <v>101</v>
      </c>
      <c r="BM717" s="1" t="s">
        <v>12827</v>
      </c>
      <c r="BN717" s="1"/>
      <c r="BO717" s="1" t="s">
        <v>1373</v>
      </c>
      <c r="BP717" s="1"/>
      <c r="BQ717" s="1"/>
      <c r="BR717" s="1" t="s">
        <v>103</v>
      </c>
      <c r="BS717" s="1" t="s">
        <v>12828</v>
      </c>
      <c r="BT717" s="1" t="str">
        <f aca="false">HYPERLINK("https%3A%2F%2Fwww.webofscience.com%2Fwos%2Fwoscc%2Ffull-record%2FWOS:001360553400001","View Full Record in Web of Science")</f>
        <v>View Full Record in Web of Science</v>
      </c>
    </row>
    <row r="718" customFormat="false" ht="12.75" hidden="false" customHeight="false" outlineLevel="0" collapsed="false">
      <c r="A718" s="1" t="s">
        <v>181</v>
      </c>
      <c r="B718" s="1" t="s">
        <v>12829</v>
      </c>
      <c r="C718" s="1"/>
      <c r="D718" s="1"/>
      <c r="E718" s="1"/>
      <c r="F718" s="1" t="s">
        <v>12830</v>
      </c>
      <c r="G718" s="1"/>
      <c r="H718" s="1"/>
      <c r="I718" s="1" t="s">
        <v>12831</v>
      </c>
      <c r="J718" s="1" t="s">
        <v>12832</v>
      </c>
      <c r="K718" s="1"/>
      <c r="L718" s="1"/>
      <c r="M718" s="1" t="s">
        <v>78</v>
      </c>
      <c r="N718" s="1" t="s">
        <v>186</v>
      </c>
      <c r="O718" s="1"/>
      <c r="P718" s="1"/>
      <c r="Q718" s="1"/>
      <c r="R718" s="1"/>
      <c r="S718" s="1"/>
      <c r="T718" s="1"/>
      <c r="U718" s="1" t="s">
        <v>12833</v>
      </c>
      <c r="V718" s="1" t="s">
        <v>12834</v>
      </c>
      <c r="W718" s="1" t="s">
        <v>12835</v>
      </c>
      <c r="X718" s="1" t="s">
        <v>12836</v>
      </c>
      <c r="Y718" s="1" t="s">
        <v>12837</v>
      </c>
      <c r="Z718" s="1" t="s">
        <v>12838</v>
      </c>
      <c r="AA718" s="1" t="s">
        <v>12839</v>
      </c>
      <c r="AB718" s="1" t="s">
        <v>12840</v>
      </c>
      <c r="AC718" s="1" t="s">
        <v>12841</v>
      </c>
      <c r="AD718" s="1" t="s">
        <v>12842</v>
      </c>
      <c r="AE718" s="1" t="s">
        <v>12843</v>
      </c>
      <c r="AF718" s="1"/>
      <c r="AG718" s="1" t="n">
        <v>56</v>
      </c>
      <c r="AH718" s="1" t="n">
        <v>4</v>
      </c>
      <c r="AI718" s="1" t="n">
        <v>4</v>
      </c>
      <c r="AJ718" s="1" t="n">
        <v>2</v>
      </c>
      <c r="AK718" s="1" t="n">
        <v>13</v>
      </c>
      <c r="AL718" s="1" t="s">
        <v>1907</v>
      </c>
      <c r="AM718" s="1" t="s">
        <v>1908</v>
      </c>
      <c r="AN718" s="1" t="s">
        <v>1909</v>
      </c>
      <c r="AO718" s="1" t="s">
        <v>12844</v>
      </c>
      <c r="AP718" s="1" t="s">
        <v>12845</v>
      </c>
      <c r="AQ718" s="1"/>
      <c r="AR718" s="1" t="s">
        <v>12846</v>
      </c>
      <c r="AS718" s="1" t="s">
        <v>12847</v>
      </c>
      <c r="AT718" s="1" t="s">
        <v>12848</v>
      </c>
      <c r="AU718" s="1" t="n">
        <v>2020</v>
      </c>
      <c r="AV718" s="1" t="n">
        <v>2020</v>
      </c>
      <c r="AW718" s="1"/>
      <c r="AX718" s="1"/>
      <c r="AY718" s="1"/>
      <c r="AZ718" s="1"/>
      <c r="BA718" s="1"/>
      <c r="BB718" s="1"/>
      <c r="BC718" s="1"/>
      <c r="BD718" s="1" t="n">
        <v>8866412</v>
      </c>
      <c r="BE718" s="1" t="s">
        <v>12849</v>
      </c>
      <c r="BF718" s="1" t="str">
        <f aca="false">HYPERLINK("http://dx.doi.org/10.1155/2020/8866412","http://dx.doi.org/10.1155/2020/8866412")</f>
        <v>http://dx.doi.org/10.1155/2020/8866412</v>
      </c>
      <c r="BG718" s="1"/>
      <c r="BH718" s="1"/>
      <c r="BI718" s="1" t="n">
        <v>18</v>
      </c>
      <c r="BJ718" s="1" t="s">
        <v>12850</v>
      </c>
      <c r="BK718" s="1" t="s">
        <v>204</v>
      </c>
      <c r="BL718" s="1" t="s">
        <v>12851</v>
      </c>
      <c r="BM718" s="1" t="s">
        <v>12852</v>
      </c>
      <c r="BN718" s="1"/>
      <c r="BO718" s="1" t="s">
        <v>542</v>
      </c>
      <c r="BP718" s="1"/>
      <c r="BQ718" s="1"/>
      <c r="BR718" s="1" t="s">
        <v>103</v>
      </c>
      <c r="BS718" s="1" t="s">
        <v>12853</v>
      </c>
      <c r="BT718" s="1" t="str">
        <f aca="false">HYPERLINK("https%3A%2F%2Fwww.webofscience.com%2Fwos%2Fwoscc%2Ffull-record%2FWOS:000576103600001","View Full Record in Web of Science")</f>
        <v>View Full Record in Web of Science</v>
      </c>
    </row>
    <row r="719" customFormat="false" ht="12.75" hidden="false" customHeight="false" outlineLevel="0" collapsed="false">
      <c r="A719" s="1" t="s">
        <v>181</v>
      </c>
      <c r="B719" s="1" t="s">
        <v>12854</v>
      </c>
      <c r="C719" s="1"/>
      <c r="D719" s="1"/>
      <c r="E719" s="1"/>
      <c r="F719" s="1" t="s">
        <v>12855</v>
      </c>
      <c r="G719" s="1"/>
      <c r="H719" s="1"/>
      <c r="I719" s="1" t="s">
        <v>12856</v>
      </c>
      <c r="J719" s="1" t="s">
        <v>4022</v>
      </c>
      <c r="K719" s="1"/>
      <c r="L719" s="1"/>
      <c r="M719" s="1" t="s">
        <v>78</v>
      </c>
      <c r="N719" s="1" t="s">
        <v>186</v>
      </c>
      <c r="O719" s="1"/>
      <c r="P719" s="1"/>
      <c r="Q719" s="1"/>
      <c r="R719" s="1"/>
      <c r="S719" s="1"/>
      <c r="T719" s="1" t="s">
        <v>12857</v>
      </c>
      <c r="U719" s="1" t="s">
        <v>12858</v>
      </c>
      <c r="V719" s="1" t="s">
        <v>12859</v>
      </c>
      <c r="W719" s="1" t="s">
        <v>12860</v>
      </c>
      <c r="X719" s="1" t="s">
        <v>12861</v>
      </c>
      <c r="Y719" s="1" t="s">
        <v>12862</v>
      </c>
      <c r="Z719" s="1" t="s">
        <v>12863</v>
      </c>
      <c r="AA719" s="1" t="s">
        <v>12864</v>
      </c>
      <c r="AB719" s="1" t="s">
        <v>12865</v>
      </c>
      <c r="AC719" s="1" t="s">
        <v>12866</v>
      </c>
      <c r="AD719" s="1" t="s">
        <v>12867</v>
      </c>
      <c r="AE719" s="1" t="s">
        <v>12868</v>
      </c>
      <c r="AF719" s="1"/>
      <c r="AG719" s="1" t="n">
        <v>20</v>
      </c>
      <c r="AH719" s="1" t="n">
        <v>15</v>
      </c>
      <c r="AI719" s="1" t="n">
        <v>15</v>
      </c>
      <c r="AJ719" s="1" t="n">
        <v>1</v>
      </c>
      <c r="AK719" s="1" t="n">
        <v>18</v>
      </c>
      <c r="AL719" s="1" t="s">
        <v>367</v>
      </c>
      <c r="AM719" s="1" t="s">
        <v>368</v>
      </c>
      <c r="AN719" s="1" t="s">
        <v>369</v>
      </c>
      <c r="AO719" s="1"/>
      <c r="AP719" s="1" t="s">
        <v>4032</v>
      </c>
      <c r="AQ719" s="1"/>
      <c r="AR719" s="1" t="s">
        <v>4022</v>
      </c>
      <c r="AS719" s="1" t="s">
        <v>4033</v>
      </c>
      <c r="AT719" s="1" t="s">
        <v>2698</v>
      </c>
      <c r="AU719" s="1" t="n">
        <v>2020</v>
      </c>
      <c r="AV719" s="1" t="n">
        <v>13</v>
      </c>
      <c r="AW719" s="1" t="n">
        <v>12</v>
      </c>
      <c r="AX719" s="1"/>
      <c r="AY719" s="1"/>
      <c r="AZ719" s="1"/>
      <c r="BA719" s="1"/>
      <c r="BB719" s="1"/>
      <c r="BC719" s="1"/>
      <c r="BD719" s="1" t="n">
        <v>3262</v>
      </c>
      <c r="BE719" s="1" t="s">
        <v>12869</v>
      </c>
      <c r="BF719" s="1" t="str">
        <f aca="false">HYPERLINK("http://dx.doi.org/10.3390/en13123262","http://dx.doi.org/10.3390/en13123262")</f>
        <v>http://dx.doi.org/10.3390/en13123262</v>
      </c>
      <c r="BG719" s="1"/>
      <c r="BH719" s="1"/>
      <c r="BI719" s="1" t="n">
        <v>28</v>
      </c>
      <c r="BJ719" s="1" t="s">
        <v>4035</v>
      </c>
      <c r="BK719" s="1" t="s">
        <v>204</v>
      </c>
      <c r="BL719" s="1" t="s">
        <v>4035</v>
      </c>
      <c r="BM719" s="1" t="s">
        <v>12870</v>
      </c>
      <c r="BN719" s="1"/>
      <c r="BO719" s="1" t="s">
        <v>1209</v>
      </c>
      <c r="BP719" s="1"/>
      <c r="BQ719" s="1"/>
      <c r="BR719" s="1" t="s">
        <v>103</v>
      </c>
      <c r="BS719" s="1" t="s">
        <v>12871</v>
      </c>
      <c r="BT719" s="1" t="str">
        <f aca="false">HYPERLINK("https%3A%2F%2Fwww.webofscience.com%2Fwos%2Fwoscc%2Ffull-record%2FWOS:000550143100001","View Full Record in Web of Science")</f>
        <v>View Full Record in Web of Science</v>
      </c>
    </row>
    <row r="720" customFormat="false" ht="12.75" hidden="false" customHeight="false" outlineLevel="0" collapsed="false">
      <c r="A720" s="1" t="s">
        <v>181</v>
      </c>
      <c r="B720" s="1" t="s">
        <v>12872</v>
      </c>
      <c r="C720" s="1"/>
      <c r="D720" s="1"/>
      <c r="E720" s="1"/>
      <c r="F720" s="1" t="s">
        <v>12873</v>
      </c>
      <c r="G720" s="1"/>
      <c r="H720" s="1"/>
      <c r="I720" s="1" t="s">
        <v>12874</v>
      </c>
      <c r="J720" s="1" t="s">
        <v>12875</v>
      </c>
      <c r="K720" s="1"/>
      <c r="L720" s="1"/>
      <c r="M720" s="1" t="s">
        <v>78</v>
      </c>
      <c r="N720" s="1" t="s">
        <v>186</v>
      </c>
      <c r="O720" s="1"/>
      <c r="P720" s="1"/>
      <c r="Q720" s="1"/>
      <c r="R720" s="1"/>
      <c r="S720" s="1"/>
      <c r="T720" s="1" t="s">
        <v>12876</v>
      </c>
      <c r="U720" s="1" t="s">
        <v>12877</v>
      </c>
      <c r="V720" s="1" t="s">
        <v>12878</v>
      </c>
      <c r="W720" s="1" t="s">
        <v>12879</v>
      </c>
      <c r="X720" s="1" t="s">
        <v>12127</v>
      </c>
      <c r="Y720" s="1" t="s">
        <v>12880</v>
      </c>
      <c r="Z720" s="1" t="s">
        <v>12881</v>
      </c>
      <c r="AA720" s="1" t="s">
        <v>12128</v>
      </c>
      <c r="AB720" s="1"/>
      <c r="AC720" s="1"/>
      <c r="AD720" s="1"/>
      <c r="AE720" s="1"/>
      <c r="AF720" s="1"/>
      <c r="AG720" s="1" t="n">
        <v>20</v>
      </c>
      <c r="AH720" s="1" t="n">
        <v>12</v>
      </c>
      <c r="AI720" s="1" t="n">
        <v>12</v>
      </c>
      <c r="AJ720" s="1" t="n">
        <v>0</v>
      </c>
      <c r="AK720" s="1" t="n">
        <v>3</v>
      </c>
      <c r="AL720" s="1" t="s">
        <v>630</v>
      </c>
      <c r="AM720" s="1" t="s">
        <v>95</v>
      </c>
      <c r="AN720" s="1" t="s">
        <v>8860</v>
      </c>
      <c r="AO720" s="1" t="s">
        <v>12882</v>
      </c>
      <c r="AP720" s="1" t="s">
        <v>12883</v>
      </c>
      <c r="AQ720" s="1"/>
      <c r="AR720" s="1" t="s">
        <v>12884</v>
      </c>
      <c r="AS720" s="1" t="s">
        <v>12885</v>
      </c>
      <c r="AT720" s="1" t="s">
        <v>1453</v>
      </c>
      <c r="AU720" s="1" t="n">
        <v>2020</v>
      </c>
      <c r="AV720" s="1" t="n">
        <v>62</v>
      </c>
      <c r="AW720" s="1" t="n">
        <v>1</v>
      </c>
      <c r="AX720" s="1"/>
      <c r="AY720" s="1"/>
      <c r="AZ720" s="1"/>
      <c r="BA720" s="1"/>
      <c r="BB720" s="1" t="n">
        <v>233</v>
      </c>
      <c r="BC720" s="1" t="n">
        <v>259</v>
      </c>
      <c r="BD720" s="1" t="s">
        <v>12886</v>
      </c>
      <c r="BE720" s="1" t="s">
        <v>12887</v>
      </c>
      <c r="BF720" s="1" t="str">
        <f aca="false">HYPERLINK("http://dx.doi.org/10.1017/S0017089519000065","http://dx.doi.org/10.1017/S0017089519000065")</f>
        <v>http://dx.doi.org/10.1017/S0017089519000065</v>
      </c>
      <c r="BG720" s="1"/>
      <c r="BH720" s="1"/>
      <c r="BI720" s="1" t="n">
        <v>27</v>
      </c>
      <c r="BJ720" s="1" t="s">
        <v>280</v>
      </c>
      <c r="BK720" s="1" t="s">
        <v>204</v>
      </c>
      <c r="BL720" s="1" t="s">
        <v>280</v>
      </c>
      <c r="BM720" s="1" t="s">
        <v>12888</v>
      </c>
      <c r="BN720" s="1"/>
      <c r="BO720" s="1" t="s">
        <v>1373</v>
      </c>
      <c r="BP720" s="1"/>
      <c r="BQ720" s="1"/>
      <c r="BR720" s="1" t="s">
        <v>103</v>
      </c>
      <c r="BS720" s="1" t="s">
        <v>12889</v>
      </c>
      <c r="BT720" s="1" t="str">
        <f aca="false">HYPERLINK("https%3A%2F%2Fwww.webofscience.com%2Fwos%2Fwoscc%2Ffull-record%2FWOS:000500321900015","View Full Record in Web of Science")</f>
        <v>View Full Record in Web of Science</v>
      </c>
    </row>
    <row r="721" customFormat="false" ht="12.75" hidden="false" customHeight="false" outlineLevel="0" collapsed="false">
      <c r="A721" s="1" t="s">
        <v>181</v>
      </c>
      <c r="B721" s="1" t="s">
        <v>12890</v>
      </c>
      <c r="C721" s="1"/>
      <c r="D721" s="1"/>
      <c r="E721" s="1"/>
      <c r="F721" s="1" t="s">
        <v>12891</v>
      </c>
      <c r="G721" s="1"/>
      <c r="H721" s="1"/>
      <c r="I721" s="1" t="s">
        <v>12892</v>
      </c>
      <c r="J721" s="1" t="s">
        <v>588</v>
      </c>
      <c r="K721" s="1"/>
      <c r="L721" s="1"/>
      <c r="M721" s="1" t="s">
        <v>78</v>
      </c>
      <c r="N721" s="1" t="s">
        <v>186</v>
      </c>
      <c r="O721" s="1"/>
      <c r="P721" s="1"/>
      <c r="Q721" s="1"/>
      <c r="R721" s="1"/>
      <c r="S721" s="1"/>
      <c r="T721" s="1" t="s">
        <v>12893</v>
      </c>
      <c r="U721" s="1" t="s">
        <v>12894</v>
      </c>
      <c r="V721" s="1" t="s">
        <v>12895</v>
      </c>
      <c r="W721" s="1" t="s">
        <v>12896</v>
      </c>
      <c r="X721" s="1" t="s">
        <v>12897</v>
      </c>
      <c r="Y721" s="1" t="s">
        <v>12898</v>
      </c>
      <c r="Z721" s="1" t="s">
        <v>8436</v>
      </c>
      <c r="AA721" s="1"/>
      <c r="AB721" s="1" t="s">
        <v>12899</v>
      </c>
      <c r="AC721" s="1" t="s">
        <v>268</v>
      </c>
      <c r="AD721" s="1" t="s">
        <v>268</v>
      </c>
      <c r="AE721" s="1" t="s">
        <v>268</v>
      </c>
      <c r="AF721" s="1"/>
      <c r="AG721" s="1" t="n">
        <v>50</v>
      </c>
      <c r="AH721" s="1" t="n">
        <v>0</v>
      </c>
      <c r="AI721" s="1" t="n">
        <v>0</v>
      </c>
      <c r="AJ721" s="1" t="n">
        <v>0</v>
      </c>
      <c r="AK721" s="1" t="n">
        <v>2</v>
      </c>
      <c r="AL721" s="1" t="s">
        <v>600</v>
      </c>
      <c r="AM721" s="1" t="s">
        <v>601</v>
      </c>
      <c r="AN721" s="1" t="s">
        <v>602</v>
      </c>
      <c r="AO721" s="1" t="s">
        <v>603</v>
      </c>
      <c r="AP721" s="1" t="s">
        <v>604</v>
      </c>
      <c r="AQ721" s="1"/>
      <c r="AR721" s="1" t="s">
        <v>605</v>
      </c>
      <c r="AS721" s="1" t="s">
        <v>606</v>
      </c>
      <c r="AT721" s="1" t="s">
        <v>2698</v>
      </c>
      <c r="AU721" s="1" t="n">
        <v>2024</v>
      </c>
      <c r="AV721" s="1" t="n">
        <v>38</v>
      </c>
      <c r="AW721" s="1" t="n">
        <v>2</v>
      </c>
      <c r="AX721" s="1"/>
      <c r="AY721" s="1"/>
      <c r="AZ721" s="1"/>
      <c r="BA721" s="1"/>
      <c r="BB721" s="1" t="n">
        <v>358</v>
      </c>
      <c r="BC721" s="1" t="n">
        <v>367</v>
      </c>
      <c r="BD721" s="1"/>
      <c r="BE721" s="1" t="s">
        <v>12900</v>
      </c>
      <c r="BF721" s="1" t="str">
        <f aca="false">HYPERLINK("http://dx.doi.org/10.1111/scs.13239","http://dx.doi.org/10.1111/scs.13239")</f>
        <v>http://dx.doi.org/10.1111/scs.13239</v>
      </c>
      <c r="BG721" s="1"/>
      <c r="BH721" s="1" t="s">
        <v>3324</v>
      </c>
      <c r="BI721" s="1" t="n">
        <v>10</v>
      </c>
      <c r="BJ721" s="1" t="s">
        <v>609</v>
      </c>
      <c r="BK721" s="1" t="s">
        <v>610</v>
      </c>
      <c r="BL721" s="1" t="s">
        <v>609</v>
      </c>
      <c r="BM721" s="1" t="s">
        <v>12901</v>
      </c>
      <c r="BN721" s="1" t="n">
        <v>38258965</v>
      </c>
      <c r="BO721" s="1" t="s">
        <v>207</v>
      </c>
      <c r="BP721" s="1"/>
      <c r="BQ721" s="1"/>
      <c r="BR721" s="1" t="s">
        <v>103</v>
      </c>
      <c r="BS721" s="1" t="s">
        <v>12902</v>
      </c>
      <c r="BT721" s="1" t="str">
        <f aca="false">HYPERLINK("https%3A%2F%2Fwww.webofscience.com%2Fwos%2Fwoscc%2Ffull-record%2FWOS:001147115800001","View Full Record in Web of Science")</f>
        <v>View Full Record in Web of Science</v>
      </c>
    </row>
    <row r="722" customFormat="false" ht="12.75" hidden="false" customHeight="false" outlineLevel="0" collapsed="false">
      <c r="A722" s="1" t="s">
        <v>181</v>
      </c>
      <c r="B722" s="1" t="s">
        <v>12903</v>
      </c>
      <c r="C722" s="1"/>
      <c r="D722" s="1"/>
      <c r="E722" s="1"/>
      <c r="F722" s="1" t="s">
        <v>12904</v>
      </c>
      <c r="G722" s="1"/>
      <c r="H722" s="1"/>
      <c r="I722" s="1" t="s">
        <v>12905</v>
      </c>
      <c r="J722" s="1" t="s">
        <v>12906</v>
      </c>
      <c r="K722" s="1"/>
      <c r="L722" s="1"/>
      <c r="M722" s="1" t="s">
        <v>78</v>
      </c>
      <c r="N722" s="1" t="s">
        <v>186</v>
      </c>
      <c r="O722" s="1"/>
      <c r="P722" s="1"/>
      <c r="Q722" s="1"/>
      <c r="R722" s="1"/>
      <c r="S722" s="1"/>
      <c r="T722" s="1" t="s">
        <v>12907</v>
      </c>
      <c r="U722" s="1" t="s">
        <v>12908</v>
      </c>
      <c r="V722" s="1" t="s">
        <v>12909</v>
      </c>
      <c r="W722" s="1" t="s">
        <v>12910</v>
      </c>
      <c r="X722" s="1" t="s">
        <v>6382</v>
      </c>
      <c r="Y722" s="1" t="s">
        <v>12911</v>
      </c>
      <c r="Z722" s="1" t="s">
        <v>12912</v>
      </c>
      <c r="AA722" s="1"/>
      <c r="AB722" s="1"/>
      <c r="AC722" s="1"/>
      <c r="AD722" s="1"/>
      <c r="AE722" s="1"/>
      <c r="AF722" s="1"/>
      <c r="AG722" s="1" t="n">
        <v>66</v>
      </c>
      <c r="AH722" s="1" t="n">
        <v>5</v>
      </c>
      <c r="AI722" s="1" t="n">
        <v>5</v>
      </c>
      <c r="AJ722" s="1" t="n">
        <v>1</v>
      </c>
      <c r="AK722" s="1" t="n">
        <v>9</v>
      </c>
      <c r="AL722" s="1" t="s">
        <v>1025</v>
      </c>
      <c r="AM722" s="1" t="s">
        <v>1026</v>
      </c>
      <c r="AN722" s="1" t="s">
        <v>1027</v>
      </c>
      <c r="AO722" s="1" t="s">
        <v>12913</v>
      </c>
      <c r="AP722" s="1" t="s">
        <v>12914</v>
      </c>
      <c r="AQ722" s="1"/>
      <c r="AR722" s="1" t="s">
        <v>12915</v>
      </c>
      <c r="AS722" s="1" t="s">
        <v>12916</v>
      </c>
      <c r="AT722" s="1" t="s">
        <v>2698</v>
      </c>
      <c r="AU722" s="1" t="n">
        <v>2020</v>
      </c>
      <c r="AV722" s="1" t="n">
        <v>163</v>
      </c>
      <c r="AW722" s="1"/>
      <c r="AX722" s="1"/>
      <c r="AY722" s="1"/>
      <c r="AZ722" s="1"/>
      <c r="BA722" s="1"/>
      <c r="BB722" s="1"/>
      <c r="BC722" s="1"/>
      <c r="BD722" s="1" t="n">
        <v>107214</v>
      </c>
      <c r="BE722" s="1" t="s">
        <v>12917</v>
      </c>
      <c r="BF722" s="1" t="str">
        <f aca="false">HYPERLINK("http://dx.doi.org/10.1016/j.apacoust.2020.107214","http://dx.doi.org/10.1016/j.apacoust.2020.107214")</f>
        <v>http://dx.doi.org/10.1016/j.apacoust.2020.107214</v>
      </c>
      <c r="BG722" s="1"/>
      <c r="BH722" s="1"/>
      <c r="BI722" s="1" t="n">
        <v>21</v>
      </c>
      <c r="BJ722" s="1" t="s">
        <v>12918</v>
      </c>
      <c r="BK722" s="1" t="s">
        <v>398</v>
      </c>
      <c r="BL722" s="1" t="s">
        <v>12918</v>
      </c>
      <c r="BM722" s="1" t="s">
        <v>12919</v>
      </c>
      <c r="BN722" s="1"/>
      <c r="BO722" s="1" t="s">
        <v>612</v>
      </c>
      <c r="BP722" s="1"/>
      <c r="BQ722" s="1"/>
      <c r="BR722" s="1" t="s">
        <v>103</v>
      </c>
      <c r="BS722" s="1" t="s">
        <v>12920</v>
      </c>
      <c r="BT722" s="1" t="str">
        <f aca="false">HYPERLINK("https%3A%2F%2Fwww.webofscience.com%2Fwos%2Fwoscc%2Ffull-record%2FWOS:000521507200011","View Full Record in Web of Science")</f>
        <v>View Full Record in Web of Science</v>
      </c>
    </row>
    <row r="723" customFormat="false" ht="12.75" hidden="false" customHeight="false" outlineLevel="0" collapsed="false">
      <c r="A723" s="1" t="s">
        <v>181</v>
      </c>
      <c r="B723" s="1" t="s">
        <v>12921</v>
      </c>
      <c r="C723" s="1"/>
      <c r="D723" s="1"/>
      <c r="E723" s="1"/>
      <c r="F723" s="1" t="s">
        <v>12922</v>
      </c>
      <c r="G723" s="1"/>
      <c r="H723" s="1"/>
      <c r="I723" s="1" t="s">
        <v>12923</v>
      </c>
      <c r="J723" s="1" t="s">
        <v>4178</v>
      </c>
      <c r="K723" s="1"/>
      <c r="L723" s="1"/>
      <c r="M723" s="1" t="s">
        <v>78</v>
      </c>
      <c r="N723" s="1" t="s">
        <v>186</v>
      </c>
      <c r="O723" s="1"/>
      <c r="P723" s="1"/>
      <c r="Q723" s="1"/>
      <c r="R723" s="1"/>
      <c r="S723" s="1"/>
      <c r="T723" s="1" t="s">
        <v>12924</v>
      </c>
      <c r="U723" s="1" t="s">
        <v>12925</v>
      </c>
      <c r="V723" s="1" t="s">
        <v>12926</v>
      </c>
      <c r="W723" s="1" t="s">
        <v>12927</v>
      </c>
      <c r="X723" s="1" t="s">
        <v>12928</v>
      </c>
      <c r="Y723" s="1" t="s">
        <v>12929</v>
      </c>
      <c r="Z723" s="1" t="s">
        <v>12930</v>
      </c>
      <c r="AA723" s="1" t="s">
        <v>9190</v>
      </c>
      <c r="AB723" s="1" t="s">
        <v>12931</v>
      </c>
      <c r="AC723" s="1" t="s">
        <v>12932</v>
      </c>
      <c r="AD723" s="1" t="s">
        <v>12932</v>
      </c>
      <c r="AE723" s="1" t="s">
        <v>12933</v>
      </c>
      <c r="AF723" s="1"/>
      <c r="AG723" s="1" t="n">
        <v>39</v>
      </c>
      <c r="AH723" s="1" t="n">
        <v>0</v>
      </c>
      <c r="AI723" s="1" t="n">
        <v>0</v>
      </c>
      <c r="AJ723" s="1" t="n">
        <v>1</v>
      </c>
      <c r="AK723" s="1" t="n">
        <v>1</v>
      </c>
      <c r="AL723" s="1" t="s">
        <v>600</v>
      </c>
      <c r="AM723" s="1" t="s">
        <v>601</v>
      </c>
      <c r="AN723" s="1" t="s">
        <v>602</v>
      </c>
      <c r="AO723" s="1" t="s">
        <v>4190</v>
      </c>
      <c r="AP723" s="1" t="s">
        <v>4191</v>
      </c>
      <c r="AQ723" s="1"/>
      <c r="AR723" s="1" t="s">
        <v>4192</v>
      </c>
      <c r="AS723" s="1" t="s">
        <v>4193</v>
      </c>
      <c r="AT723" s="1" t="s">
        <v>537</v>
      </c>
      <c r="AU723" s="1" t="n">
        <v>2025</v>
      </c>
      <c r="AV723" s="1" t="n">
        <v>37</v>
      </c>
      <c r="AW723" s="1" t="n">
        <v>2</v>
      </c>
      <c r="AX723" s="1"/>
      <c r="AY723" s="1"/>
      <c r="AZ723" s="1"/>
      <c r="BA723" s="1"/>
      <c r="BB723" s="1"/>
      <c r="BC723" s="1"/>
      <c r="BD723" s="1"/>
      <c r="BE723" s="1" t="s">
        <v>12934</v>
      </c>
      <c r="BF723" s="1" t="str">
        <f aca="false">HYPERLINK("http://dx.doi.org/10.1002/smr.2755","http://dx.doi.org/10.1002/smr.2755")</f>
        <v>http://dx.doi.org/10.1002/smr.2755</v>
      </c>
      <c r="BG723" s="1"/>
      <c r="BH723" s="1" t="s">
        <v>9347</v>
      </c>
      <c r="BI723" s="1" t="n">
        <v>15</v>
      </c>
      <c r="BJ723" s="1" t="s">
        <v>252</v>
      </c>
      <c r="BK723" s="1" t="s">
        <v>204</v>
      </c>
      <c r="BL723" s="1" t="s">
        <v>101</v>
      </c>
      <c r="BM723" s="1" t="s">
        <v>12935</v>
      </c>
      <c r="BN723" s="1"/>
      <c r="BO723" s="1"/>
      <c r="BP723" s="1"/>
      <c r="BQ723" s="1"/>
      <c r="BR723" s="1" t="s">
        <v>103</v>
      </c>
      <c r="BS723" s="1" t="s">
        <v>12936</v>
      </c>
      <c r="BT723" s="1" t="str">
        <f aca="false">HYPERLINK("https%3A%2F%2Fwww.webofscience.com%2Fwos%2Fwoscc%2Ffull-record%2FWOS:001389574100001","View Full Record in Web of Science")</f>
        <v>View Full Record in Web of Science</v>
      </c>
    </row>
    <row r="724" customFormat="false" ht="12.75" hidden="false" customHeight="false" outlineLevel="0" collapsed="false">
      <c r="A724" s="1" t="s">
        <v>181</v>
      </c>
      <c r="B724" s="1" t="s">
        <v>12937</v>
      </c>
      <c r="C724" s="1"/>
      <c r="D724" s="1"/>
      <c r="E724" s="1"/>
      <c r="F724" s="1" t="s">
        <v>12938</v>
      </c>
      <c r="G724" s="1"/>
      <c r="H724" s="1"/>
      <c r="I724" s="1" t="s">
        <v>12939</v>
      </c>
      <c r="J724" s="1" t="s">
        <v>1378</v>
      </c>
      <c r="K724" s="1"/>
      <c r="L724" s="1"/>
      <c r="M724" s="1" t="s">
        <v>78</v>
      </c>
      <c r="N724" s="1" t="s">
        <v>186</v>
      </c>
      <c r="O724" s="1"/>
      <c r="P724" s="1"/>
      <c r="Q724" s="1"/>
      <c r="R724" s="1"/>
      <c r="S724" s="1"/>
      <c r="T724" s="1" t="s">
        <v>12940</v>
      </c>
      <c r="U724" s="1"/>
      <c r="V724" s="1" t="s">
        <v>12941</v>
      </c>
      <c r="W724" s="1" t="s">
        <v>12942</v>
      </c>
      <c r="X724" s="1" t="s">
        <v>12943</v>
      </c>
      <c r="Y724" s="1" t="s">
        <v>12944</v>
      </c>
      <c r="Z724" s="1" t="s">
        <v>12945</v>
      </c>
      <c r="AA724" s="1" t="s">
        <v>9901</v>
      </c>
      <c r="AB724" s="1" t="s">
        <v>12946</v>
      </c>
      <c r="AC724" s="1" t="s">
        <v>12947</v>
      </c>
      <c r="AD724" s="1" t="s">
        <v>12948</v>
      </c>
      <c r="AE724" s="1" t="s">
        <v>12949</v>
      </c>
      <c r="AF724" s="1"/>
      <c r="AG724" s="1" t="n">
        <v>57</v>
      </c>
      <c r="AH724" s="1" t="n">
        <v>0</v>
      </c>
      <c r="AI724" s="1" t="n">
        <v>0</v>
      </c>
      <c r="AJ724" s="1" t="n">
        <v>0</v>
      </c>
      <c r="AK724" s="1" t="n">
        <v>0</v>
      </c>
      <c r="AL724" s="1" t="s">
        <v>893</v>
      </c>
      <c r="AM724" s="1" t="s">
        <v>894</v>
      </c>
      <c r="AN724" s="1" t="s">
        <v>895</v>
      </c>
      <c r="AO724" s="1" t="s">
        <v>1387</v>
      </c>
      <c r="AP724" s="1" t="s">
        <v>1388</v>
      </c>
      <c r="AQ724" s="1"/>
      <c r="AR724" s="1" t="s">
        <v>1389</v>
      </c>
      <c r="AS724" s="1" t="s">
        <v>1390</v>
      </c>
      <c r="AT724" s="1" t="s">
        <v>2698</v>
      </c>
      <c r="AU724" s="1" t="n">
        <v>2024</v>
      </c>
      <c r="AV724" s="1" t="n">
        <v>170</v>
      </c>
      <c r="AW724" s="1"/>
      <c r="AX724" s="1"/>
      <c r="AY724" s="1"/>
      <c r="AZ724" s="1"/>
      <c r="BA724" s="1"/>
      <c r="BB724" s="1"/>
      <c r="BC724" s="1"/>
      <c r="BD724" s="1" t="n">
        <v>107445</v>
      </c>
      <c r="BE724" s="1" t="s">
        <v>12950</v>
      </c>
      <c r="BF724" s="1" t="str">
        <f aca="false">HYPERLINK("http://dx.doi.org/10.1016/j.infsof.2024.107445","http://dx.doi.org/10.1016/j.infsof.2024.107445")</f>
        <v>http://dx.doi.org/10.1016/j.infsof.2024.107445</v>
      </c>
      <c r="BG724" s="1"/>
      <c r="BH724" s="1" t="s">
        <v>2019</v>
      </c>
      <c r="BI724" s="1" t="n">
        <v>17</v>
      </c>
      <c r="BJ724" s="1" t="s">
        <v>1394</v>
      </c>
      <c r="BK724" s="1" t="s">
        <v>204</v>
      </c>
      <c r="BL724" s="1" t="s">
        <v>101</v>
      </c>
      <c r="BM724" s="1" t="s">
        <v>12951</v>
      </c>
      <c r="BN724" s="1"/>
      <c r="BO724" s="1"/>
      <c r="BP724" s="1"/>
      <c r="BQ724" s="1"/>
      <c r="BR724" s="1" t="s">
        <v>103</v>
      </c>
      <c r="BS724" s="1" t="s">
        <v>12952</v>
      </c>
      <c r="BT724" s="1" t="str">
        <f aca="false">HYPERLINK("https%3A%2F%2Fwww.webofscience.com%2Fwos%2Fwoscc%2Ffull-record%2FWOS:001224111200001","View Full Record in Web of Science")</f>
        <v>View Full Record in Web of Science</v>
      </c>
    </row>
    <row r="725" customFormat="false" ht="12.75" hidden="false" customHeight="false" outlineLevel="0" collapsed="false">
      <c r="A725" s="1" t="s">
        <v>181</v>
      </c>
      <c r="B725" s="1" t="s">
        <v>12953</v>
      </c>
      <c r="C725" s="1"/>
      <c r="D725" s="1"/>
      <c r="E725" s="1"/>
      <c r="F725" s="1" t="s">
        <v>12954</v>
      </c>
      <c r="G725" s="1"/>
      <c r="H725" s="1"/>
      <c r="I725" s="1" t="s">
        <v>12955</v>
      </c>
      <c r="J725" s="1" t="s">
        <v>11785</v>
      </c>
      <c r="K725" s="1"/>
      <c r="L725" s="1"/>
      <c r="M725" s="1" t="s">
        <v>78</v>
      </c>
      <c r="N725" s="1" t="s">
        <v>186</v>
      </c>
      <c r="O725" s="1"/>
      <c r="P725" s="1"/>
      <c r="Q725" s="1"/>
      <c r="R725" s="1"/>
      <c r="S725" s="1"/>
      <c r="T725" s="1" t="s">
        <v>12956</v>
      </c>
      <c r="U725" s="1" t="s">
        <v>12957</v>
      </c>
      <c r="V725" s="1" t="s">
        <v>12958</v>
      </c>
      <c r="W725" s="1" t="s">
        <v>12959</v>
      </c>
      <c r="X725" s="1" t="s">
        <v>5999</v>
      </c>
      <c r="Y725" s="1" t="s">
        <v>12960</v>
      </c>
      <c r="Z725" s="1" t="s">
        <v>12961</v>
      </c>
      <c r="AA725" s="1"/>
      <c r="AB725" s="1" t="s">
        <v>12962</v>
      </c>
      <c r="AC725" s="1" t="s">
        <v>1778</v>
      </c>
      <c r="AD725" s="1" t="s">
        <v>1778</v>
      </c>
      <c r="AE725" s="1" t="s">
        <v>12963</v>
      </c>
      <c r="AF725" s="1"/>
      <c r="AG725" s="1" t="n">
        <v>74</v>
      </c>
      <c r="AH725" s="1" t="n">
        <v>19</v>
      </c>
      <c r="AI725" s="1" t="n">
        <v>19</v>
      </c>
      <c r="AJ725" s="1" t="n">
        <v>7</v>
      </c>
      <c r="AK725" s="1" t="n">
        <v>58</v>
      </c>
      <c r="AL725" s="1" t="s">
        <v>11593</v>
      </c>
      <c r="AM725" s="1" t="s">
        <v>11594</v>
      </c>
      <c r="AN725" s="1" t="s">
        <v>11595</v>
      </c>
      <c r="AO725" s="1" t="s">
        <v>11795</v>
      </c>
      <c r="AP725" s="1"/>
      <c r="AQ725" s="1"/>
      <c r="AR725" s="1" t="s">
        <v>11796</v>
      </c>
      <c r="AS725" s="1" t="s">
        <v>11797</v>
      </c>
      <c r="AT725" s="1"/>
      <c r="AU725" s="1" t="n">
        <v>2021</v>
      </c>
      <c r="AV725" s="1" t="n">
        <v>6</v>
      </c>
      <c r="AW725" s="1" t="n">
        <v>1</v>
      </c>
      <c r="AX725" s="1"/>
      <c r="AY725" s="1"/>
      <c r="AZ725" s="1"/>
      <c r="BA725" s="1"/>
      <c r="BB725" s="1" t="n">
        <v>75</v>
      </c>
      <c r="BC725" s="1" t="n">
        <v>88</v>
      </c>
      <c r="BD725" s="1"/>
      <c r="BE725" s="1" t="s">
        <v>12964</v>
      </c>
      <c r="BF725" s="1" t="str">
        <f aca="false">HYPERLINK("http://dx.doi.org/10.17645/up.v6i1.3633","http://dx.doi.org/10.17645/up.v6i1.3633")</f>
        <v>http://dx.doi.org/10.17645/up.v6i1.3633</v>
      </c>
      <c r="BG725" s="1"/>
      <c r="BH725" s="1"/>
      <c r="BI725" s="1" t="n">
        <v>14</v>
      </c>
      <c r="BJ725" s="1" t="s">
        <v>11799</v>
      </c>
      <c r="BK725" s="1" t="s">
        <v>253</v>
      </c>
      <c r="BL725" s="1" t="s">
        <v>11799</v>
      </c>
      <c r="BM725" s="1" t="s">
        <v>12965</v>
      </c>
      <c r="BN725" s="1"/>
      <c r="BO725" s="1" t="s">
        <v>401</v>
      </c>
      <c r="BP725" s="1"/>
      <c r="BQ725" s="1"/>
      <c r="BR725" s="1" t="s">
        <v>103</v>
      </c>
      <c r="BS725" s="1" t="s">
        <v>12966</v>
      </c>
      <c r="BT725" s="1" t="str">
        <f aca="false">HYPERLINK("https%3A%2F%2Fwww.webofscience.com%2Fwos%2Fwoscc%2Ffull-record%2FWOS:000646411900003","View Full Record in Web of Science")</f>
        <v>View Full Record in Web of Science</v>
      </c>
    </row>
    <row r="726" customFormat="false" ht="12.75" hidden="false" customHeight="false" outlineLevel="0" collapsed="false">
      <c r="A726" s="1" t="s">
        <v>72</v>
      </c>
      <c r="B726" s="1" t="s">
        <v>12967</v>
      </c>
      <c r="C726" s="1"/>
      <c r="D726" s="1" t="s">
        <v>12968</v>
      </c>
      <c r="E726" s="1"/>
      <c r="F726" s="1" t="s">
        <v>12969</v>
      </c>
      <c r="G726" s="1"/>
      <c r="H726" s="1"/>
      <c r="I726" s="1" t="s">
        <v>12970</v>
      </c>
      <c r="J726" s="1" t="s">
        <v>12971</v>
      </c>
      <c r="K726" s="1" t="s">
        <v>4236</v>
      </c>
      <c r="L726" s="1"/>
      <c r="M726" s="1" t="s">
        <v>78</v>
      </c>
      <c r="N726" s="1" t="s">
        <v>79</v>
      </c>
      <c r="O726" s="1" t="s">
        <v>12972</v>
      </c>
      <c r="P726" s="1" t="s">
        <v>4111</v>
      </c>
      <c r="Q726" s="1" t="s">
        <v>320</v>
      </c>
      <c r="R726" s="1" t="s">
        <v>4239</v>
      </c>
      <c r="S726" s="1"/>
      <c r="T726" s="1" t="s">
        <v>12973</v>
      </c>
      <c r="U726" s="1" t="s">
        <v>12974</v>
      </c>
      <c r="V726" s="1" t="s">
        <v>12975</v>
      </c>
      <c r="W726" s="1" t="s">
        <v>12976</v>
      </c>
      <c r="X726" s="1" t="s">
        <v>12977</v>
      </c>
      <c r="Y726" s="1" t="s">
        <v>12978</v>
      </c>
      <c r="Z726" s="1" t="s">
        <v>12979</v>
      </c>
      <c r="AA726" s="1" t="s">
        <v>12980</v>
      </c>
      <c r="AB726" s="1" t="s">
        <v>12981</v>
      </c>
      <c r="AC726" s="1" t="s">
        <v>12982</v>
      </c>
      <c r="AD726" s="1" t="s">
        <v>12983</v>
      </c>
      <c r="AE726" s="1" t="s">
        <v>12984</v>
      </c>
      <c r="AF726" s="1"/>
      <c r="AG726" s="1" t="n">
        <v>26</v>
      </c>
      <c r="AH726" s="1" t="n">
        <v>0</v>
      </c>
      <c r="AI726" s="1" t="n">
        <v>0</v>
      </c>
      <c r="AJ726" s="1" t="n">
        <v>0</v>
      </c>
      <c r="AK726" s="1" t="n">
        <v>5</v>
      </c>
      <c r="AL726" s="1" t="s">
        <v>4250</v>
      </c>
      <c r="AM726" s="1" t="s">
        <v>4251</v>
      </c>
      <c r="AN726" s="1" t="s">
        <v>4252</v>
      </c>
      <c r="AO726" s="1" t="s">
        <v>4253</v>
      </c>
      <c r="AP726" s="1" t="s">
        <v>4254</v>
      </c>
      <c r="AQ726" s="1" t="s">
        <v>12985</v>
      </c>
      <c r="AR726" s="1" t="s">
        <v>4256</v>
      </c>
      <c r="AS726" s="1"/>
      <c r="AT726" s="1"/>
      <c r="AU726" s="1" t="n">
        <v>2020</v>
      </c>
      <c r="AV726" s="1" t="n">
        <v>11533</v>
      </c>
      <c r="AW726" s="1"/>
      <c r="AX726" s="1"/>
      <c r="AY726" s="1"/>
      <c r="AZ726" s="1"/>
      <c r="BA726" s="1"/>
      <c r="BB726" s="1"/>
      <c r="BC726" s="1"/>
      <c r="BD726" s="1" t="s">
        <v>12986</v>
      </c>
      <c r="BE726" s="1" t="s">
        <v>12987</v>
      </c>
      <c r="BF726" s="1" t="str">
        <f aca="false">HYPERLINK("http://dx.doi.org/10.1117/12.2574716","http://dx.doi.org/10.1117/12.2574716")</f>
        <v>http://dx.doi.org/10.1117/12.2574716</v>
      </c>
      <c r="BG726" s="1"/>
      <c r="BH726" s="1"/>
      <c r="BI726" s="1" t="n">
        <v>10</v>
      </c>
      <c r="BJ726" s="1" t="s">
        <v>12988</v>
      </c>
      <c r="BK726" s="1" t="s">
        <v>100</v>
      </c>
      <c r="BL726" s="1" t="s">
        <v>12988</v>
      </c>
      <c r="BM726" s="1" t="s">
        <v>12989</v>
      </c>
      <c r="BN726" s="1"/>
      <c r="BO726" s="1"/>
      <c r="BP726" s="1"/>
      <c r="BQ726" s="1"/>
      <c r="BR726" s="1" t="s">
        <v>103</v>
      </c>
      <c r="BS726" s="1" t="s">
        <v>12990</v>
      </c>
      <c r="BT726" s="1" t="str">
        <f aca="false">HYPERLINK("https%3A%2F%2Fwww.webofscience.com%2Fwos%2Fwoscc%2Ffull-record%2FWOS:000625211400011","View Full Record in Web of Science")</f>
        <v>View Full Record in Web of Science</v>
      </c>
    </row>
    <row r="727" customFormat="false" ht="12.75" hidden="false" customHeight="false" outlineLevel="0" collapsed="false">
      <c r="A727" s="1" t="s">
        <v>181</v>
      </c>
      <c r="B727" s="1" t="s">
        <v>12991</v>
      </c>
      <c r="C727" s="1"/>
      <c r="D727" s="1"/>
      <c r="E727" s="1"/>
      <c r="F727" s="1" t="s">
        <v>12992</v>
      </c>
      <c r="G727" s="1"/>
      <c r="H727" s="1"/>
      <c r="I727" s="1" t="s">
        <v>12993</v>
      </c>
      <c r="J727" s="1" t="s">
        <v>3481</v>
      </c>
      <c r="K727" s="1"/>
      <c r="L727" s="1"/>
      <c r="M727" s="1" t="s">
        <v>78</v>
      </c>
      <c r="N727" s="1" t="s">
        <v>618</v>
      </c>
      <c r="O727" s="1"/>
      <c r="P727" s="1"/>
      <c r="Q727" s="1"/>
      <c r="R727" s="1"/>
      <c r="S727" s="1"/>
      <c r="T727" s="1" t="s">
        <v>12994</v>
      </c>
      <c r="U727" s="1" t="s">
        <v>12995</v>
      </c>
      <c r="V727" s="1" t="s">
        <v>12996</v>
      </c>
      <c r="W727" s="1" t="s">
        <v>12997</v>
      </c>
      <c r="X727" s="1" t="s">
        <v>6305</v>
      </c>
      <c r="Y727" s="1" t="s">
        <v>10729</v>
      </c>
      <c r="Z727" s="1" t="s">
        <v>12998</v>
      </c>
      <c r="AA727" s="1" t="s">
        <v>10990</v>
      </c>
      <c r="AB727" s="1" t="s">
        <v>12999</v>
      </c>
      <c r="AC727" s="1" t="s">
        <v>10359</v>
      </c>
      <c r="AD727" s="1" t="s">
        <v>10359</v>
      </c>
      <c r="AE727" s="1" t="s">
        <v>10360</v>
      </c>
      <c r="AF727" s="1"/>
      <c r="AG727" s="1" t="n">
        <v>183</v>
      </c>
      <c r="AH727" s="1" t="n">
        <v>5</v>
      </c>
      <c r="AI727" s="1" t="n">
        <v>6</v>
      </c>
      <c r="AJ727" s="1" t="n">
        <v>6</v>
      </c>
      <c r="AK727" s="1" t="n">
        <v>37</v>
      </c>
      <c r="AL727" s="1" t="s">
        <v>367</v>
      </c>
      <c r="AM727" s="1" t="s">
        <v>368</v>
      </c>
      <c r="AN727" s="1" t="s">
        <v>369</v>
      </c>
      <c r="AO727" s="1"/>
      <c r="AP727" s="1" t="s">
        <v>3492</v>
      </c>
      <c r="AQ727" s="1"/>
      <c r="AR727" s="1" t="s">
        <v>3493</v>
      </c>
      <c r="AS727" s="1" t="s">
        <v>3494</v>
      </c>
      <c r="AT727" s="1" t="s">
        <v>711</v>
      </c>
      <c r="AU727" s="1" t="n">
        <v>2022</v>
      </c>
      <c r="AV727" s="1" t="n">
        <v>22</v>
      </c>
      <c r="AW727" s="1" t="n">
        <v>15</v>
      </c>
      <c r="AX727" s="1"/>
      <c r="AY727" s="1"/>
      <c r="AZ727" s="1"/>
      <c r="BA727" s="1"/>
      <c r="BB727" s="1"/>
      <c r="BC727" s="1"/>
      <c r="BD727" s="1" t="n">
        <v>5544</v>
      </c>
      <c r="BE727" s="1" t="s">
        <v>13000</v>
      </c>
      <c r="BF727" s="1" t="str">
        <f aca="false">HYPERLINK("http://dx.doi.org/10.3390/s22155544","http://dx.doi.org/10.3390/s22155544")</f>
        <v>http://dx.doi.org/10.3390/s22155544</v>
      </c>
      <c r="BG727" s="1"/>
      <c r="BH727" s="1"/>
      <c r="BI727" s="1" t="n">
        <v>33</v>
      </c>
      <c r="BJ727" s="1" t="s">
        <v>3496</v>
      </c>
      <c r="BK727" s="1" t="s">
        <v>204</v>
      </c>
      <c r="BL727" s="1" t="s">
        <v>3497</v>
      </c>
      <c r="BM727" s="1" t="s">
        <v>13001</v>
      </c>
      <c r="BN727" s="1" t="n">
        <v>35898044</v>
      </c>
      <c r="BO727" s="1" t="s">
        <v>401</v>
      </c>
      <c r="BP727" s="1"/>
      <c r="BQ727" s="1"/>
      <c r="BR727" s="1" t="s">
        <v>103</v>
      </c>
      <c r="BS727" s="1" t="s">
        <v>13002</v>
      </c>
      <c r="BT727" s="1" t="str">
        <f aca="false">HYPERLINK("https%3A%2F%2Fwww.webofscience.com%2Fwos%2Fwoscc%2Ffull-record%2FWOS:000839768900001","View Full Record in Web of Science")</f>
        <v>View Full Record in Web of Science</v>
      </c>
    </row>
    <row r="728" customFormat="false" ht="12.75" hidden="false" customHeight="false" outlineLevel="0" collapsed="false">
      <c r="A728" s="1" t="s">
        <v>72</v>
      </c>
      <c r="B728" s="1" t="s">
        <v>13003</v>
      </c>
      <c r="C728" s="1"/>
      <c r="D728" s="1"/>
      <c r="E728" s="1" t="s">
        <v>106</v>
      </c>
      <c r="F728" s="1" t="s">
        <v>13004</v>
      </c>
      <c r="G728" s="1"/>
      <c r="H728" s="1"/>
      <c r="I728" s="1" t="s">
        <v>13005</v>
      </c>
      <c r="J728" s="1" t="s">
        <v>13006</v>
      </c>
      <c r="K728" s="1"/>
      <c r="L728" s="1"/>
      <c r="M728" s="1" t="s">
        <v>78</v>
      </c>
      <c r="N728" s="1" t="s">
        <v>79</v>
      </c>
      <c r="O728" s="1" t="s">
        <v>13007</v>
      </c>
      <c r="P728" s="1" t="s">
        <v>13008</v>
      </c>
      <c r="Q728" s="1" t="s">
        <v>6016</v>
      </c>
      <c r="R728" s="1" t="s">
        <v>13009</v>
      </c>
      <c r="S728" s="1"/>
      <c r="T728" s="1" t="s">
        <v>13010</v>
      </c>
      <c r="U728" s="1" t="s">
        <v>13011</v>
      </c>
      <c r="V728" s="1" t="s">
        <v>13012</v>
      </c>
      <c r="W728" s="1" t="s">
        <v>13013</v>
      </c>
      <c r="X728" s="1" t="s">
        <v>13014</v>
      </c>
      <c r="Y728" s="1" t="s">
        <v>13015</v>
      </c>
      <c r="Z728" s="1" t="s">
        <v>13016</v>
      </c>
      <c r="AA728" s="1" t="s">
        <v>13017</v>
      </c>
      <c r="AB728" s="1"/>
      <c r="AC728" s="1" t="s">
        <v>13018</v>
      </c>
      <c r="AD728" s="1" t="s">
        <v>11955</v>
      </c>
      <c r="AE728" s="1" t="s">
        <v>13019</v>
      </c>
      <c r="AF728" s="1"/>
      <c r="AG728" s="1" t="n">
        <v>23</v>
      </c>
      <c r="AH728" s="1" t="n">
        <v>0</v>
      </c>
      <c r="AI728" s="1" t="n">
        <v>0</v>
      </c>
      <c r="AJ728" s="1" t="n">
        <v>1</v>
      </c>
      <c r="AK728" s="1" t="n">
        <v>4</v>
      </c>
      <c r="AL728" s="1" t="s">
        <v>106</v>
      </c>
      <c r="AM728" s="1" t="s">
        <v>95</v>
      </c>
      <c r="AN728" s="1" t="s">
        <v>122</v>
      </c>
      <c r="AO728" s="1"/>
      <c r="AP728" s="1"/>
      <c r="AQ728" s="1"/>
      <c r="AR728" s="1"/>
      <c r="AS728" s="1"/>
      <c r="AT728" s="1"/>
      <c r="AU728" s="1" t="n">
        <v>2022</v>
      </c>
      <c r="AV728" s="1"/>
      <c r="AW728" s="1"/>
      <c r="AX728" s="1"/>
      <c r="AY728" s="1"/>
      <c r="AZ728" s="1"/>
      <c r="BA728" s="1"/>
      <c r="BB728" s="1" t="n">
        <v>41</v>
      </c>
      <c r="BC728" s="1" t="n">
        <v>45</v>
      </c>
      <c r="BD728" s="1"/>
      <c r="BE728" s="1" t="s">
        <v>13020</v>
      </c>
      <c r="BF728" s="1" t="str">
        <f aca="false">HYPERLINK("http://dx.doi.org/10.1145/3528579.3529173","http://dx.doi.org/10.1145/3528579.3529173")</f>
        <v>http://dx.doi.org/10.1145/3528579.3529173</v>
      </c>
      <c r="BG728" s="1"/>
      <c r="BH728" s="1"/>
      <c r="BI728" s="1" t="n">
        <v>5</v>
      </c>
      <c r="BJ728" s="1" t="s">
        <v>252</v>
      </c>
      <c r="BK728" s="1" t="s">
        <v>100</v>
      </c>
      <c r="BL728" s="1" t="s">
        <v>101</v>
      </c>
      <c r="BM728" s="1" t="s">
        <v>13021</v>
      </c>
      <c r="BN728" s="1"/>
      <c r="BO728" s="1" t="s">
        <v>13022</v>
      </c>
      <c r="BP728" s="1"/>
      <c r="BQ728" s="1"/>
      <c r="BR728" s="1" t="s">
        <v>103</v>
      </c>
      <c r="BS728" s="1" t="s">
        <v>13023</v>
      </c>
      <c r="BT728" s="1" t="str">
        <f aca="false">HYPERLINK("https%3A%2F%2Fwww.webofscience.com%2Fwos%2Fwoscc%2Ffull-record%2FWOS:000852492100006","View Full Record in Web of Science")</f>
        <v>View Full Record in Web of Science</v>
      </c>
    </row>
    <row r="729" customFormat="false" ht="12.75" hidden="false" customHeight="false" outlineLevel="0" collapsed="false">
      <c r="A729" s="1" t="s">
        <v>72</v>
      </c>
      <c r="B729" s="1" t="s">
        <v>13024</v>
      </c>
      <c r="C729" s="1"/>
      <c r="D729" s="1" t="s">
        <v>13025</v>
      </c>
      <c r="E729" s="1"/>
      <c r="F729" s="1" t="s">
        <v>13026</v>
      </c>
      <c r="G729" s="1"/>
      <c r="H729" s="1"/>
      <c r="I729" s="1" t="s">
        <v>13027</v>
      </c>
      <c r="J729" s="1" t="s">
        <v>13028</v>
      </c>
      <c r="K729" s="1" t="s">
        <v>976</v>
      </c>
      <c r="L729" s="1"/>
      <c r="M729" s="1" t="s">
        <v>78</v>
      </c>
      <c r="N729" s="1" t="s">
        <v>79</v>
      </c>
      <c r="O729" s="1" t="s">
        <v>13029</v>
      </c>
      <c r="P729" s="1" t="s">
        <v>13030</v>
      </c>
      <c r="Q729" s="1" t="s">
        <v>320</v>
      </c>
      <c r="R729" s="1" t="s">
        <v>13031</v>
      </c>
      <c r="S729" s="1"/>
      <c r="T729" s="1" t="s">
        <v>13032</v>
      </c>
      <c r="U729" s="1" t="s">
        <v>13033</v>
      </c>
      <c r="V729" s="1" t="s">
        <v>13034</v>
      </c>
      <c r="W729" s="1" t="s">
        <v>13035</v>
      </c>
      <c r="X729" s="1" t="s">
        <v>13036</v>
      </c>
      <c r="Y729" s="1" t="s">
        <v>13037</v>
      </c>
      <c r="Z729" s="1" t="s">
        <v>13038</v>
      </c>
      <c r="AA729" s="1" t="s">
        <v>5339</v>
      </c>
      <c r="AB729" s="1" t="s">
        <v>11849</v>
      </c>
      <c r="AC729" s="1" t="s">
        <v>2493</v>
      </c>
      <c r="AD729" s="1" t="s">
        <v>2493</v>
      </c>
      <c r="AE729" s="1" t="s">
        <v>13039</v>
      </c>
      <c r="AF729" s="1"/>
      <c r="AG729" s="1" t="n">
        <v>29</v>
      </c>
      <c r="AH729" s="1" t="n">
        <v>14</v>
      </c>
      <c r="AI729" s="1" t="n">
        <v>16</v>
      </c>
      <c r="AJ729" s="1" t="n">
        <v>0</v>
      </c>
      <c r="AK729" s="1" t="n">
        <v>4</v>
      </c>
      <c r="AL729" s="1" t="s">
        <v>302</v>
      </c>
      <c r="AM729" s="1" t="s">
        <v>303</v>
      </c>
      <c r="AN729" s="1" t="s">
        <v>304</v>
      </c>
      <c r="AO729" s="1" t="s">
        <v>989</v>
      </c>
      <c r="AP729" s="1" t="s">
        <v>990</v>
      </c>
      <c r="AQ729" s="1" t="s">
        <v>13040</v>
      </c>
      <c r="AR729" s="1" t="s">
        <v>992</v>
      </c>
      <c r="AS729" s="1"/>
      <c r="AT729" s="1"/>
      <c r="AU729" s="1" t="n">
        <v>2021</v>
      </c>
      <c r="AV729" s="1" t="n">
        <v>12685</v>
      </c>
      <c r="AW729" s="1"/>
      <c r="AX729" s="1"/>
      <c r="AY729" s="1"/>
      <c r="AZ729" s="1"/>
      <c r="BA729" s="1"/>
      <c r="BB729" s="1" t="n">
        <v>19</v>
      </c>
      <c r="BC729" s="1" t="n">
        <v>36</v>
      </c>
      <c r="BD729" s="1"/>
      <c r="BE729" s="1" t="s">
        <v>13041</v>
      </c>
      <c r="BF729" s="1" t="str">
        <f aca="false">HYPERLINK("http://dx.doi.org/10.1007/978-3-030-73128-1_2","http://dx.doi.org/10.1007/978-3-030-73128-1_2")</f>
        <v>http://dx.doi.org/10.1007/978-3-030-73128-1_2</v>
      </c>
      <c r="BG729" s="1"/>
      <c r="BH729" s="1"/>
      <c r="BI729" s="1" t="n">
        <v>18</v>
      </c>
      <c r="BJ729" s="1" t="s">
        <v>11675</v>
      </c>
      <c r="BK729" s="1" t="s">
        <v>100</v>
      </c>
      <c r="BL729" s="1" t="s">
        <v>101</v>
      </c>
      <c r="BM729" s="1" t="s">
        <v>13042</v>
      </c>
      <c r="BN729" s="1"/>
      <c r="BO729" s="1"/>
      <c r="BP729" s="1"/>
      <c r="BQ729" s="1"/>
      <c r="BR729" s="1" t="s">
        <v>103</v>
      </c>
      <c r="BS729" s="1" t="s">
        <v>13043</v>
      </c>
      <c r="BT729" s="1" t="str">
        <f aca="false">HYPERLINK("https%3A%2F%2Fwww.webofscience.com%2Fwos%2Fwoscc%2Ffull-record%2FWOS:000788007000002","View Full Record in Web of Science")</f>
        <v>View Full Record in Web of Science</v>
      </c>
    </row>
    <row r="730" customFormat="false" ht="12.75" hidden="false" customHeight="false" outlineLevel="0" collapsed="false">
      <c r="A730" s="1" t="s">
        <v>181</v>
      </c>
      <c r="B730" s="1" t="s">
        <v>13044</v>
      </c>
      <c r="C730" s="1"/>
      <c r="D730" s="1"/>
      <c r="E730" s="1"/>
      <c r="F730" s="1" t="s">
        <v>13045</v>
      </c>
      <c r="G730" s="1"/>
      <c r="H730" s="1"/>
      <c r="I730" s="1" t="s">
        <v>13046</v>
      </c>
      <c r="J730" s="1" t="s">
        <v>523</v>
      </c>
      <c r="K730" s="1"/>
      <c r="L730" s="1"/>
      <c r="M730" s="1" t="s">
        <v>78</v>
      </c>
      <c r="N730" s="1" t="s">
        <v>186</v>
      </c>
      <c r="O730" s="1"/>
      <c r="P730" s="1"/>
      <c r="Q730" s="1"/>
      <c r="R730" s="1"/>
      <c r="S730" s="1"/>
      <c r="T730" s="1" t="s">
        <v>13047</v>
      </c>
      <c r="U730" s="1" t="s">
        <v>13048</v>
      </c>
      <c r="V730" s="1" t="s">
        <v>13049</v>
      </c>
      <c r="W730" s="1" t="s">
        <v>13050</v>
      </c>
      <c r="X730" s="1" t="s">
        <v>13051</v>
      </c>
      <c r="Y730" s="1" t="s">
        <v>13052</v>
      </c>
      <c r="Z730" s="1" t="s">
        <v>13053</v>
      </c>
      <c r="AA730" s="1" t="s">
        <v>13054</v>
      </c>
      <c r="AB730" s="1" t="s">
        <v>13055</v>
      </c>
      <c r="AC730" s="1" t="s">
        <v>2913</v>
      </c>
      <c r="AD730" s="1" t="s">
        <v>391</v>
      </c>
      <c r="AE730" s="1" t="s">
        <v>13056</v>
      </c>
      <c r="AF730" s="1"/>
      <c r="AG730" s="1" t="n">
        <v>61</v>
      </c>
      <c r="AH730" s="1" t="n">
        <v>16</v>
      </c>
      <c r="AI730" s="1" t="n">
        <v>16</v>
      </c>
      <c r="AJ730" s="1" t="n">
        <v>1</v>
      </c>
      <c r="AK730" s="1" t="n">
        <v>12</v>
      </c>
      <c r="AL730" s="1" t="s">
        <v>367</v>
      </c>
      <c r="AM730" s="1" t="s">
        <v>368</v>
      </c>
      <c r="AN730" s="1" t="s">
        <v>369</v>
      </c>
      <c r="AO730" s="1"/>
      <c r="AP730" s="1" t="s">
        <v>534</v>
      </c>
      <c r="AQ730" s="1"/>
      <c r="AR730" s="1" t="s">
        <v>535</v>
      </c>
      <c r="AS730" s="1" t="s">
        <v>536</v>
      </c>
      <c r="AT730" s="1" t="s">
        <v>711</v>
      </c>
      <c r="AU730" s="1" t="n">
        <v>2020</v>
      </c>
      <c r="AV730" s="1" t="n">
        <v>10</v>
      </c>
      <c r="AW730" s="1" t="n">
        <v>15</v>
      </c>
      <c r="AX730" s="1"/>
      <c r="AY730" s="1"/>
      <c r="AZ730" s="1"/>
      <c r="BA730" s="1"/>
      <c r="BB730" s="1"/>
      <c r="BC730" s="1"/>
      <c r="BD730" s="1" t="n">
        <v>5351</v>
      </c>
      <c r="BE730" s="1" t="s">
        <v>13057</v>
      </c>
      <c r="BF730" s="1" t="str">
        <f aca="false">HYPERLINK("http://dx.doi.org/10.3390/app10155351","http://dx.doi.org/10.3390/app10155351")</f>
        <v>http://dx.doi.org/10.3390/app10155351</v>
      </c>
      <c r="BG730" s="1"/>
      <c r="BH730" s="1"/>
      <c r="BI730" s="1" t="n">
        <v>13</v>
      </c>
      <c r="BJ730" s="1" t="s">
        <v>539</v>
      </c>
      <c r="BK730" s="1" t="s">
        <v>204</v>
      </c>
      <c r="BL730" s="1" t="s">
        <v>540</v>
      </c>
      <c r="BM730" s="1" t="s">
        <v>13058</v>
      </c>
      <c r="BN730" s="1"/>
      <c r="BO730" s="1" t="s">
        <v>401</v>
      </c>
      <c r="BP730" s="1"/>
      <c r="BQ730" s="1"/>
      <c r="BR730" s="1" t="s">
        <v>103</v>
      </c>
      <c r="BS730" s="1" t="s">
        <v>13059</v>
      </c>
      <c r="BT730" s="1" t="str">
        <f aca="false">HYPERLINK("https%3A%2F%2Fwww.webofscience.com%2Fwos%2Fwoscc%2Ffull-record%2FWOS:000567650800001","View Full Record in Web of Science")</f>
        <v>View Full Record in Web of Science</v>
      </c>
    </row>
    <row r="731" customFormat="false" ht="12.75" hidden="false" customHeight="false" outlineLevel="0" collapsed="false">
      <c r="A731" s="1" t="s">
        <v>181</v>
      </c>
      <c r="B731" s="1" t="s">
        <v>13060</v>
      </c>
      <c r="C731" s="1"/>
      <c r="D731" s="1"/>
      <c r="E731" s="1"/>
      <c r="F731" s="1" t="s">
        <v>13061</v>
      </c>
      <c r="G731" s="1"/>
      <c r="H731" s="1"/>
      <c r="I731" s="1" t="s">
        <v>13062</v>
      </c>
      <c r="J731" s="1" t="s">
        <v>12646</v>
      </c>
      <c r="K731" s="1"/>
      <c r="L731" s="1"/>
      <c r="M731" s="1" t="s">
        <v>78</v>
      </c>
      <c r="N731" s="1" t="s">
        <v>186</v>
      </c>
      <c r="O731" s="1"/>
      <c r="P731" s="1"/>
      <c r="Q731" s="1"/>
      <c r="R731" s="1"/>
      <c r="S731" s="1"/>
      <c r="T731" s="1" t="s">
        <v>13063</v>
      </c>
      <c r="U731" s="1" t="s">
        <v>13064</v>
      </c>
      <c r="V731" s="1" t="s">
        <v>13065</v>
      </c>
      <c r="W731" s="1" t="s">
        <v>13066</v>
      </c>
      <c r="X731" s="1" t="s">
        <v>12651</v>
      </c>
      <c r="Y731" s="1" t="s">
        <v>12652</v>
      </c>
      <c r="Z731" s="1" t="s">
        <v>13067</v>
      </c>
      <c r="AA731" s="1" t="s">
        <v>5746</v>
      </c>
      <c r="AB731" s="1"/>
      <c r="AC731" s="1" t="s">
        <v>268</v>
      </c>
      <c r="AD731" s="1" t="s">
        <v>268</v>
      </c>
      <c r="AE731" s="1" t="s">
        <v>269</v>
      </c>
      <c r="AF731" s="1"/>
      <c r="AG731" s="1" t="n">
        <v>59</v>
      </c>
      <c r="AH731" s="1" t="n">
        <v>0</v>
      </c>
      <c r="AI731" s="1" t="n">
        <v>0</v>
      </c>
      <c r="AJ731" s="1" t="n">
        <v>0</v>
      </c>
      <c r="AK731" s="1" t="n">
        <v>0</v>
      </c>
      <c r="AL731" s="1" t="s">
        <v>679</v>
      </c>
      <c r="AM731" s="1" t="s">
        <v>95</v>
      </c>
      <c r="AN731" s="1" t="s">
        <v>803</v>
      </c>
      <c r="AO731" s="1" t="s">
        <v>12657</v>
      </c>
      <c r="AP731" s="1" t="s">
        <v>12658</v>
      </c>
      <c r="AQ731" s="1"/>
      <c r="AR731" s="1" t="s">
        <v>12659</v>
      </c>
      <c r="AS731" s="1" t="s">
        <v>12660</v>
      </c>
      <c r="AT731" s="1" t="s">
        <v>277</v>
      </c>
      <c r="AU731" s="1" t="n">
        <v>2025</v>
      </c>
      <c r="AV731" s="1" t="n">
        <v>74</v>
      </c>
      <c r="AW731" s="1" t="n">
        <v>1</v>
      </c>
      <c r="AX731" s="1"/>
      <c r="AY731" s="1"/>
      <c r="AZ731" s="1"/>
      <c r="BA731" s="1"/>
      <c r="BB731" s="1"/>
      <c r="BC731" s="1"/>
      <c r="BD731" s="1" t="n">
        <v>21</v>
      </c>
      <c r="BE731" s="1" t="s">
        <v>13068</v>
      </c>
      <c r="BF731" s="1" t="str">
        <f aca="false">HYPERLINK("http://dx.doi.org/10.1007/s00168-024-01346-2","http://dx.doi.org/10.1007/s00168-024-01346-2")</f>
        <v>http://dx.doi.org/10.1007/s00168-024-01346-2</v>
      </c>
      <c r="BG731" s="1"/>
      <c r="BH731" s="1"/>
      <c r="BI731" s="1" t="n">
        <v>36</v>
      </c>
      <c r="BJ731" s="1" t="s">
        <v>5757</v>
      </c>
      <c r="BK731" s="1" t="s">
        <v>610</v>
      </c>
      <c r="BL731" s="1" t="s">
        <v>5758</v>
      </c>
      <c r="BM731" s="1" t="s">
        <v>13069</v>
      </c>
      <c r="BN731" s="1"/>
      <c r="BO731" s="1" t="s">
        <v>282</v>
      </c>
      <c r="BP731" s="1"/>
      <c r="BQ731" s="1"/>
      <c r="BR731" s="1" t="s">
        <v>103</v>
      </c>
      <c r="BS731" s="1" t="s">
        <v>13070</v>
      </c>
      <c r="BT731" s="1" t="str">
        <f aca="false">HYPERLINK("https%3A%2F%2Fwww.webofscience.com%2Fwos%2Fwoscc%2Ffull-record%2FWOS:001410385300001","View Full Record in Web of Science")</f>
        <v>View Full Record in Web of Science</v>
      </c>
    </row>
    <row r="732" customFormat="false" ht="12.75" hidden="false" customHeight="false" outlineLevel="0" collapsed="false">
      <c r="A732" s="1" t="s">
        <v>181</v>
      </c>
      <c r="B732" s="1" t="s">
        <v>13071</v>
      </c>
      <c r="C732" s="1"/>
      <c r="D732" s="1"/>
      <c r="E732" s="1"/>
      <c r="F732" s="1" t="s">
        <v>13072</v>
      </c>
      <c r="G732" s="1"/>
      <c r="H732" s="1"/>
      <c r="I732" s="1" t="s">
        <v>13073</v>
      </c>
      <c r="J732" s="1" t="s">
        <v>13074</v>
      </c>
      <c r="K732" s="1"/>
      <c r="L732" s="1"/>
      <c r="M732" s="1" t="s">
        <v>78</v>
      </c>
      <c r="N732" s="1" t="s">
        <v>186</v>
      </c>
      <c r="O732" s="1"/>
      <c r="P732" s="1"/>
      <c r="Q732" s="1"/>
      <c r="R732" s="1"/>
      <c r="S732" s="1"/>
      <c r="T732" s="1" t="s">
        <v>13075</v>
      </c>
      <c r="U732" s="1"/>
      <c r="V732" s="1" t="s">
        <v>13076</v>
      </c>
      <c r="W732" s="1" t="s">
        <v>13077</v>
      </c>
      <c r="X732" s="1" t="s">
        <v>13078</v>
      </c>
      <c r="Y732" s="1" t="s">
        <v>13079</v>
      </c>
      <c r="Z732" s="1" t="s">
        <v>13080</v>
      </c>
      <c r="AA732" s="1" t="s">
        <v>13081</v>
      </c>
      <c r="AB732" s="1" t="s">
        <v>13082</v>
      </c>
      <c r="AC732" s="1" t="s">
        <v>13083</v>
      </c>
      <c r="AD732" s="1" t="s">
        <v>13084</v>
      </c>
      <c r="AE732" s="1" t="s">
        <v>13085</v>
      </c>
      <c r="AF732" s="1"/>
      <c r="AG732" s="1" t="n">
        <v>63</v>
      </c>
      <c r="AH732" s="1" t="n">
        <v>8</v>
      </c>
      <c r="AI732" s="1" t="n">
        <v>8</v>
      </c>
      <c r="AJ732" s="1" t="n">
        <v>5</v>
      </c>
      <c r="AK732" s="1" t="n">
        <v>19</v>
      </c>
      <c r="AL732" s="1" t="s">
        <v>600</v>
      </c>
      <c r="AM732" s="1" t="s">
        <v>601</v>
      </c>
      <c r="AN732" s="1" t="s">
        <v>602</v>
      </c>
      <c r="AO732" s="1" t="s">
        <v>13086</v>
      </c>
      <c r="AP732" s="1" t="s">
        <v>13087</v>
      </c>
      <c r="AQ732" s="1"/>
      <c r="AR732" s="1" t="s">
        <v>13088</v>
      </c>
      <c r="AS732" s="1" t="s">
        <v>13089</v>
      </c>
      <c r="AT732" s="1" t="s">
        <v>808</v>
      </c>
      <c r="AU732" s="1" t="n">
        <v>2023</v>
      </c>
      <c r="AV732" s="1" t="n">
        <v>17</v>
      </c>
      <c r="AW732" s="1" t="n">
        <v>3</v>
      </c>
      <c r="AX732" s="1"/>
      <c r="AY732" s="1"/>
      <c r="AZ732" s="1"/>
      <c r="BA732" s="1"/>
      <c r="BB732" s="1" t="n">
        <v>608</v>
      </c>
      <c r="BC732" s="1" t="n">
        <v>626</v>
      </c>
      <c r="BD732" s="1"/>
      <c r="BE732" s="1" t="s">
        <v>13090</v>
      </c>
      <c r="BF732" s="1" t="str">
        <f aca="false">HYPERLINK("http://dx.doi.org/10.1111/rego.12465","http://dx.doi.org/10.1111/rego.12465")</f>
        <v>http://dx.doi.org/10.1111/rego.12465</v>
      </c>
      <c r="BG732" s="1"/>
      <c r="BH732" s="1" t="s">
        <v>1934</v>
      </c>
      <c r="BI732" s="1" t="n">
        <v>19</v>
      </c>
      <c r="BJ732" s="1" t="s">
        <v>13091</v>
      </c>
      <c r="BK732" s="1" t="s">
        <v>610</v>
      </c>
      <c r="BL732" s="1" t="s">
        <v>13092</v>
      </c>
      <c r="BM732" s="1" t="s">
        <v>13093</v>
      </c>
      <c r="BN732" s="1"/>
      <c r="BO732" s="1" t="s">
        <v>207</v>
      </c>
      <c r="BP732" s="1"/>
      <c r="BQ732" s="1"/>
      <c r="BR732" s="1" t="s">
        <v>103</v>
      </c>
      <c r="BS732" s="1" t="s">
        <v>13094</v>
      </c>
      <c r="BT732" s="1" t="str">
        <f aca="false">HYPERLINK("https%3A%2F%2Fwww.webofscience.com%2Fwos%2Fwoscc%2Ffull-record%2FWOS:000782640600001","View Full Record in Web of Science")</f>
        <v>View Full Record in Web of Science</v>
      </c>
    </row>
    <row r="733" customFormat="false" ht="12.75" hidden="false" customHeight="false" outlineLevel="0" collapsed="false">
      <c r="A733" s="1" t="s">
        <v>181</v>
      </c>
      <c r="B733" s="1" t="s">
        <v>13095</v>
      </c>
      <c r="C733" s="1"/>
      <c r="D733" s="1"/>
      <c r="E733" s="1"/>
      <c r="F733" s="1" t="s">
        <v>13096</v>
      </c>
      <c r="G733" s="1"/>
      <c r="H733" s="1"/>
      <c r="I733" s="1" t="s">
        <v>13097</v>
      </c>
      <c r="J733" s="1" t="s">
        <v>1921</v>
      </c>
      <c r="K733" s="1"/>
      <c r="L733" s="1"/>
      <c r="M733" s="1" t="s">
        <v>78</v>
      </c>
      <c r="N733" s="1" t="s">
        <v>186</v>
      </c>
      <c r="O733" s="1"/>
      <c r="P733" s="1"/>
      <c r="Q733" s="1"/>
      <c r="R733" s="1"/>
      <c r="S733" s="1"/>
      <c r="T733" s="1" t="s">
        <v>13098</v>
      </c>
      <c r="U733" s="1" t="s">
        <v>13099</v>
      </c>
      <c r="V733" s="1" t="s">
        <v>13100</v>
      </c>
      <c r="W733" s="1" t="s">
        <v>13101</v>
      </c>
      <c r="X733" s="1" t="s">
        <v>13036</v>
      </c>
      <c r="Y733" s="1" t="s">
        <v>5337</v>
      </c>
      <c r="Z733" s="1" t="s">
        <v>13102</v>
      </c>
      <c r="AA733" s="1" t="s">
        <v>5339</v>
      </c>
      <c r="AB733" s="1" t="s">
        <v>13103</v>
      </c>
      <c r="AC733" s="1" t="s">
        <v>268</v>
      </c>
      <c r="AD733" s="1" t="s">
        <v>268</v>
      </c>
      <c r="AE733" s="1" t="s">
        <v>269</v>
      </c>
      <c r="AF733" s="1"/>
      <c r="AG733" s="1" t="n">
        <v>56</v>
      </c>
      <c r="AH733" s="1" t="n">
        <v>5</v>
      </c>
      <c r="AI733" s="1" t="n">
        <v>5</v>
      </c>
      <c r="AJ733" s="1" t="n">
        <v>1</v>
      </c>
      <c r="AK733" s="1" t="n">
        <v>9</v>
      </c>
      <c r="AL733" s="1" t="s">
        <v>679</v>
      </c>
      <c r="AM733" s="1" t="s">
        <v>95</v>
      </c>
      <c r="AN733" s="1" t="s">
        <v>803</v>
      </c>
      <c r="AO733" s="1" t="s">
        <v>1929</v>
      </c>
      <c r="AP733" s="1" t="s">
        <v>1930</v>
      </c>
      <c r="AQ733" s="1"/>
      <c r="AR733" s="1" t="s">
        <v>1931</v>
      </c>
      <c r="AS733" s="1" t="s">
        <v>1932</v>
      </c>
      <c r="AT733" s="1" t="s">
        <v>277</v>
      </c>
      <c r="AU733" s="1" t="n">
        <v>2023</v>
      </c>
      <c r="AV733" s="1" t="n">
        <v>28</v>
      </c>
      <c r="AW733" s="1" t="n">
        <v>1</v>
      </c>
      <c r="AX733" s="1"/>
      <c r="AY733" s="1"/>
      <c r="AZ733" s="1" t="s">
        <v>1698</v>
      </c>
      <c r="BA733" s="1"/>
      <c r="BB733" s="1" t="n">
        <v>49</v>
      </c>
      <c r="BC733" s="1" t="n">
        <v>74</v>
      </c>
      <c r="BD733" s="1"/>
      <c r="BE733" s="1" t="s">
        <v>13104</v>
      </c>
      <c r="BF733" s="1" t="str">
        <f aca="false">HYPERLINK("http://dx.doi.org/10.1007/s00766-022-00371-x","http://dx.doi.org/10.1007/s00766-022-00371-x")</f>
        <v>http://dx.doi.org/10.1007/s00766-022-00371-x</v>
      </c>
      <c r="BG733" s="1"/>
      <c r="BH733" s="1" t="s">
        <v>1505</v>
      </c>
      <c r="BI733" s="1" t="n">
        <v>26</v>
      </c>
      <c r="BJ733" s="1" t="s">
        <v>1394</v>
      </c>
      <c r="BK733" s="1" t="s">
        <v>204</v>
      </c>
      <c r="BL733" s="1" t="s">
        <v>101</v>
      </c>
      <c r="BM733" s="1" t="s">
        <v>1935</v>
      </c>
      <c r="BN733" s="1"/>
      <c r="BO733" s="1" t="s">
        <v>876</v>
      </c>
      <c r="BP733" s="1"/>
      <c r="BQ733" s="1"/>
      <c r="BR733" s="1" t="s">
        <v>103</v>
      </c>
      <c r="BS733" s="1" t="s">
        <v>13105</v>
      </c>
      <c r="BT733" s="1" t="str">
        <f aca="false">HYPERLINK("https%3A%2F%2Fwww.webofscience.com%2Fwos%2Fwoscc%2Ffull-record%2FWOS:000753242500002","View Full Record in Web of Science")</f>
        <v>View Full Record in Web of Science</v>
      </c>
    </row>
    <row r="734" customFormat="false" ht="12.75" hidden="false" customHeight="false" outlineLevel="0" collapsed="false">
      <c r="A734" s="1" t="s">
        <v>181</v>
      </c>
      <c r="B734" s="1" t="s">
        <v>13106</v>
      </c>
      <c r="C734" s="1"/>
      <c r="D734" s="1"/>
      <c r="E734" s="1"/>
      <c r="F734" s="1" t="s">
        <v>13107</v>
      </c>
      <c r="G734" s="1"/>
      <c r="H734" s="1"/>
      <c r="I734" s="1" t="s">
        <v>13108</v>
      </c>
      <c r="J734" s="1" t="s">
        <v>5910</v>
      </c>
      <c r="K734" s="1"/>
      <c r="L734" s="1"/>
      <c r="M734" s="1" t="s">
        <v>78</v>
      </c>
      <c r="N734" s="1" t="s">
        <v>186</v>
      </c>
      <c r="O734" s="1"/>
      <c r="P734" s="1"/>
      <c r="Q734" s="1"/>
      <c r="R734" s="1"/>
      <c r="S734" s="1"/>
      <c r="T734" s="1" t="s">
        <v>13109</v>
      </c>
      <c r="U734" s="1" t="s">
        <v>13110</v>
      </c>
      <c r="V734" s="1" t="s">
        <v>13111</v>
      </c>
      <c r="W734" s="1" t="s">
        <v>13112</v>
      </c>
      <c r="X734" s="1" t="s">
        <v>13113</v>
      </c>
      <c r="Y734" s="1" t="s">
        <v>13114</v>
      </c>
      <c r="Z734" s="1" t="s">
        <v>13115</v>
      </c>
      <c r="AA734" s="1" t="s">
        <v>13116</v>
      </c>
      <c r="AB734" s="1" t="s">
        <v>13117</v>
      </c>
      <c r="AC734" s="1" t="s">
        <v>11689</v>
      </c>
      <c r="AD734" s="1" t="s">
        <v>11690</v>
      </c>
      <c r="AE734" s="1" t="s">
        <v>13118</v>
      </c>
      <c r="AF734" s="1"/>
      <c r="AG734" s="1" t="n">
        <v>77</v>
      </c>
      <c r="AH734" s="1" t="n">
        <v>9</v>
      </c>
      <c r="AI734" s="1" t="n">
        <v>9</v>
      </c>
      <c r="AJ734" s="1" t="n">
        <v>1</v>
      </c>
      <c r="AK734" s="1" t="n">
        <v>12</v>
      </c>
      <c r="AL734" s="1" t="s">
        <v>172</v>
      </c>
      <c r="AM734" s="1" t="s">
        <v>173</v>
      </c>
      <c r="AN734" s="1" t="s">
        <v>4882</v>
      </c>
      <c r="AO734" s="1" t="s">
        <v>5922</v>
      </c>
      <c r="AP734" s="1" t="s">
        <v>5923</v>
      </c>
      <c r="AQ734" s="1"/>
      <c r="AR734" s="1" t="s">
        <v>5924</v>
      </c>
      <c r="AS734" s="1" t="s">
        <v>5925</v>
      </c>
      <c r="AT734" s="1" t="s">
        <v>3432</v>
      </c>
      <c r="AU734" s="1" t="n">
        <v>2022</v>
      </c>
      <c r="AV734" s="1" t="n">
        <v>48</v>
      </c>
      <c r="AW734" s="1" t="n">
        <v>2</v>
      </c>
      <c r="AX734" s="1"/>
      <c r="AY734" s="1"/>
      <c r="AZ734" s="1"/>
      <c r="BA734" s="1"/>
      <c r="BB734" s="1" t="n">
        <v>466</v>
      </c>
      <c r="BC734" s="1" t="n">
        <v>484</v>
      </c>
      <c r="BD734" s="1"/>
      <c r="BE734" s="1" t="s">
        <v>13119</v>
      </c>
      <c r="BF734" s="1" t="str">
        <f aca="false">HYPERLINK("http://dx.doi.org/10.1109/TSE.2020.2989666","http://dx.doi.org/10.1109/TSE.2020.2989666")</f>
        <v>http://dx.doi.org/10.1109/TSE.2020.2989666</v>
      </c>
      <c r="BG734" s="1"/>
      <c r="BH734" s="1"/>
      <c r="BI734" s="1" t="n">
        <v>19</v>
      </c>
      <c r="BJ734" s="1" t="s">
        <v>5928</v>
      </c>
      <c r="BK734" s="1" t="s">
        <v>398</v>
      </c>
      <c r="BL734" s="1" t="s">
        <v>1255</v>
      </c>
      <c r="BM734" s="1" t="s">
        <v>13120</v>
      </c>
      <c r="BN734" s="1"/>
      <c r="BO734" s="1" t="s">
        <v>7573</v>
      </c>
      <c r="BP734" s="1"/>
      <c r="BQ734" s="1"/>
      <c r="BR734" s="1" t="s">
        <v>103</v>
      </c>
      <c r="BS734" s="1" t="s">
        <v>13121</v>
      </c>
      <c r="BT734" s="1" t="str">
        <f aca="false">HYPERLINK("https%3A%2F%2Fwww.webofscience.com%2Fwos%2Fwoscc%2Ffull-record%2FWOS:000756796100007","View Full Record in Web of Science")</f>
        <v>View Full Record in Web of Science</v>
      </c>
    </row>
    <row r="735" customFormat="false" ht="12.75" hidden="false" customHeight="false" outlineLevel="0" collapsed="false">
      <c r="A735" s="1" t="s">
        <v>181</v>
      </c>
      <c r="B735" s="1" t="s">
        <v>13122</v>
      </c>
      <c r="C735" s="1"/>
      <c r="D735" s="1"/>
      <c r="E735" s="1"/>
      <c r="F735" s="1" t="s">
        <v>13123</v>
      </c>
      <c r="G735" s="1"/>
      <c r="H735" s="1"/>
      <c r="I735" s="1" t="s">
        <v>13124</v>
      </c>
      <c r="J735" s="1" t="s">
        <v>13125</v>
      </c>
      <c r="K735" s="1"/>
      <c r="L735" s="1"/>
      <c r="M735" s="1" t="s">
        <v>78</v>
      </c>
      <c r="N735" s="1" t="s">
        <v>186</v>
      </c>
      <c r="O735" s="1"/>
      <c r="P735" s="1"/>
      <c r="Q735" s="1"/>
      <c r="R735" s="1"/>
      <c r="S735" s="1"/>
      <c r="T735" s="1" t="s">
        <v>13126</v>
      </c>
      <c r="U735" s="1" t="s">
        <v>13127</v>
      </c>
      <c r="V735" s="1" t="s">
        <v>13128</v>
      </c>
      <c r="W735" s="1" t="s">
        <v>13129</v>
      </c>
      <c r="X735" s="1" t="s">
        <v>13130</v>
      </c>
      <c r="Y735" s="1" t="s">
        <v>13131</v>
      </c>
      <c r="Z735" s="1"/>
      <c r="AA735" s="1" t="s">
        <v>13132</v>
      </c>
      <c r="AB735" s="1" t="s">
        <v>13133</v>
      </c>
      <c r="AC735" s="1" t="s">
        <v>13134</v>
      </c>
      <c r="AD735" s="1" t="s">
        <v>13135</v>
      </c>
      <c r="AE735" s="1" t="s">
        <v>13136</v>
      </c>
      <c r="AF735" s="1"/>
      <c r="AG735" s="1" t="n">
        <v>58</v>
      </c>
      <c r="AH735" s="1" t="n">
        <v>5</v>
      </c>
      <c r="AI735" s="1" t="n">
        <v>6</v>
      </c>
      <c r="AJ735" s="1" t="n">
        <v>9</v>
      </c>
      <c r="AK735" s="1" t="n">
        <v>27</v>
      </c>
      <c r="AL735" s="1" t="s">
        <v>13137</v>
      </c>
      <c r="AM735" s="1" t="s">
        <v>13138</v>
      </c>
      <c r="AN735" s="1" t="s">
        <v>13139</v>
      </c>
      <c r="AO735" s="1" t="s">
        <v>13140</v>
      </c>
      <c r="AP735" s="1" t="s">
        <v>13141</v>
      </c>
      <c r="AQ735" s="1"/>
      <c r="AR735" s="1" t="s">
        <v>13142</v>
      </c>
      <c r="AS735" s="1" t="s">
        <v>13143</v>
      </c>
      <c r="AT735" s="1"/>
      <c r="AU735" s="1" t="n">
        <v>2022</v>
      </c>
      <c r="AV735" s="1" t="n">
        <v>18</v>
      </c>
      <c r="AW735" s="1" t="n">
        <v>4</v>
      </c>
      <c r="AX735" s="1"/>
      <c r="AY735" s="1"/>
      <c r="AZ735" s="1"/>
      <c r="BA735" s="1"/>
      <c r="BB735" s="1" t="n">
        <v>133</v>
      </c>
      <c r="BC735" s="1" t="n">
        <v>147</v>
      </c>
      <c r="BD735" s="1"/>
      <c r="BE735" s="1" t="s">
        <v>13144</v>
      </c>
      <c r="BF735" s="1" t="str">
        <f aca="false">HYPERLINK("http://dx.doi.org/10.21511/im.18(4).2022.12","http://dx.doi.org/10.21511/im.18(4).2022.12")</f>
        <v>http://dx.doi.org/10.21511/im.18(4).2022.12</v>
      </c>
      <c r="BG735" s="1"/>
      <c r="BH735" s="1"/>
      <c r="BI735" s="1" t="n">
        <v>15</v>
      </c>
      <c r="BJ735" s="1" t="s">
        <v>2298</v>
      </c>
      <c r="BK735" s="1" t="s">
        <v>253</v>
      </c>
      <c r="BL735" s="1" t="s">
        <v>715</v>
      </c>
      <c r="BM735" s="1" t="s">
        <v>13145</v>
      </c>
      <c r="BN735" s="1"/>
      <c r="BO735" s="1" t="s">
        <v>401</v>
      </c>
      <c r="BP735" s="1"/>
      <c r="BQ735" s="1"/>
      <c r="BR735" s="1" t="s">
        <v>103</v>
      </c>
      <c r="BS735" s="1" t="s">
        <v>13146</v>
      </c>
      <c r="BT735" s="1" t="str">
        <f aca="false">HYPERLINK("https%3A%2F%2Fwww.webofscience.com%2Fwos%2Fwoscc%2Ffull-record%2FWOS:000904505900008","View Full Record in Web of Science")</f>
        <v>View Full Record in Web of Science</v>
      </c>
    </row>
    <row r="736" customFormat="false" ht="12.75" hidden="false" customHeight="false" outlineLevel="0" collapsed="false">
      <c r="A736" s="1" t="s">
        <v>181</v>
      </c>
      <c r="B736" s="1" t="s">
        <v>13147</v>
      </c>
      <c r="C736" s="1"/>
      <c r="D736" s="1"/>
      <c r="E736" s="1"/>
      <c r="F736" s="1" t="s">
        <v>13148</v>
      </c>
      <c r="G736" s="1"/>
      <c r="H736" s="1"/>
      <c r="I736" s="1" t="s">
        <v>13149</v>
      </c>
      <c r="J736" s="1" t="s">
        <v>816</v>
      </c>
      <c r="K736" s="1"/>
      <c r="L736" s="1"/>
      <c r="M736" s="1" t="s">
        <v>78</v>
      </c>
      <c r="N736" s="1" t="s">
        <v>186</v>
      </c>
      <c r="O736" s="1"/>
      <c r="P736" s="1"/>
      <c r="Q736" s="1"/>
      <c r="R736" s="1"/>
      <c r="S736" s="1"/>
      <c r="T736" s="1" t="s">
        <v>13150</v>
      </c>
      <c r="U736" s="1"/>
      <c r="V736" s="1" t="s">
        <v>13151</v>
      </c>
      <c r="W736" s="1" t="s">
        <v>13152</v>
      </c>
      <c r="X736" s="1" t="s">
        <v>13153</v>
      </c>
      <c r="Y736" s="1" t="s">
        <v>13154</v>
      </c>
      <c r="Z736" s="1" t="s">
        <v>13155</v>
      </c>
      <c r="AA736" s="1" t="s">
        <v>13156</v>
      </c>
      <c r="AB736" s="1" t="s">
        <v>13157</v>
      </c>
      <c r="AC736" s="1" t="s">
        <v>13158</v>
      </c>
      <c r="AD736" s="1" t="s">
        <v>13159</v>
      </c>
      <c r="AE736" s="1" t="s">
        <v>13160</v>
      </c>
      <c r="AF736" s="1"/>
      <c r="AG736" s="1" t="n">
        <v>59</v>
      </c>
      <c r="AH736" s="1" t="n">
        <v>14</v>
      </c>
      <c r="AI736" s="1" t="n">
        <v>14</v>
      </c>
      <c r="AJ736" s="1" t="n">
        <v>1</v>
      </c>
      <c r="AK736" s="1" t="n">
        <v>4</v>
      </c>
      <c r="AL736" s="1" t="s">
        <v>94</v>
      </c>
      <c r="AM736" s="1" t="s">
        <v>95</v>
      </c>
      <c r="AN736" s="1" t="s">
        <v>826</v>
      </c>
      <c r="AO736" s="1" t="s">
        <v>827</v>
      </c>
      <c r="AP736" s="1" t="s">
        <v>828</v>
      </c>
      <c r="AQ736" s="1"/>
      <c r="AR736" s="1" t="s">
        <v>829</v>
      </c>
      <c r="AS736" s="1" t="s">
        <v>830</v>
      </c>
      <c r="AT736" s="1" t="s">
        <v>808</v>
      </c>
      <c r="AU736" s="1" t="n">
        <v>2023</v>
      </c>
      <c r="AV736" s="1" t="n">
        <v>32</v>
      </c>
      <c r="AW736" s="1" t="n">
        <v>3</v>
      </c>
      <c r="AX736" s="1"/>
      <c r="AY736" s="1"/>
      <c r="AZ736" s="1"/>
      <c r="BA736" s="1"/>
      <c r="BB736" s="1"/>
      <c r="BC736" s="1"/>
      <c r="BD736" s="1" t="n">
        <v>75</v>
      </c>
      <c r="BE736" s="1" t="s">
        <v>13161</v>
      </c>
      <c r="BF736" s="1" t="str">
        <f aca="false">HYPERLINK("http://dx.doi.org/10.1145/3571855","http://dx.doi.org/10.1145/3571855")</f>
        <v>http://dx.doi.org/10.1145/3571855</v>
      </c>
      <c r="BG736" s="1"/>
      <c r="BH736" s="1"/>
      <c r="BI736" s="1" t="n">
        <v>30</v>
      </c>
      <c r="BJ736" s="1" t="s">
        <v>252</v>
      </c>
      <c r="BK736" s="1" t="s">
        <v>204</v>
      </c>
      <c r="BL736" s="1" t="s">
        <v>101</v>
      </c>
      <c r="BM736" s="1" t="s">
        <v>13162</v>
      </c>
      <c r="BN736" s="1"/>
      <c r="BO736" s="1" t="s">
        <v>5287</v>
      </c>
      <c r="BP736" s="1"/>
      <c r="BQ736" s="1"/>
      <c r="BR736" s="1" t="s">
        <v>103</v>
      </c>
      <c r="BS736" s="1" t="s">
        <v>13163</v>
      </c>
      <c r="BT736" s="1" t="str">
        <f aca="false">HYPERLINK("https%3A%2F%2Fwww.webofscience.com%2Fwos%2Fwoscc%2Ffull-record%2FWOS:001002573400020","View Full Record in Web of Science")</f>
        <v>View Full Record in Web of Science</v>
      </c>
    </row>
    <row r="737" customFormat="false" ht="12.75" hidden="false" customHeight="false" outlineLevel="0" collapsed="false">
      <c r="A737" s="1" t="s">
        <v>181</v>
      </c>
      <c r="B737" s="1" t="s">
        <v>13164</v>
      </c>
      <c r="C737" s="1"/>
      <c r="D737" s="1"/>
      <c r="E737" s="1"/>
      <c r="F737" s="1" t="s">
        <v>13165</v>
      </c>
      <c r="G737" s="1"/>
      <c r="H737" s="1"/>
      <c r="I737" s="1" t="s">
        <v>13166</v>
      </c>
      <c r="J737" s="1" t="s">
        <v>1378</v>
      </c>
      <c r="K737" s="1"/>
      <c r="L737" s="1"/>
      <c r="M737" s="1" t="s">
        <v>78</v>
      </c>
      <c r="N737" s="1" t="s">
        <v>186</v>
      </c>
      <c r="O737" s="1"/>
      <c r="P737" s="1"/>
      <c r="Q737" s="1"/>
      <c r="R737" s="1"/>
      <c r="S737" s="1"/>
      <c r="T737" s="1" t="s">
        <v>13167</v>
      </c>
      <c r="U737" s="1"/>
      <c r="V737" s="1" t="s">
        <v>13168</v>
      </c>
      <c r="W737" s="1" t="s">
        <v>13169</v>
      </c>
      <c r="X737" s="1" t="s">
        <v>13170</v>
      </c>
      <c r="Y737" s="1" t="s">
        <v>13171</v>
      </c>
      <c r="Z737" s="1" t="s">
        <v>13172</v>
      </c>
      <c r="AA737" s="1" t="s">
        <v>13173</v>
      </c>
      <c r="AB737" s="1" t="s">
        <v>13174</v>
      </c>
      <c r="AC737" s="1" t="s">
        <v>13175</v>
      </c>
      <c r="AD737" s="1" t="s">
        <v>13176</v>
      </c>
      <c r="AE737" s="1" t="s">
        <v>13177</v>
      </c>
      <c r="AF737" s="1"/>
      <c r="AG737" s="1" t="n">
        <v>40</v>
      </c>
      <c r="AH737" s="1" t="n">
        <v>50</v>
      </c>
      <c r="AI737" s="1" t="n">
        <v>55</v>
      </c>
      <c r="AJ737" s="1" t="n">
        <v>4</v>
      </c>
      <c r="AK737" s="1" t="n">
        <v>47</v>
      </c>
      <c r="AL737" s="1" t="s">
        <v>893</v>
      </c>
      <c r="AM737" s="1" t="s">
        <v>894</v>
      </c>
      <c r="AN737" s="1" t="s">
        <v>895</v>
      </c>
      <c r="AO737" s="1" t="s">
        <v>1387</v>
      </c>
      <c r="AP737" s="1" t="s">
        <v>1388</v>
      </c>
      <c r="AQ737" s="1"/>
      <c r="AR737" s="1" t="s">
        <v>1389</v>
      </c>
      <c r="AS737" s="1" t="s">
        <v>1390</v>
      </c>
      <c r="AT737" s="1" t="s">
        <v>474</v>
      </c>
      <c r="AU737" s="1" t="n">
        <v>2021</v>
      </c>
      <c r="AV737" s="1" t="n">
        <v>137</v>
      </c>
      <c r="AW737" s="1"/>
      <c r="AX737" s="1"/>
      <c r="AY737" s="1"/>
      <c r="AZ737" s="1"/>
      <c r="BA737" s="1"/>
      <c r="BB737" s="1"/>
      <c r="BC737" s="1"/>
      <c r="BD737" s="1" t="n">
        <v>106600</v>
      </c>
      <c r="BE737" s="1" t="s">
        <v>13178</v>
      </c>
      <c r="BF737" s="1" t="str">
        <f aca="false">HYPERLINK("http://dx.doi.org/10.1016/j.infsof.2021.106600","http://dx.doi.org/10.1016/j.infsof.2021.106600")</f>
        <v>http://dx.doi.org/10.1016/j.infsof.2021.106600</v>
      </c>
      <c r="BG737" s="1"/>
      <c r="BH737" s="1" t="s">
        <v>1970</v>
      </c>
      <c r="BI737" s="1" t="n">
        <v>12</v>
      </c>
      <c r="BJ737" s="1" t="s">
        <v>1394</v>
      </c>
      <c r="BK737" s="1" t="s">
        <v>204</v>
      </c>
      <c r="BL737" s="1" t="s">
        <v>101</v>
      </c>
      <c r="BM737" s="1" t="s">
        <v>13179</v>
      </c>
      <c r="BN737" s="1"/>
      <c r="BO737" s="1" t="s">
        <v>3326</v>
      </c>
      <c r="BP737" s="1"/>
      <c r="BQ737" s="1"/>
      <c r="BR737" s="1" t="s">
        <v>103</v>
      </c>
      <c r="BS737" s="1" t="s">
        <v>13180</v>
      </c>
      <c r="BT737" s="1" t="str">
        <f aca="false">HYPERLINK("https%3A%2F%2Fwww.webofscience.com%2Fwos%2Fwoscc%2Ffull-record%2FWOS:000660586400006","View Full Record in Web of Science")</f>
        <v>View Full Record in Web of Science</v>
      </c>
    </row>
    <row r="738" customFormat="false" ht="12.75" hidden="false" customHeight="false" outlineLevel="0" collapsed="false">
      <c r="A738" s="1" t="s">
        <v>181</v>
      </c>
      <c r="B738" s="1" t="s">
        <v>13181</v>
      </c>
      <c r="C738" s="1"/>
      <c r="D738" s="1"/>
      <c r="E738" s="1"/>
      <c r="F738" s="1" t="s">
        <v>13182</v>
      </c>
      <c r="G738" s="1"/>
      <c r="H738" s="1"/>
      <c r="I738" s="1" t="s">
        <v>13183</v>
      </c>
      <c r="J738" s="1" t="s">
        <v>2753</v>
      </c>
      <c r="K738" s="1"/>
      <c r="L738" s="1"/>
      <c r="M738" s="1" t="s">
        <v>78</v>
      </c>
      <c r="N738" s="1" t="s">
        <v>186</v>
      </c>
      <c r="O738" s="1"/>
      <c r="P738" s="1"/>
      <c r="Q738" s="1"/>
      <c r="R738" s="1"/>
      <c r="S738" s="1"/>
      <c r="T738" s="1" t="s">
        <v>13184</v>
      </c>
      <c r="U738" s="1"/>
      <c r="V738" s="1" t="s">
        <v>13185</v>
      </c>
      <c r="W738" s="1" t="s">
        <v>13186</v>
      </c>
      <c r="X738" s="1" t="s">
        <v>13187</v>
      </c>
      <c r="Y738" s="1" t="s">
        <v>4314</v>
      </c>
      <c r="Z738" s="1" t="s">
        <v>13188</v>
      </c>
      <c r="AA738" s="1" t="s">
        <v>13189</v>
      </c>
      <c r="AB738" s="1" t="s">
        <v>13190</v>
      </c>
      <c r="AC738" s="1" t="s">
        <v>13191</v>
      </c>
      <c r="AD738" s="1" t="s">
        <v>13192</v>
      </c>
      <c r="AE738" s="1" t="s">
        <v>13193</v>
      </c>
      <c r="AF738" s="1"/>
      <c r="AG738" s="1" t="n">
        <v>56</v>
      </c>
      <c r="AH738" s="1" t="n">
        <v>8</v>
      </c>
      <c r="AI738" s="1" t="n">
        <v>8</v>
      </c>
      <c r="AJ738" s="1" t="n">
        <v>0</v>
      </c>
      <c r="AK738" s="1" t="n">
        <v>6</v>
      </c>
      <c r="AL738" s="1" t="s">
        <v>2761</v>
      </c>
      <c r="AM738" s="1" t="s">
        <v>1908</v>
      </c>
      <c r="AN738" s="1" t="s">
        <v>2762</v>
      </c>
      <c r="AO738" s="1" t="s">
        <v>2763</v>
      </c>
      <c r="AP738" s="1" t="s">
        <v>2764</v>
      </c>
      <c r="AQ738" s="1"/>
      <c r="AR738" s="1" t="s">
        <v>2765</v>
      </c>
      <c r="AS738" s="1" t="s">
        <v>2766</v>
      </c>
      <c r="AT738" s="1" t="s">
        <v>1391</v>
      </c>
      <c r="AU738" s="1" t="n">
        <v>2021</v>
      </c>
      <c r="AV738" s="1" t="n">
        <v>33</v>
      </c>
      <c r="AW738" s="1" t="n">
        <v>22</v>
      </c>
      <c r="AX738" s="1"/>
      <c r="AY738" s="1"/>
      <c r="AZ738" s="1"/>
      <c r="BA738" s="1"/>
      <c r="BB738" s="1" t="n">
        <v>15863</v>
      </c>
      <c r="BC738" s="1" t="n">
        <v>15875</v>
      </c>
      <c r="BD738" s="1"/>
      <c r="BE738" s="1" t="s">
        <v>13194</v>
      </c>
      <c r="BF738" s="1" t="str">
        <f aca="false">HYPERLINK("http://dx.doi.org/10.1007/s00521-021-06207-z","http://dx.doi.org/10.1007/s00521-021-06207-z")</f>
        <v>http://dx.doi.org/10.1007/s00521-021-06207-z</v>
      </c>
      <c r="BG738" s="1"/>
      <c r="BH738" s="1" t="s">
        <v>1393</v>
      </c>
      <c r="BI738" s="1" t="n">
        <v>13</v>
      </c>
      <c r="BJ738" s="1" t="s">
        <v>1625</v>
      </c>
      <c r="BK738" s="1" t="s">
        <v>204</v>
      </c>
      <c r="BL738" s="1" t="s">
        <v>101</v>
      </c>
      <c r="BM738" s="1" t="s">
        <v>13195</v>
      </c>
      <c r="BN738" s="1"/>
      <c r="BO738" s="1" t="s">
        <v>612</v>
      </c>
      <c r="BP738" s="1"/>
      <c r="BQ738" s="1"/>
      <c r="BR738" s="1" t="s">
        <v>103</v>
      </c>
      <c r="BS738" s="1" t="s">
        <v>13196</v>
      </c>
      <c r="BT738" s="1" t="str">
        <f aca="false">HYPERLINK("https%3A%2F%2Fwww.webofscience.com%2Fwos%2Fwoscc%2Ffull-record%2FWOS:000667130400001","View Full Record in Web of Science")</f>
        <v>View Full Record in Web of Science</v>
      </c>
    </row>
    <row r="739" customFormat="false" ht="12.75" hidden="false" customHeight="false" outlineLevel="0" collapsed="false">
      <c r="A739" s="1" t="s">
        <v>181</v>
      </c>
      <c r="B739" s="1" t="s">
        <v>13197</v>
      </c>
      <c r="C739" s="1"/>
      <c r="D739" s="1"/>
      <c r="E739" s="1"/>
      <c r="F739" s="1" t="s">
        <v>13198</v>
      </c>
      <c r="G739" s="1"/>
      <c r="H739" s="1"/>
      <c r="I739" s="1" t="s">
        <v>13199</v>
      </c>
      <c r="J739" s="1" t="s">
        <v>13200</v>
      </c>
      <c r="K739" s="1"/>
      <c r="L739" s="1"/>
      <c r="M739" s="1" t="s">
        <v>78</v>
      </c>
      <c r="N739" s="1" t="s">
        <v>186</v>
      </c>
      <c r="O739" s="1"/>
      <c r="P739" s="1"/>
      <c r="Q739" s="1"/>
      <c r="R739" s="1"/>
      <c r="S739" s="1"/>
      <c r="T739" s="1" t="s">
        <v>13201</v>
      </c>
      <c r="U739" s="1" t="s">
        <v>13202</v>
      </c>
      <c r="V739" s="1" t="s">
        <v>13203</v>
      </c>
      <c r="W739" s="1" t="s">
        <v>13204</v>
      </c>
      <c r="X739" s="1" t="s">
        <v>5206</v>
      </c>
      <c r="Y739" s="1" t="s">
        <v>13205</v>
      </c>
      <c r="Z739" s="1" t="s">
        <v>1422</v>
      </c>
      <c r="AA739" s="1" t="s">
        <v>1423</v>
      </c>
      <c r="AB739" s="1"/>
      <c r="AC739" s="1" t="s">
        <v>13206</v>
      </c>
      <c r="AD739" s="1" t="s">
        <v>13207</v>
      </c>
      <c r="AE739" s="1" t="s">
        <v>13208</v>
      </c>
      <c r="AF739" s="1"/>
      <c r="AG739" s="1" t="n">
        <v>38</v>
      </c>
      <c r="AH739" s="1" t="n">
        <v>2</v>
      </c>
      <c r="AI739" s="1" t="n">
        <v>2</v>
      </c>
      <c r="AJ739" s="1" t="n">
        <v>1</v>
      </c>
      <c r="AK739" s="1" t="n">
        <v>1</v>
      </c>
      <c r="AL739" s="1" t="s">
        <v>13209</v>
      </c>
      <c r="AM739" s="1" t="s">
        <v>13210</v>
      </c>
      <c r="AN739" s="1" t="s">
        <v>13211</v>
      </c>
      <c r="AO739" s="1" t="s">
        <v>13212</v>
      </c>
      <c r="AP739" s="1"/>
      <c r="AQ739" s="1"/>
      <c r="AR739" s="1" t="s">
        <v>13213</v>
      </c>
      <c r="AS739" s="1" t="s">
        <v>13214</v>
      </c>
      <c r="AT739" s="1"/>
      <c r="AU739" s="1" t="n">
        <v>2023</v>
      </c>
      <c r="AV739" s="1" t="n">
        <v>50</v>
      </c>
      <c r="AW739" s="1" t="n">
        <v>2</v>
      </c>
      <c r="AX739" s="1"/>
      <c r="AY739" s="1"/>
      <c r="AZ739" s="1"/>
      <c r="BA739" s="1"/>
      <c r="BB739" s="1" t="n">
        <v>67</v>
      </c>
      <c r="BC739" s="1" t="n">
        <v>83</v>
      </c>
      <c r="BD739" s="1"/>
      <c r="BE739" s="1"/>
      <c r="BF739" s="1"/>
      <c r="BG739" s="1"/>
      <c r="BH739" s="1"/>
      <c r="BI739" s="1" t="n">
        <v>17</v>
      </c>
      <c r="BJ739" s="1" t="s">
        <v>13215</v>
      </c>
      <c r="BK739" s="1" t="s">
        <v>204</v>
      </c>
      <c r="BL739" s="1" t="s">
        <v>13216</v>
      </c>
      <c r="BM739" s="1" t="s">
        <v>13217</v>
      </c>
      <c r="BN739" s="1" t="n">
        <v>37302072</v>
      </c>
      <c r="BO739" s="1"/>
      <c r="BP739" s="1"/>
      <c r="BQ739" s="1"/>
      <c r="BR739" s="1" t="s">
        <v>103</v>
      </c>
      <c r="BS739" s="1" t="s">
        <v>13218</v>
      </c>
      <c r="BT739" s="1" t="str">
        <f aca="false">HYPERLINK("https%3A%2F%2Fwww.webofscience.com%2Fwos%2Fwoscc%2Ffull-record%2FWOS:001022437900001","View Full Record in Web of Science")</f>
        <v>View Full Record in Web of Science</v>
      </c>
    </row>
    <row r="740" customFormat="false" ht="12.75" hidden="false" customHeight="false" outlineLevel="0" collapsed="false">
      <c r="A740" s="1" t="s">
        <v>181</v>
      </c>
      <c r="B740" s="1" t="s">
        <v>13219</v>
      </c>
      <c r="C740" s="1"/>
      <c r="D740" s="1"/>
      <c r="E740" s="1"/>
      <c r="F740" s="1" t="s">
        <v>13220</v>
      </c>
      <c r="G740" s="1"/>
      <c r="H740" s="1"/>
      <c r="I740" s="1" t="s">
        <v>13221</v>
      </c>
      <c r="J740" s="1" t="s">
        <v>12098</v>
      </c>
      <c r="K740" s="1"/>
      <c r="L740" s="1"/>
      <c r="M740" s="1" t="s">
        <v>78</v>
      </c>
      <c r="N740" s="1" t="s">
        <v>186</v>
      </c>
      <c r="O740" s="1"/>
      <c r="P740" s="1"/>
      <c r="Q740" s="1"/>
      <c r="R740" s="1"/>
      <c r="S740" s="1"/>
      <c r="T740" s="1" t="s">
        <v>13222</v>
      </c>
      <c r="U740" s="1"/>
      <c r="V740" s="1" t="s">
        <v>13223</v>
      </c>
      <c r="W740" s="1" t="s">
        <v>13224</v>
      </c>
      <c r="X740" s="1" t="s">
        <v>13225</v>
      </c>
      <c r="Y740" s="1" t="s">
        <v>13226</v>
      </c>
      <c r="Z740" s="1" t="s">
        <v>13227</v>
      </c>
      <c r="AA740" s="1" t="s">
        <v>13228</v>
      </c>
      <c r="AB740" s="1" t="s">
        <v>12106</v>
      </c>
      <c r="AC740" s="1" t="s">
        <v>13229</v>
      </c>
      <c r="AD740" s="1" t="s">
        <v>13229</v>
      </c>
      <c r="AE740" s="1" t="s">
        <v>13230</v>
      </c>
      <c r="AF740" s="1"/>
      <c r="AG740" s="1" t="n">
        <v>14</v>
      </c>
      <c r="AH740" s="1" t="n">
        <v>2</v>
      </c>
      <c r="AI740" s="1" t="n">
        <v>2</v>
      </c>
      <c r="AJ740" s="1" t="n">
        <v>2</v>
      </c>
      <c r="AK740" s="1" t="n">
        <v>2</v>
      </c>
      <c r="AL740" s="1" t="s">
        <v>12110</v>
      </c>
      <c r="AM740" s="1" t="s">
        <v>12111</v>
      </c>
      <c r="AN740" s="1" t="s">
        <v>12112</v>
      </c>
      <c r="AO740" s="1" t="s">
        <v>12113</v>
      </c>
      <c r="AP740" s="1"/>
      <c r="AQ740" s="1"/>
      <c r="AR740" s="1" t="s">
        <v>12114</v>
      </c>
      <c r="AS740" s="1" t="s">
        <v>12115</v>
      </c>
      <c r="AT740" s="1" t="s">
        <v>372</v>
      </c>
      <c r="AU740" s="1" t="n">
        <v>2022</v>
      </c>
      <c r="AV740" s="1" t="n">
        <v>52</v>
      </c>
      <c r="AW740" s="1" t="n">
        <v>4</v>
      </c>
      <c r="AX740" s="1"/>
      <c r="AY740" s="1"/>
      <c r="AZ740" s="1"/>
      <c r="BA740" s="1"/>
      <c r="BB740" s="1" t="n">
        <v>281</v>
      </c>
      <c r="BC740" s="1" t="n">
        <v>285</v>
      </c>
      <c r="BD740" s="1"/>
      <c r="BE740" s="1" t="s">
        <v>13231</v>
      </c>
      <c r="BF740" s="1" t="str">
        <f aca="false">HYPERLINK("http://dx.doi.org/10.28920/dhm52.4.281-285","http://dx.doi.org/10.28920/dhm52.4.281-285")</f>
        <v>http://dx.doi.org/10.28920/dhm52.4.281-285</v>
      </c>
      <c r="BG740" s="1"/>
      <c r="BH740" s="1"/>
      <c r="BI740" s="1" t="n">
        <v>5</v>
      </c>
      <c r="BJ740" s="1" t="s">
        <v>1971</v>
      </c>
      <c r="BK740" s="1" t="s">
        <v>204</v>
      </c>
      <c r="BL740" s="1" t="s">
        <v>1971</v>
      </c>
      <c r="BM740" s="1" t="s">
        <v>13232</v>
      </c>
      <c r="BN740" s="1" t="n">
        <v>36525686</v>
      </c>
      <c r="BO740" s="1" t="s">
        <v>179</v>
      </c>
      <c r="BP740" s="1"/>
      <c r="BQ740" s="1"/>
      <c r="BR740" s="1" t="s">
        <v>103</v>
      </c>
      <c r="BS740" s="1" t="s">
        <v>13233</v>
      </c>
      <c r="BT740" s="1" t="str">
        <f aca="false">HYPERLINK("https%3A%2F%2Fwww.webofscience.com%2Fwos%2Fwoscc%2Ffull-record%2FWOS:001041577100007","View Full Record in Web of Science")</f>
        <v>View Full Record in Web of Science</v>
      </c>
    </row>
    <row r="741" customFormat="false" ht="12.75" hidden="false" customHeight="false" outlineLevel="0" collapsed="false">
      <c r="A741" s="1" t="s">
        <v>72</v>
      </c>
      <c r="B741" s="1" t="s">
        <v>13234</v>
      </c>
      <c r="C741" s="1"/>
      <c r="D741" s="1"/>
      <c r="E741" s="1" t="s">
        <v>1080</v>
      </c>
      <c r="F741" s="1" t="s">
        <v>13235</v>
      </c>
      <c r="G741" s="1"/>
      <c r="H741" s="1"/>
      <c r="I741" s="1" t="s">
        <v>13236</v>
      </c>
      <c r="J741" s="1" t="s">
        <v>13237</v>
      </c>
      <c r="K741" s="1"/>
      <c r="L741" s="1"/>
      <c r="M741" s="1" t="s">
        <v>78</v>
      </c>
      <c r="N741" s="1" t="s">
        <v>79</v>
      </c>
      <c r="O741" s="1" t="s">
        <v>13238</v>
      </c>
      <c r="P741" s="1" t="s">
        <v>13239</v>
      </c>
      <c r="Q741" s="1" t="s">
        <v>6016</v>
      </c>
      <c r="R741" s="1" t="s">
        <v>13009</v>
      </c>
      <c r="S741" s="1"/>
      <c r="T741" s="1" t="s">
        <v>13240</v>
      </c>
      <c r="U741" s="1"/>
      <c r="V741" s="1" t="s">
        <v>13241</v>
      </c>
      <c r="W741" s="1" t="s">
        <v>13242</v>
      </c>
      <c r="X741" s="1" t="s">
        <v>13243</v>
      </c>
      <c r="Y741" s="1" t="s">
        <v>13244</v>
      </c>
      <c r="Z741" s="1" t="s">
        <v>13245</v>
      </c>
      <c r="AA741" s="1" t="s">
        <v>13246</v>
      </c>
      <c r="AB741" s="1" t="s">
        <v>13247</v>
      </c>
      <c r="AC741" s="1" t="s">
        <v>13248</v>
      </c>
      <c r="AD741" s="1" t="s">
        <v>13249</v>
      </c>
      <c r="AE741" s="1" t="s">
        <v>13250</v>
      </c>
      <c r="AF741" s="1"/>
      <c r="AG741" s="1" t="n">
        <v>12</v>
      </c>
      <c r="AH741" s="1" t="n">
        <v>2</v>
      </c>
      <c r="AI741" s="1" t="n">
        <v>2</v>
      </c>
      <c r="AJ741" s="1" t="n">
        <v>0</v>
      </c>
      <c r="AK741" s="1" t="n">
        <v>6</v>
      </c>
      <c r="AL741" s="1" t="s">
        <v>172</v>
      </c>
      <c r="AM741" s="1" t="s">
        <v>173</v>
      </c>
      <c r="AN741" s="1" t="s">
        <v>174</v>
      </c>
      <c r="AO741" s="1"/>
      <c r="AP741" s="1"/>
      <c r="AQ741" s="1" t="s">
        <v>13251</v>
      </c>
      <c r="AR741" s="1"/>
      <c r="AS741" s="1"/>
      <c r="AT741" s="1"/>
      <c r="AU741" s="1" t="n">
        <v>2022</v>
      </c>
      <c r="AV741" s="1"/>
      <c r="AW741" s="1"/>
      <c r="AX741" s="1"/>
      <c r="AY741" s="1"/>
      <c r="AZ741" s="1"/>
      <c r="BA741" s="1"/>
      <c r="BB741" s="1" t="n">
        <v>341</v>
      </c>
      <c r="BC741" s="1" t="n">
        <v>342</v>
      </c>
      <c r="BD741" s="1"/>
      <c r="BE741" s="1" t="s">
        <v>13252</v>
      </c>
      <c r="BF741" s="1" t="str">
        <f aca="false">HYPERLINK("http://dx.doi.org/10.1145/3510457.3513083","http://dx.doi.org/10.1145/3510457.3513083")</f>
        <v>http://dx.doi.org/10.1145/3510457.3513083</v>
      </c>
      <c r="BG741" s="1"/>
      <c r="BH741" s="1"/>
      <c r="BI741" s="1" t="n">
        <v>2</v>
      </c>
      <c r="BJ741" s="1" t="s">
        <v>994</v>
      </c>
      <c r="BK741" s="1" t="s">
        <v>100</v>
      </c>
      <c r="BL741" s="1" t="s">
        <v>101</v>
      </c>
      <c r="BM741" s="1" t="s">
        <v>13253</v>
      </c>
      <c r="BN741" s="1"/>
      <c r="BO741" s="1" t="s">
        <v>2258</v>
      </c>
      <c r="BP741" s="1"/>
      <c r="BQ741" s="1"/>
      <c r="BR741" s="1" t="s">
        <v>103</v>
      </c>
      <c r="BS741" s="1" t="s">
        <v>13254</v>
      </c>
      <c r="BT741" s="1" t="str">
        <f aca="false">HYPERLINK("https%3A%2F%2Fwww.webofscience.com%2Fwos%2Fwoscc%2Ffull-record%2FWOS:000850199400052","View Full Record in Web of Science")</f>
        <v>View Full Record in Web of Science</v>
      </c>
    </row>
    <row r="742" customFormat="false" ht="12.75" hidden="false" customHeight="false" outlineLevel="0" collapsed="false">
      <c r="A742" s="1" t="s">
        <v>181</v>
      </c>
      <c r="B742" s="1" t="s">
        <v>13255</v>
      </c>
      <c r="C742" s="1"/>
      <c r="D742" s="1"/>
      <c r="E742" s="1"/>
      <c r="F742" s="1" t="s">
        <v>13256</v>
      </c>
      <c r="G742" s="1"/>
      <c r="H742" s="1"/>
      <c r="I742" s="1" t="s">
        <v>13257</v>
      </c>
      <c r="J742" s="1" t="s">
        <v>3700</v>
      </c>
      <c r="K742" s="1"/>
      <c r="L742" s="1"/>
      <c r="M742" s="1" t="s">
        <v>78</v>
      </c>
      <c r="N742" s="1" t="s">
        <v>186</v>
      </c>
      <c r="O742" s="1"/>
      <c r="P742" s="1"/>
      <c r="Q742" s="1"/>
      <c r="R742" s="1"/>
      <c r="S742" s="1"/>
      <c r="T742" s="1" t="s">
        <v>13258</v>
      </c>
      <c r="U742" s="1" t="s">
        <v>13259</v>
      </c>
      <c r="V742" s="1" t="s">
        <v>13260</v>
      </c>
      <c r="W742" s="1" t="s">
        <v>13261</v>
      </c>
      <c r="X742" s="1" t="s">
        <v>13262</v>
      </c>
      <c r="Y742" s="1" t="s">
        <v>13263</v>
      </c>
      <c r="Z742" s="1" t="s">
        <v>13264</v>
      </c>
      <c r="AA742" s="1" t="s">
        <v>13265</v>
      </c>
      <c r="AB742" s="1" t="s">
        <v>13266</v>
      </c>
      <c r="AC742" s="1" t="s">
        <v>13267</v>
      </c>
      <c r="AD742" s="1" t="s">
        <v>13268</v>
      </c>
      <c r="AE742" s="1" t="s">
        <v>13269</v>
      </c>
      <c r="AF742" s="1"/>
      <c r="AG742" s="1" t="n">
        <v>118</v>
      </c>
      <c r="AH742" s="1" t="n">
        <v>17</v>
      </c>
      <c r="AI742" s="1" t="n">
        <v>17</v>
      </c>
      <c r="AJ742" s="1" t="n">
        <v>1</v>
      </c>
      <c r="AK742" s="1" t="n">
        <v>16</v>
      </c>
      <c r="AL742" s="1" t="s">
        <v>3711</v>
      </c>
      <c r="AM742" s="1" t="s">
        <v>95</v>
      </c>
      <c r="AN742" s="1" t="s">
        <v>3712</v>
      </c>
      <c r="AO742" s="1" t="s">
        <v>3713</v>
      </c>
      <c r="AP742" s="1" t="s">
        <v>3714</v>
      </c>
      <c r="AQ742" s="1"/>
      <c r="AR742" s="1" t="s">
        <v>3715</v>
      </c>
      <c r="AS742" s="1" t="s">
        <v>3716</v>
      </c>
      <c r="AT742" s="1" t="s">
        <v>421</v>
      </c>
      <c r="AU742" s="1" t="n">
        <v>2020</v>
      </c>
      <c r="AV742" s="1" t="n">
        <v>162</v>
      </c>
      <c r="AW742" s="1"/>
      <c r="AX742" s="1"/>
      <c r="AY742" s="1"/>
      <c r="AZ742" s="1"/>
      <c r="BA742" s="1"/>
      <c r="BB742" s="1"/>
      <c r="BC742" s="1"/>
      <c r="BD742" s="1" t="n">
        <v>110479</v>
      </c>
      <c r="BE742" s="1" t="s">
        <v>13270</v>
      </c>
      <c r="BF742" s="1" t="str">
        <f aca="false">HYPERLINK("http://dx.doi.org/10.1016/j.jss.2019.110479","http://dx.doi.org/10.1016/j.jss.2019.110479")</f>
        <v>http://dx.doi.org/10.1016/j.jss.2019.110479</v>
      </c>
      <c r="BG742" s="1"/>
      <c r="BH742" s="1"/>
      <c r="BI742" s="1" t="n">
        <v>29</v>
      </c>
      <c r="BJ742" s="1" t="s">
        <v>994</v>
      </c>
      <c r="BK742" s="1" t="s">
        <v>398</v>
      </c>
      <c r="BL742" s="1" t="s">
        <v>101</v>
      </c>
      <c r="BM742" s="1" t="s">
        <v>13271</v>
      </c>
      <c r="BN742" s="1"/>
      <c r="BO742" s="1" t="s">
        <v>227</v>
      </c>
      <c r="BP742" s="1"/>
      <c r="BQ742" s="1"/>
      <c r="BR742" s="1" t="s">
        <v>103</v>
      </c>
      <c r="BS742" s="1" t="s">
        <v>13272</v>
      </c>
      <c r="BT742" s="1" t="str">
        <f aca="false">HYPERLINK("https%3A%2F%2Fwww.webofscience.com%2Fwos%2Fwoscc%2Ffull-record%2FWOS:000515427800006","View Full Record in Web of Science")</f>
        <v>View Full Record in Web of Science</v>
      </c>
    </row>
    <row r="743" customFormat="false" ht="12.75" hidden="false" customHeight="false" outlineLevel="0" collapsed="false">
      <c r="A743" s="1" t="s">
        <v>181</v>
      </c>
      <c r="B743" s="1" t="s">
        <v>13273</v>
      </c>
      <c r="C743" s="1"/>
      <c r="D743" s="1"/>
      <c r="E743" s="1"/>
      <c r="F743" s="1" t="s">
        <v>13274</v>
      </c>
      <c r="G743" s="1"/>
      <c r="H743" s="1"/>
      <c r="I743" s="1" t="s">
        <v>13275</v>
      </c>
      <c r="J743" s="1" t="s">
        <v>381</v>
      </c>
      <c r="K743" s="1"/>
      <c r="L743" s="1"/>
      <c r="M743" s="1" t="s">
        <v>78</v>
      </c>
      <c r="N743" s="1" t="s">
        <v>186</v>
      </c>
      <c r="O743" s="1"/>
      <c r="P743" s="1"/>
      <c r="Q743" s="1"/>
      <c r="R743" s="1"/>
      <c r="S743" s="1"/>
      <c r="T743" s="1" t="s">
        <v>13276</v>
      </c>
      <c r="U743" s="1" t="s">
        <v>13277</v>
      </c>
      <c r="V743" s="1" t="s">
        <v>13278</v>
      </c>
      <c r="W743" s="1" t="s">
        <v>13279</v>
      </c>
      <c r="X743" s="1" t="s">
        <v>13280</v>
      </c>
      <c r="Y743" s="1" t="s">
        <v>13281</v>
      </c>
      <c r="Z743" s="1" t="s">
        <v>13282</v>
      </c>
      <c r="AA743" s="1" t="s">
        <v>13283</v>
      </c>
      <c r="AB743" s="1" t="s">
        <v>13284</v>
      </c>
      <c r="AC743" s="1" t="s">
        <v>391</v>
      </c>
      <c r="AD743" s="1" t="s">
        <v>391</v>
      </c>
      <c r="AE743" s="1" t="s">
        <v>13285</v>
      </c>
      <c r="AF743" s="1"/>
      <c r="AG743" s="1" t="n">
        <v>78</v>
      </c>
      <c r="AH743" s="1" t="n">
        <v>47</v>
      </c>
      <c r="AI743" s="1" t="n">
        <v>52</v>
      </c>
      <c r="AJ743" s="1" t="n">
        <v>4</v>
      </c>
      <c r="AK743" s="1" t="n">
        <v>102</v>
      </c>
      <c r="AL743" s="1" t="s">
        <v>367</v>
      </c>
      <c r="AM743" s="1" t="s">
        <v>368</v>
      </c>
      <c r="AN743" s="1" t="s">
        <v>369</v>
      </c>
      <c r="AO743" s="1"/>
      <c r="AP743" s="1" t="s">
        <v>393</v>
      </c>
      <c r="AQ743" s="1"/>
      <c r="AR743" s="1" t="s">
        <v>394</v>
      </c>
      <c r="AS743" s="1" t="s">
        <v>395</v>
      </c>
      <c r="AT743" s="1" t="s">
        <v>372</v>
      </c>
      <c r="AU743" s="1" t="n">
        <v>2020</v>
      </c>
      <c r="AV743" s="1" t="n">
        <v>12</v>
      </c>
      <c r="AW743" s="1" t="n">
        <v>23</v>
      </c>
      <c r="AX743" s="1"/>
      <c r="AY743" s="1"/>
      <c r="AZ743" s="1"/>
      <c r="BA743" s="1"/>
      <c r="BB743" s="1"/>
      <c r="BC743" s="1"/>
      <c r="BD743" s="1" t="n">
        <v>10222</v>
      </c>
      <c r="BE743" s="1" t="s">
        <v>13286</v>
      </c>
      <c r="BF743" s="1" t="str">
        <f aca="false">HYPERLINK("http://dx.doi.org/10.3390/su122310222","http://dx.doi.org/10.3390/su122310222")</f>
        <v>http://dx.doi.org/10.3390/su122310222</v>
      </c>
      <c r="BG743" s="1"/>
      <c r="BH743" s="1"/>
      <c r="BI743" s="1" t="n">
        <v>26</v>
      </c>
      <c r="BJ743" s="1" t="s">
        <v>397</v>
      </c>
      <c r="BK743" s="1" t="s">
        <v>398</v>
      </c>
      <c r="BL743" s="1" t="s">
        <v>399</v>
      </c>
      <c r="BM743" s="1" t="s">
        <v>13287</v>
      </c>
      <c r="BN743" s="1"/>
      <c r="BO743" s="1" t="s">
        <v>376</v>
      </c>
      <c r="BP743" s="1"/>
      <c r="BQ743" s="1"/>
      <c r="BR743" s="1" t="s">
        <v>103</v>
      </c>
      <c r="BS743" s="1" t="s">
        <v>13288</v>
      </c>
      <c r="BT743" s="1" t="str">
        <f aca="false">HYPERLINK("https%3A%2F%2Fwww.webofscience.com%2Fwos%2Fwoscc%2Ffull-record%2FWOS:000597457900001","View Full Record in Web of Science")</f>
        <v>View Full Record in Web of Science</v>
      </c>
    </row>
    <row r="744" customFormat="false" ht="12.75" hidden="false" customHeight="false" outlineLevel="0" collapsed="false">
      <c r="A744" s="1" t="s">
        <v>181</v>
      </c>
      <c r="B744" s="1" t="s">
        <v>13289</v>
      </c>
      <c r="C744" s="1"/>
      <c r="D744" s="1"/>
      <c r="E744" s="1"/>
      <c r="F744" s="1" t="s">
        <v>13290</v>
      </c>
      <c r="G744" s="1"/>
      <c r="H744" s="1"/>
      <c r="I744" s="1" t="s">
        <v>13291</v>
      </c>
      <c r="J744" s="1" t="s">
        <v>406</v>
      </c>
      <c r="K744" s="1"/>
      <c r="L744" s="1"/>
      <c r="M744" s="1" t="s">
        <v>78</v>
      </c>
      <c r="N744" s="1" t="s">
        <v>186</v>
      </c>
      <c r="O744" s="1"/>
      <c r="P744" s="1"/>
      <c r="Q744" s="1"/>
      <c r="R744" s="1"/>
      <c r="S744" s="1"/>
      <c r="T744" s="1" t="s">
        <v>13292</v>
      </c>
      <c r="U744" s="1" t="s">
        <v>13293</v>
      </c>
      <c r="V744" s="1" t="s">
        <v>13294</v>
      </c>
      <c r="W744" s="1" t="s">
        <v>13295</v>
      </c>
      <c r="X744" s="1" t="s">
        <v>13296</v>
      </c>
      <c r="Y744" s="1" t="s">
        <v>13297</v>
      </c>
      <c r="Z744" s="1" t="s">
        <v>13298</v>
      </c>
      <c r="AA744" s="1" t="s">
        <v>13299</v>
      </c>
      <c r="AB744" s="1" t="s">
        <v>13300</v>
      </c>
      <c r="AC744" s="1" t="s">
        <v>13301</v>
      </c>
      <c r="AD744" s="1" t="s">
        <v>13301</v>
      </c>
      <c r="AE744" s="1" t="s">
        <v>13302</v>
      </c>
      <c r="AF744" s="1"/>
      <c r="AG744" s="1" t="n">
        <v>72</v>
      </c>
      <c r="AH744" s="1" t="n">
        <v>15</v>
      </c>
      <c r="AI744" s="1" t="n">
        <v>16</v>
      </c>
      <c r="AJ744" s="1" t="n">
        <v>0</v>
      </c>
      <c r="AK744" s="1" t="n">
        <v>14</v>
      </c>
      <c r="AL744" s="1" t="s">
        <v>367</v>
      </c>
      <c r="AM744" s="1" t="s">
        <v>368</v>
      </c>
      <c r="AN744" s="1" t="s">
        <v>369</v>
      </c>
      <c r="AO744" s="1"/>
      <c r="AP744" s="1" t="s">
        <v>418</v>
      </c>
      <c r="AQ744" s="1"/>
      <c r="AR744" s="1" t="s">
        <v>419</v>
      </c>
      <c r="AS744" s="1" t="s">
        <v>420</v>
      </c>
      <c r="AT744" s="1" t="s">
        <v>474</v>
      </c>
      <c r="AU744" s="1" t="n">
        <v>2020</v>
      </c>
      <c r="AV744" s="1" t="n">
        <v>17</v>
      </c>
      <c r="AW744" s="1" t="n">
        <v>18</v>
      </c>
      <c r="AX744" s="1"/>
      <c r="AY744" s="1"/>
      <c r="AZ744" s="1"/>
      <c r="BA744" s="1"/>
      <c r="BB744" s="1"/>
      <c r="BC744" s="1"/>
      <c r="BD744" s="1" t="n">
        <v>6674</v>
      </c>
      <c r="BE744" s="1" t="s">
        <v>13303</v>
      </c>
      <c r="BF744" s="1" t="str">
        <f aca="false">HYPERLINK("http://dx.doi.org/10.3390/ijerph17186674","http://dx.doi.org/10.3390/ijerph17186674")</f>
        <v>http://dx.doi.org/10.3390/ijerph17186674</v>
      </c>
      <c r="BG744" s="1"/>
      <c r="BH744" s="1"/>
      <c r="BI744" s="1" t="n">
        <v>18</v>
      </c>
      <c r="BJ744" s="1" t="s">
        <v>423</v>
      </c>
      <c r="BK744" s="1" t="s">
        <v>398</v>
      </c>
      <c r="BL744" s="1" t="s">
        <v>424</v>
      </c>
      <c r="BM744" s="1" t="s">
        <v>13304</v>
      </c>
      <c r="BN744" s="1" t="n">
        <v>32937765</v>
      </c>
      <c r="BO744" s="1" t="s">
        <v>542</v>
      </c>
      <c r="BP744" s="1"/>
      <c r="BQ744" s="1"/>
      <c r="BR744" s="1" t="s">
        <v>103</v>
      </c>
      <c r="BS744" s="1" t="s">
        <v>13305</v>
      </c>
      <c r="BT744" s="1" t="str">
        <f aca="false">HYPERLINK("https%3A%2F%2Fwww.webofscience.com%2Fwos%2Fwoscc%2Ffull-record%2FWOS:000579987200001","View Full Record in Web of Science")</f>
        <v>View Full Record in Web of Science</v>
      </c>
    </row>
    <row r="745" customFormat="false" ht="12.75" hidden="false" customHeight="false" outlineLevel="0" collapsed="false">
      <c r="A745" s="1" t="s">
        <v>72</v>
      </c>
      <c r="B745" s="1" t="s">
        <v>13306</v>
      </c>
      <c r="C745" s="1"/>
      <c r="D745" s="1" t="s">
        <v>13307</v>
      </c>
      <c r="E745" s="1"/>
      <c r="F745" s="1" t="s">
        <v>13308</v>
      </c>
      <c r="G745" s="1"/>
      <c r="H745" s="1"/>
      <c r="I745" s="1" t="s">
        <v>13309</v>
      </c>
      <c r="J745" s="1" t="s">
        <v>13310</v>
      </c>
      <c r="K745" s="1" t="s">
        <v>4507</v>
      </c>
      <c r="L745" s="1"/>
      <c r="M745" s="1" t="s">
        <v>78</v>
      </c>
      <c r="N745" s="1" t="s">
        <v>79</v>
      </c>
      <c r="O745" s="1" t="s">
        <v>13311</v>
      </c>
      <c r="P745" s="1" t="s">
        <v>13312</v>
      </c>
      <c r="Q745" s="1" t="s">
        <v>320</v>
      </c>
      <c r="R745" s="1" t="s">
        <v>13313</v>
      </c>
      <c r="S745" s="1"/>
      <c r="T745" s="1" t="s">
        <v>13314</v>
      </c>
      <c r="U745" s="1"/>
      <c r="V745" s="1" t="s">
        <v>13315</v>
      </c>
      <c r="W745" s="1" t="s">
        <v>13316</v>
      </c>
      <c r="X745" s="1" t="s">
        <v>13317</v>
      </c>
      <c r="Y745" s="1" t="s">
        <v>13318</v>
      </c>
      <c r="Z745" s="1" t="s">
        <v>13319</v>
      </c>
      <c r="AA745" s="1" t="s">
        <v>13320</v>
      </c>
      <c r="AB745" s="1"/>
      <c r="AC745" s="1" t="s">
        <v>13321</v>
      </c>
      <c r="AD745" s="1" t="s">
        <v>13321</v>
      </c>
      <c r="AE745" s="1" t="s">
        <v>13322</v>
      </c>
      <c r="AF745" s="1"/>
      <c r="AG745" s="1" t="n">
        <v>10</v>
      </c>
      <c r="AH745" s="1" t="n">
        <v>1</v>
      </c>
      <c r="AI745" s="1" t="n">
        <v>1</v>
      </c>
      <c r="AJ745" s="1" t="n">
        <v>0</v>
      </c>
      <c r="AK745" s="1" t="n">
        <v>3</v>
      </c>
      <c r="AL745" s="1" t="s">
        <v>893</v>
      </c>
      <c r="AM745" s="1" t="s">
        <v>894</v>
      </c>
      <c r="AN745" s="1" t="s">
        <v>13323</v>
      </c>
      <c r="AO745" s="1" t="s">
        <v>4524</v>
      </c>
      <c r="AP745" s="1"/>
      <c r="AQ745" s="1"/>
      <c r="AR745" s="1" t="s">
        <v>4525</v>
      </c>
      <c r="AS745" s="1"/>
      <c r="AT745" s="1"/>
      <c r="AU745" s="1" t="n">
        <v>2020</v>
      </c>
      <c r="AV745" s="1" t="n">
        <v>28</v>
      </c>
      <c r="AW745" s="1"/>
      <c r="AX745" s="1"/>
      <c r="AY745" s="1"/>
      <c r="AZ745" s="1"/>
      <c r="BA745" s="1"/>
      <c r="BB745" s="1" t="n">
        <v>2065</v>
      </c>
      <c r="BC745" s="1" t="n">
        <v>2071</v>
      </c>
      <c r="BD745" s="1"/>
      <c r="BE745" s="1" t="s">
        <v>13324</v>
      </c>
      <c r="BF745" s="1" t="str">
        <f aca="false">HYPERLINK("http://dx.doi.org/10.1016/j.prostr.2020.11.030","http://dx.doi.org/10.1016/j.prostr.2020.11.030")</f>
        <v>http://dx.doi.org/10.1016/j.prostr.2020.11.030</v>
      </c>
      <c r="BG745" s="1"/>
      <c r="BH745" s="1"/>
      <c r="BI745" s="1" t="n">
        <v>7</v>
      </c>
      <c r="BJ745" s="1" t="s">
        <v>13325</v>
      </c>
      <c r="BK745" s="1" t="s">
        <v>100</v>
      </c>
      <c r="BL745" s="1" t="s">
        <v>13326</v>
      </c>
      <c r="BM745" s="1" t="s">
        <v>13327</v>
      </c>
      <c r="BN745" s="1"/>
      <c r="BO745" s="1" t="s">
        <v>401</v>
      </c>
      <c r="BP745" s="1"/>
      <c r="BQ745" s="1"/>
      <c r="BR745" s="1" t="s">
        <v>103</v>
      </c>
      <c r="BS745" s="1" t="s">
        <v>13328</v>
      </c>
      <c r="BT745" s="1" t="str">
        <f aca="false">HYPERLINK("https%3A%2F%2Fwww.webofscience.com%2Fwos%2Fwoscc%2Ffull-record%2FWOS:000632387500233","View Full Record in Web of Science")</f>
        <v>View Full Record in Web of Science</v>
      </c>
    </row>
    <row r="746" customFormat="false" ht="12.75" hidden="false" customHeight="false" outlineLevel="0" collapsed="false">
      <c r="A746" s="1" t="s">
        <v>181</v>
      </c>
      <c r="B746" s="1" t="s">
        <v>5011</v>
      </c>
      <c r="C746" s="1"/>
      <c r="D746" s="1"/>
      <c r="E746" s="1"/>
      <c r="F746" s="1" t="s">
        <v>5012</v>
      </c>
      <c r="G746" s="1"/>
      <c r="H746" s="1"/>
      <c r="I746" s="1" t="s">
        <v>13329</v>
      </c>
      <c r="J746" s="1" t="s">
        <v>671</v>
      </c>
      <c r="K746" s="1"/>
      <c r="L746" s="1"/>
      <c r="M746" s="1" t="s">
        <v>78</v>
      </c>
      <c r="N746" s="1" t="s">
        <v>186</v>
      </c>
      <c r="O746" s="1"/>
      <c r="P746" s="1"/>
      <c r="Q746" s="1"/>
      <c r="R746" s="1"/>
      <c r="S746" s="1"/>
      <c r="T746" s="1" t="s">
        <v>13330</v>
      </c>
      <c r="U746" s="1" t="s">
        <v>13331</v>
      </c>
      <c r="V746" s="1" t="s">
        <v>13332</v>
      </c>
      <c r="W746" s="1" t="s">
        <v>13333</v>
      </c>
      <c r="X746" s="1" t="s">
        <v>13334</v>
      </c>
      <c r="Y746" s="1" t="s">
        <v>11533</v>
      </c>
      <c r="Z746" s="1" t="s">
        <v>5019</v>
      </c>
      <c r="AA746" s="1" t="s">
        <v>5020</v>
      </c>
      <c r="AB746" s="1" t="s">
        <v>5021</v>
      </c>
      <c r="AC746" s="1" t="s">
        <v>13335</v>
      </c>
      <c r="AD746" s="1" t="s">
        <v>13335</v>
      </c>
      <c r="AE746" s="1" t="s">
        <v>13336</v>
      </c>
      <c r="AF746" s="1"/>
      <c r="AG746" s="1" t="n">
        <v>44</v>
      </c>
      <c r="AH746" s="1" t="n">
        <v>0</v>
      </c>
      <c r="AI746" s="1" t="n">
        <v>0</v>
      </c>
      <c r="AJ746" s="1" t="n">
        <v>0</v>
      </c>
      <c r="AK746" s="1" t="n">
        <v>4</v>
      </c>
      <c r="AL746" s="1" t="s">
        <v>679</v>
      </c>
      <c r="AM746" s="1" t="s">
        <v>680</v>
      </c>
      <c r="AN746" s="1" t="s">
        <v>681</v>
      </c>
      <c r="AO746" s="1" t="s">
        <v>682</v>
      </c>
      <c r="AP746" s="1" t="s">
        <v>683</v>
      </c>
      <c r="AQ746" s="1"/>
      <c r="AR746" s="1" t="s">
        <v>684</v>
      </c>
      <c r="AS746" s="1" t="s">
        <v>685</v>
      </c>
      <c r="AT746" s="1" t="s">
        <v>1391</v>
      </c>
      <c r="AU746" s="1" t="n">
        <v>2023</v>
      </c>
      <c r="AV746" s="1" t="n">
        <v>28</v>
      </c>
      <c r="AW746" s="1" t="n">
        <v>6</v>
      </c>
      <c r="AX746" s="1"/>
      <c r="AY746" s="1"/>
      <c r="AZ746" s="1"/>
      <c r="BA746" s="1"/>
      <c r="BB746" s="1"/>
      <c r="BC746" s="1"/>
      <c r="BD746" s="1" t="n">
        <v>144</v>
      </c>
      <c r="BE746" s="1" t="s">
        <v>13337</v>
      </c>
      <c r="BF746" s="1" t="str">
        <f aca="false">HYPERLINK("http://dx.doi.org/10.1007/s10664-023-10356-1","http://dx.doi.org/10.1007/s10664-023-10356-1")</f>
        <v>http://dx.doi.org/10.1007/s10664-023-10356-1</v>
      </c>
      <c r="BG746" s="1"/>
      <c r="BH746" s="1"/>
      <c r="BI746" s="1" t="n">
        <v>29</v>
      </c>
      <c r="BJ746" s="1" t="s">
        <v>252</v>
      </c>
      <c r="BK746" s="1" t="s">
        <v>204</v>
      </c>
      <c r="BL746" s="1" t="s">
        <v>101</v>
      </c>
      <c r="BM746" s="1" t="s">
        <v>13338</v>
      </c>
      <c r="BN746" s="1"/>
      <c r="BO746" s="1" t="s">
        <v>282</v>
      </c>
      <c r="BP746" s="1"/>
      <c r="BQ746" s="1"/>
      <c r="BR746" s="1" t="s">
        <v>103</v>
      </c>
      <c r="BS746" s="1" t="s">
        <v>13339</v>
      </c>
      <c r="BT746" s="1" t="str">
        <f aca="false">HYPERLINK("https%3A%2F%2Fwww.webofscience.com%2Fwos%2Fwoscc%2Ffull-record%2FWOS:001087927600001","View Full Record in Web of Science")</f>
        <v>View Full Record in Web of Science</v>
      </c>
    </row>
    <row r="747" customFormat="false" ht="12.75" hidden="false" customHeight="false" outlineLevel="0" collapsed="false">
      <c r="A747" s="1" t="s">
        <v>181</v>
      </c>
      <c r="B747" s="1" t="s">
        <v>13340</v>
      </c>
      <c r="C747" s="1"/>
      <c r="D747" s="1"/>
      <c r="E747" s="1"/>
      <c r="F747" s="1" t="s">
        <v>13341</v>
      </c>
      <c r="G747" s="1"/>
      <c r="H747" s="1"/>
      <c r="I747" s="1" t="s">
        <v>13342</v>
      </c>
      <c r="J747" s="1" t="s">
        <v>4722</v>
      </c>
      <c r="K747" s="1"/>
      <c r="L747" s="1"/>
      <c r="M747" s="1" t="s">
        <v>78</v>
      </c>
      <c r="N747" s="1" t="s">
        <v>1996</v>
      </c>
      <c r="O747" s="1"/>
      <c r="P747" s="1"/>
      <c r="Q747" s="1"/>
      <c r="R747" s="1"/>
      <c r="S747" s="1"/>
      <c r="T747" s="1"/>
      <c r="U747" s="1"/>
      <c r="V747" s="1"/>
      <c r="W747" s="1" t="s">
        <v>13343</v>
      </c>
      <c r="X747" s="1" t="s">
        <v>13344</v>
      </c>
      <c r="Y747" s="1" t="s">
        <v>13345</v>
      </c>
      <c r="Z747" s="1" t="s">
        <v>13346</v>
      </c>
      <c r="AA747" s="1" t="s">
        <v>13347</v>
      </c>
      <c r="AB747" s="1" t="s">
        <v>13348</v>
      </c>
      <c r="AC747" s="1"/>
      <c r="AD747" s="1"/>
      <c r="AE747" s="1"/>
      <c r="AF747" s="1"/>
      <c r="AG747" s="1" t="n">
        <v>9</v>
      </c>
      <c r="AH747" s="1" t="n">
        <v>2</v>
      </c>
      <c r="AI747" s="1" t="n">
        <v>2</v>
      </c>
      <c r="AJ747" s="1" t="n">
        <v>0</v>
      </c>
      <c r="AK747" s="1" t="n">
        <v>1</v>
      </c>
      <c r="AL747" s="1" t="s">
        <v>893</v>
      </c>
      <c r="AM747" s="1" t="s">
        <v>894</v>
      </c>
      <c r="AN747" s="1" t="s">
        <v>895</v>
      </c>
      <c r="AO747" s="1" t="s">
        <v>4727</v>
      </c>
      <c r="AP747" s="1"/>
      <c r="AQ747" s="1"/>
      <c r="AR747" s="1" t="s">
        <v>4728</v>
      </c>
      <c r="AS747" s="1" t="s">
        <v>4729</v>
      </c>
      <c r="AT747" s="1" t="s">
        <v>13349</v>
      </c>
      <c r="AU747" s="1" t="n">
        <v>2021</v>
      </c>
      <c r="AV747" s="1" t="n">
        <v>26</v>
      </c>
      <c r="AW747" s="1"/>
      <c r="AX747" s="1"/>
      <c r="AY747" s="1"/>
      <c r="AZ747" s="1"/>
      <c r="BA747" s="1"/>
      <c r="BB747" s="1"/>
      <c r="BC747" s="1"/>
      <c r="BD747" s="1" t="n">
        <v>100244</v>
      </c>
      <c r="BE747" s="1" t="s">
        <v>13350</v>
      </c>
      <c r="BF747" s="1" t="str">
        <f aca="false">HYPERLINK("http://dx.doi.org/10.1016/j.bdr.2021.100244","http://dx.doi.org/10.1016/j.bdr.2021.100244")</f>
        <v>http://dx.doi.org/10.1016/j.bdr.2021.100244</v>
      </c>
      <c r="BG747" s="1"/>
      <c r="BH747" s="1" t="s">
        <v>2315</v>
      </c>
      <c r="BI747" s="1" t="n">
        <v>3</v>
      </c>
      <c r="BJ747" s="1" t="s">
        <v>1529</v>
      </c>
      <c r="BK747" s="1" t="s">
        <v>204</v>
      </c>
      <c r="BL747" s="1" t="s">
        <v>101</v>
      </c>
      <c r="BM747" s="1" t="s">
        <v>13351</v>
      </c>
      <c r="BN747" s="1"/>
      <c r="BO747" s="1"/>
      <c r="BP747" s="1"/>
      <c r="BQ747" s="1"/>
      <c r="BR747" s="1" t="s">
        <v>103</v>
      </c>
      <c r="BS747" s="1" t="s">
        <v>13352</v>
      </c>
      <c r="BT747" s="1" t="str">
        <f aca="false">HYPERLINK("https%3A%2F%2Fwww.webofscience.com%2Fwos%2Fwoscc%2Ffull-record%2FWOS:000704918400001","View Full Record in Web of Science")</f>
        <v>View Full Record in Web of Science</v>
      </c>
    </row>
    <row r="748" customFormat="false" ht="12.75" hidden="false" customHeight="false" outlineLevel="0" collapsed="false">
      <c r="A748" s="1" t="s">
        <v>181</v>
      </c>
      <c r="B748" s="1" t="s">
        <v>13353</v>
      </c>
      <c r="C748" s="1"/>
      <c r="D748" s="1"/>
      <c r="E748" s="1"/>
      <c r="F748" s="1" t="s">
        <v>13354</v>
      </c>
      <c r="G748" s="1"/>
      <c r="H748" s="1"/>
      <c r="I748" s="1" t="s">
        <v>13355</v>
      </c>
      <c r="J748" s="1" t="s">
        <v>1378</v>
      </c>
      <c r="K748" s="1"/>
      <c r="L748" s="1"/>
      <c r="M748" s="1" t="s">
        <v>78</v>
      </c>
      <c r="N748" s="1" t="s">
        <v>1996</v>
      </c>
      <c r="O748" s="1"/>
      <c r="P748" s="1"/>
      <c r="Q748" s="1"/>
      <c r="R748" s="1"/>
      <c r="S748" s="1"/>
      <c r="T748" s="1" t="s">
        <v>13356</v>
      </c>
      <c r="U748" s="1"/>
      <c r="V748" s="1" t="s">
        <v>13357</v>
      </c>
      <c r="W748" s="1" t="s">
        <v>13358</v>
      </c>
      <c r="X748" s="1" t="s">
        <v>13359</v>
      </c>
      <c r="Y748" s="1" t="s">
        <v>10848</v>
      </c>
      <c r="Z748" s="1" t="s">
        <v>13360</v>
      </c>
      <c r="AA748" s="1" t="s">
        <v>13361</v>
      </c>
      <c r="AB748" s="1" t="s">
        <v>13362</v>
      </c>
      <c r="AC748" s="1"/>
      <c r="AD748" s="1"/>
      <c r="AE748" s="1"/>
      <c r="AF748" s="1"/>
      <c r="AG748" s="1" t="n">
        <v>28</v>
      </c>
      <c r="AH748" s="1" t="n">
        <v>2</v>
      </c>
      <c r="AI748" s="1" t="n">
        <v>2</v>
      </c>
      <c r="AJ748" s="1" t="n">
        <v>0</v>
      </c>
      <c r="AK748" s="1" t="n">
        <v>12</v>
      </c>
      <c r="AL748" s="1" t="s">
        <v>893</v>
      </c>
      <c r="AM748" s="1" t="s">
        <v>894</v>
      </c>
      <c r="AN748" s="1" t="s">
        <v>895</v>
      </c>
      <c r="AO748" s="1" t="s">
        <v>1387</v>
      </c>
      <c r="AP748" s="1" t="s">
        <v>1388</v>
      </c>
      <c r="AQ748" s="1"/>
      <c r="AR748" s="1" t="s">
        <v>1389</v>
      </c>
      <c r="AS748" s="1" t="s">
        <v>1390</v>
      </c>
      <c r="AT748" s="1" t="s">
        <v>1453</v>
      </c>
      <c r="AU748" s="1" t="n">
        <v>2022</v>
      </c>
      <c r="AV748" s="1" t="n">
        <v>141</v>
      </c>
      <c r="AW748" s="1"/>
      <c r="AX748" s="1"/>
      <c r="AY748" s="1"/>
      <c r="AZ748" s="1"/>
      <c r="BA748" s="1"/>
      <c r="BB748" s="1"/>
      <c r="BC748" s="1"/>
      <c r="BD748" s="1" t="n">
        <v>106697</v>
      </c>
      <c r="BE748" s="1" t="s">
        <v>13363</v>
      </c>
      <c r="BF748" s="1" t="str">
        <f aca="false">HYPERLINK("http://dx.doi.org/10.1016/j.infsof.2021.106697","http://dx.doi.org/10.1016/j.infsof.2021.106697")</f>
        <v>http://dx.doi.org/10.1016/j.infsof.2021.106697</v>
      </c>
      <c r="BG748" s="1"/>
      <c r="BH748" s="1" t="s">
        <v>5561</v>
      </c>
      <c r="BI748" s="1" t="n">
        <v>5</v>
      </c>
      <c r="BJ748" s="1" t="s">
        <v>1394</v>
      </c>
      <c r="BK748" s="1" t="s">
        <v>204</v>
      </c>
      <c r="BL748" s="1" t="s">
        <v>101</v>
      </c>
      <c r="BM748" s="1" t="s">
        <v>6973</v>
      </c>
      <c r="BN748" s="1"/>
      <c r="BO748" s="1" t="s">
        <v>7573</v>
      </c>
      <c r="BP748" s="1"/>
      <c r="BQ748" s="1"/>
      <c r="BR748" s="1" t="s">
        <v>103</v>
      </c>
      <c r="BS748" s="1" t="s">
        <v>13364</v>
      </c>
      <c r="BT748" s="1" t="str">
        <f aca="false">HYPERLINK("https%3A%2F%2Fwww.webofscience.com%2Fwos%2Fwoscc%2Ffull-record%2FWOS:000701988700001","View Full Record in Web of Science")</f>
        <v>View Full Record in Web of Science</v>
      </c>
    </row>
    <row r="749" customFormat="false" ht="12.75" hidden="false" customHeight="false" outlineLevel="0" collapsed="false">
      <c r="A749" s="1" t="s">
        <v>72</v>
      </c>
      <c r="B749" s="1" t="s">
        <v>13365</v>
      </c>
      <c r="C749" s="1"/>
      <c r="D749" s="1" t="s">
        <v>13366</v>
      </c>
      <c r="E749" s="1"/>
      <c r="F749" s="1" t="s">
        <v>13367</v>
      </c>
      <c r="G749" s="1"/>
      <c r="H749" s="1"/>
      <c r="I749" s="1" t="s">
        <v>13368</v>
      </c>
      <c r="J749" s="1" t="s">
        <v>13369</v>
      </c>
      <c r="K749" s="1" t="s">
        <v>976</v>
      </c>
      <c r="L749" s="1"/>
      <c r="M749" s="1" t="s">
        <v>78</v>
      </c>
      <c r="N749" s="1" t="s">
        <v>79</v>
      </c>
      <c r="O749" s="1" t="s">
        <v>13370</v>
      </c>
      <c r="P749" s="1" t="s">
        <v>13371</v>
      </c>
      <c r="Q749" s="1" t="s">
        <v>13372</v>
      </c>
      <c r="R749" s="1" t="s">
        <v>13373</v>
      </c>
      <c r="S749" s="1"/>
      <c r="T749" s="1" t="s">
        <v>13374</v>
      </c>
      <c r="U749" s="1" t="s">
        <v>13375</v>
      </c>
      <c r="V749" s="1" t="s">
        <v>13376</v>
      </c>
      <c r="W749" s="1" t="s">
        <v>13377</v>
      </c>
      <c r="X749" s="1" t="s">
        <v>13378</v>
      </c>
      <c r="Y749" s="1" t="s">
        <v>13379</v>
      </c>
      <c r="Z749" s="1" t="s">
        <v>13380</v>
      </c>
      <c r="AA749" s="1" t="s">
        <v>13381</v>
      </c>
      <c r="AB749" s="1" t="s">
        <v>13382</v>
      </c>
      <c r="AC749" s="1" t="s">
        <v>13383</v>
      </c>
      <c r="AD749" s="1" t="s">
        <v>13384</v>
      </c>
      <c r="AE749" s="1" t="s">
        <v>13385</v>
      </c>
      <c r="AF749" s="1"/>
      <c r="AG749" s="1" t="n">
        <v>30</v>
      </c>
      <c r="AH749" s="1" t="n">
        <v>1</v>
      </c>
      <c r="AI749" s="1" t="n">
        <v>1</v>
      </c>
      <c r="AJ749" s="1" t="n">
        <v>0</v>
      </c>
      <c r="AK749" s="1" t="n">
        <v>0</v>
      </c>
      <c r="AL749" s="1" t="s">
        <v>302</v>
      </c>
      <c r="AM749" s="1" t="s">
        <v>303</v>
      </c>
      <c r="AN749" s="1" t="s">
        <v>304</v>
      </c>
      <c r="AO749" s="1" t="s">
        <v>989</v>
      </c>
      <c r="AP749" s="1" t="s">
        <v>990</v>
      </c>
      <c r="AQ749" s="1" t="s">
        <v>13386</v>
      </c>
      <c r="AR749" s="1" t="s">
        <v>992</v>
      </c>
      <c r="AS749" s="1"/>
      <c r="AT749" s="1"/>
      <c r="AU749" s="1" t="n">
        <v>2021</v>
      </c>
      <c r="AV749" s="1" t="n">
        <v>12896</v>
      </c>
      <c r="AW749" s="1"/>
      <c r="AX749" s="1"/>
      <c r="AY749" s="1"/>
      <c r="AZ749" s="1"/>
      <c r="BA749" s="1"/>
      <c r="BB749" s="1" t="n">
        <v>383</v>
      </c>
      <c r="BC749" s="1" t="n">
        <v>396</v>
      </c>
      <c r="BD749" s="1"/>
      <c r="BE749" s="1" t="s">
        <v>13387</v>
      </c>
      <c r="BF749" s="1" t="str">
        <f aca="false">HYPERLINK("http://dx.doi.org/10.1007/978-3-030-85447-8_33","http://dx.doi.org/10.1007/978-3-030-85447-8_33")</f>
        <v>http://dx.doi.org/10.1007/978-3-030-85447-8_33</v>
      </c>
      <c r="BG749" s="1"/>
      <c r="BH749" s="1"/>
      <c r="BI749" s="1" t="n">
        <v>14</v>
      </c>
      <c r="BJ749" s="1" t="s">
        <v>13388</v>
      </c>
      <c r="BK749" s="1" t="s">
        <v>100</v>
      </c>
      <c r="BL749" s="1" t="s">
        <v>101</v>
      </c>
      <c r="BM749" s="1" t="s">
        <v>13389</v>
      </c>
      <c r="BN749" s="1"/>
      <c r="BO749" s="1"/>
      <c r="BP749" s="1"/>
      <c r="BQ749" s="1"/>
      <c r="BR749" s="1" t="s">
        <v>103</v>
      </c>
      <c r="BS749" s="1" t="s">
        <v>13390</v>
      </c>
      <c r="BT749" s="1" t="str">
        <f aca="false">HYPERLINK("https%3A%2F%2Fwww.webofscience.com%2Fwos%2Fwoscc%2Ffull-record%2FWOS:001352263900033","View Full Record in Web of Science")</f>
        <v>View Full Record in Web of Science</v>
      </c>
    </row>
    <row r="750" customFormat="false" ht="12.75" hidden="false" customHeight="false" outlineLevel="0" collapsed="false">
      <c r="A750" s="1" t="s">
        <v>181</v>
      </c>
      <c r="B750" s="1" t="s">
        <v>13391</v>
      </c>
      <c r="C750" s="1"/>
      <c r="D750" s="1"/>
      <c r="E750" s="1"/>
      <c r="F750" s="1" t="s">
        <v>13392</v>
      </c>
      <c r="G750" s="1"/>
      <c r="H750" s="1"/>
      <c r="I750" s="1" t="s">
        <v>13393</v>
      </c>
      <c r="J750" s="1" t="s">
        <v>523</v>
      </c>
      <c r="K750" s="1"/>
      <c r="L750" s="1"/>
      <c r="M750" s="1" t="s">
        <v>78</v>
      </c>
      <c r="N750" s="1" t="s">
        <v>186</v>
      </c>
      <c r="O750" s="1"/>
      <c r="P750" s="1"/>
      <c r="Q750" s="1"/>
      <c r="R750" s="1"/>
      <c r="S750" s="1"/>
      <c r="T750" s="1" t="s">
        <v>13394</v>
      </c>
      <c r="U750" s="1"/>
      <c r="V750" s="1" t="s">
        <v>13395</v>
      </c>
      <c r="W750" s="1" t="s">
        <v>13396</v>
      </c>
      <c r="X750" s="1" t="s">
        <v>13397</v>
      </c>
      <c r="Y750" s="1" t="s">
        <v>13398</v>
      </c>
      <c r="Z750" s="1" t="s">
        <v>13399</v>
      </c>
      <c r="AA750" s="1" t="s">
        <v>13400</v>
      </c>
      <c r="AB750" s="1" t="s">
        <v>13401</v>
      </c>
      <c r="AC750" s="1" t="s">
        <v>13402</v>
      </c>
      <c r="AD750" s="1" t="s">
        <v>13403</v>
      </c>
      <c r="AE750" s="1" t="s">
        <v>13404</v>
      </c>
      <c r="AF750" s="1"/>
      <c r="AG750" s="1" t="n">
        <v>22</v>
      </c>
      <c r="AH750" s="1" t="n">
        <v>11</v>
      </c>
      <c r="AI750" s="1" t="n">
        <v>16</v>
      </c>
      <c r="AJ750" s="1" t="n">
        <v>3</v>
      </c>
      <c r="AK750" s="1" t="n">
        <v>31</v>
      </c>
      <c r="AL750" s="1" t="s">
        <v>367</v>
      </c>
      <c r="AM750" s="1" t="s">
        <v>368</v>
      </c>
      <c r="AN750" s="1" t="s">
        <v>369</v>
      </c>
      <c r="AO750" s="1"/>
      <c r="AP750" s="1" t="s">
        <v>534</v>
      </c>
      <c r="AQ750" s="1"/>
      <c r="AR750" s="1" t="s">
        <v>535</v>
      </c>
      <c r="AS750" s="1" t="s">
        <v>536</v>
      </c>
      <c r="AT750" s="1" t="s">
        <v>2698</v>
      </c>
      <c r="AU750" s="1" t="n">
        <v>2020</v>
      </c>
      <c r="AV750" s="1" t="n">
        <v>10</v>
      </c>
      <c r="AW750" s="1" t="n">
        <v>11</v>
      </c>
      <c r="AX750" s="1"/>
      <c r="AY750" s="1"/>
      <c r="AZ750" s="1"/>
      <c r="BA750" s="1"/>
      <c r="BB750" s="1"/>
      <c r="BC750" s="1"/>
      <c r="BD750" s="1" t="n">
        <v>3828</v>
      </c>
      <c r="BE750" s="1" t="s">
        <v>13405</v>
      </c>
      <c r="BF750" s="1" t="str">
        <f aca="false">HYPERLINK("http://dx.doi.org/10.3390/app10113828","http://dx.doi.org/10.3390/app10113828")</f>
        <v>http://dx.doi.org/10.3390/app10113828</v>
      </c>
      <c r="BG750" s="1"/>
      <c r="BH750" s="1"/>
      <c r="BI750" s="1" t="n">
        <v>9</v>
      </c>
      <c r="BJ750" s="1" t="s">
        <v>539</v>
      </c>
      <c r="BK750" s="1" t="s">
        <v>204</v>
      </c>
      <c r="BL750" s="1" t="s">
        <v>540</v>
      </c>
      <c r="BM750" s="1" t="s">
        <v>13406</v>
      </c>
      <c r="BN750" s="1"/>
      <c r="BO750" s="1" t="s">
        <v>542</v>
      </c>
      <c r="BP750" s="1"/>
      <c r="BQ750" s="1"/>
      <c r="BR750" s="1" t="s">
        <v>103</v>
      </c>
      <c r="BS750" s="1" t="s">
        <v>13407</v>
      </c>
      <c r="BT750" s="1" t="str">
        <f aca="false">HYPERLINK("https%3A%2F%2Fwww.webofscience.com%2Fwos%2Fwoscc%2Ffull-record%2FWOS:000543385900165","View Full Record in Web of Science")</f>
        <v>View Full Record in Web of Science</v>
      </c>
    </row>
    <row r="751" customFormat="false" ht="12.75" hidden="false" customHeight="false" outlineLevel="0" collapsed="false">
      <c r="A751" s="1" t="s">
        <v>181</v>
      </c>
      <c r="B751" s="1" t="s">
        <v>13408</v>
      </c>
      <c r="C751" s="1"/>
      <c r="D751" s="1"/>
      <c r="E751" s="1"/>
      <c r="F751" s="1" t="s">
        <v>13409</v>
      </c>
      <c r="G751" s="1"/>
      <c r="H751" s="1"/>
      <c r="I751" s="1" t="s">
        <v>13410</v>
      </c>
      <c r="J751" s="1" t="s">
        <v>13411</v>
      </c>
      <c r="K751" s="1"/>
      <c r="L751" s="1"/>
      <c r="M751" s="1" t="s">
        <v>78</v>
      </c>
      <c r="N751" s="1" t="s">
        <v>186</v>
      </c>
      <c r="O751" s="1"/>
      <c r="P751" s="1"/>
      <c r="Q751" s="1"/>
      <c r="R751" s="1"/>
      <c r="S751" s="1"/>
      <c r="T751" s="1" t="s">
        <v>13412</v>
      </c>
      <c r="U751" s="1"/>
      <c r="V751" s="1" t="s">
        <v>13413</v>
      </c>
      <c r="W751" s="1" t="s">
        <v>13414</v>
      </c>
      <c r="X751" s="1" t="s">
        <v>13415</v>
      </c>
      <c r="Y751" s="1" t="s">
        <v>13416</v>
      </c>
      <c r="Z751" s="1" t="s">
        <v>13417</v>
      </c>
      <c r="AA751" s="1" t="s">
        <v>13418</v>
      </c>
      <c r="AB751" s="1" t="s">
        <v>13419</v>
      </c>
      <c r="AC751" s="1"/>
      <c r="AD751" s="1"/>
      <c r="AE751" s="1"/>
      <c r="AF751" s="1"/>
      <c r="AG751" s="1" t="n">
        <v>32</v>
      </c>
      <c r="AH751" s="1" t="n">
        <v>5</v>
      </c>
      <c r="AI751" s="1" t="n">
        <v>5</v>
      </c>
      <c r="AJ751" s="1" t="n">
        <v>3</v>
      </c>
      <c r="AK751" s="1" t="n">
        <v>18</v>
      </c>
      <c r="AL751" s="1" t="s">
        <v>8218</v>
      </c>
      <c r="AM751" s="1" t="s">
        <v>1908</v>
      </c>
      <c r="AN751" s="1" t="s">
        <v>8219</v>
      </c>
      <c r="AO751" s="1"/>
      <c r="AP751" s="1" t="s">
        <v>13420</v>
      </c>
      <c r="AQ751" s="1"/>
      <c r="AR751" s="1" t="s">
        <v>13411</v>
      </c>
      <c r="AS751" s="1" t="s">
        <v>13421</v>
      </c>
      <c r="AT751" s="1" t="s">
        <v>13422</v>
      </c>
      <c r="AU751" s="1" t="n">
        <v>2023</v>
      </c>
      <c r="AV751" s="1" t="n">
        <v>23</v>
      </c>
      <c r="AW751" s="1" t="n">
        <v>1</v>
      </c>
      <c r="AX751" s="1"/>
      <c r="AY751" s="1"/>
      <c r="AZ751" s="1"/>
      <c r="BA751" s="1"/>
      <c r="BB751" s="1"/>
      <c r="BC751" s="1"/>
      <c r="BD751" s="1" t="n">
        <v>1134</v>
      </c>
      <c r="BE751" s="1" t="s">
        <v>13423</v>
      </c>
      <c r="BF751" s="1" t="str">
        <f aca="false">HYPERLINK("http://dx.doi.org/10.1186/s12889-023-16052-5","http://dx.doi.org/10.1186/s12889-023-16052-5")</f>
        <v>http://dx.doi.org/10.1186/s12889-023-16052-5</v>
      </c>
      <c r="BG751" s="1"/>
      <c r="BH751" s="1"/>
      <c r="BI751" s="1" t="n">
        <v>9</v>
      </c>
      <c r="BJ751" s="1" t="s">
        <v>1971</v>
      </c>
      <c r="BK751" s="1" t="s">
        <v>204</v>
      </c>
      <c r="BL751" s="1" t="s">
        <v>1971</v>
      </c>
      <c r="BM751" s="1" t="s">
        <v>13424</v>
      </c>
      <c r="BN751" s="1" t="n">
        <v>37312149</v>
      </c>
      <c r="BO751" s="1" t="s">
        <v>542</v>
      </c>
      <c r="BP751" s="1"/>
      <c r="BQ751" s="1"/>
      <c r="BR751" s="1" t="s">
        <v>103</v>
      </c>
      <c r="BS751" s="1" t="s">
        <v>13425</v>
      </c>
      <c r="BT751" s="1" t="str">
        <f aca="false">HYPERLINK("https%3A%2F%2Fwww.webofscience.com%2Fwos%2Fwoscc%2Ffull-record%2FWOS:001009432100002","View Full Record in Web of Science")</f>
        <v>View Full Record in Web of Science</v>
      </c>
    </row>
    <row r="752" customFormat="false" ht="12.75" hidden="false" customHeight="false" outlineLevel="0" collapsed="false">
      <c r="A752" s="1" t="s">
        <v>181</v>
      </c>
      <c r="B752" s="1" t="s">
        <v>13426</v>
      </c>
      <c r="C752" s="1"/>
      <c r="D752" s="1"/>
      <c r="E752" s="1"/>
      <c r="F752" s="1" t="s">
        <v>13427</v>
      </c>
      <c r="G752" s="1"/>
      <c r="H752" s="1"/>
      <c r="I752" s="1" t="s">
        <v>13428</v>
      </c>
      <c r="J752" s="1" t="s">
        <v>671</v>
      </c>
      <c r="K752" s="1"/>
      <c r="L752" s="1"/>
      <c r="M752" s="1" t="s">
        <v>78</v>
      </c>
      <c r="N752" s="1" t="s">
        <v>186</v>
      </c>
      <c r="O752" s="1"/>
      <c r="P752" s="1"/>
      <c r="Q752" s="1"/>
      <c r="R752" s="1"/>
      <c r="S752" s="1"/>
      <c r="T752" s="1" t="s">
        <v>13429</v>
      </c>
      <c r="U752" s="1" t="s">
        <v>13430</v>
      </c>
      <c r="V752" s="1" t="s">
        <v>13431</v>
      </c>
      <c r="W752" s="1" t="s">
        <v>13432</v>
      </c>
      <c r="X752" s="1" t="s">
        <v>13433</v>
      </c>
      <c r="Y752" s="1" t="s">
        <v>13434</v>
      </c>
      <c r="Z752" s="1" t="s">
        <v>13435</v>
      </c>
      <c r="AA752" s="1" t="s">
        <v>13436</v>
      </c>
      <c r="AB752" s="1" t="s">
        <v>13437</v>
      </c>
      <c r="AC752" s="1" t="s">
        <v>13438</v>
      </c>
      <c r="AD752" s="1" t="s">
        <v>13439</v>
      </c>
      <c r="AE752" s="1" t="s">
        <v>13440</v>
      </c>
      <c r="AF752" s="1"/>
      <c r="AG752" s="1" t="n">
        <v>64</v>
      </c>
      <c r="AH752" s="1" t="n">
        <v>22</v>
      </c>
      <c r="AI752" s="1" t="n">
        <v>23</v>
      </c>
      <c r="AJ752" s="1" t="n">
        <v>3</v>
      </c>
      <c r="AK752" s="1" t="n">
        <v>32</v>
      </c>
      <c r="AL752" s="1" t="s">
        <v>679</v>
      </c>
      <c r="AM752" s="1" t="s">
        <v>680</v>
      </c>
      <c r="AN752" s="1" t="s">
        <v>681</v>
      </c>
      <c r="AO752" s="1" t="s">
        <v>682</v>
      </c>
      <c r="AP752" s="1" t="s">
        <v>683</v>
      </c>
      <c r="AQ752" s="1"/>
      <c r="AR752" s="1" t="s">
        <v>684</v>
      </c>
      <c r="AS752" s="1" t="s">
        <v>685</v>
      </c>
      <c r="AT752" s="1" t="s">
        <v>474</v>
      </c>
      <c r="AU752" s="1" t="n">
        <v>2021</v>
      </c>
      <c r="AV752" s="1" t="n">
        <v>26</v>
      </c>
      <c r="AW752" s="1" t="n">
        <v>5</v>
      </c>
      <c r="AX752" s="1"/>
      <c r="AY752" s="1"/>
      <c r="AZ752" s="1"/>
      <c r="BA752" s="1"/>
      <c r="BB752" s="1"/>
      <c r="BC752" s="1"/>
      <c r="BD752" s="1" t="n">
        <v>101</v>
      </c>
      <c r="BE752" s="1" t="s">
        <v>13441</v>
      </c>
      <c r="BF752" s="1" t="str">
        <f aca="false">HYPERLINK("http://dx.doi.org/10.1007/s10664-021-09967-3","http://dx.doi.org/10.1007/s10664-021-09967-3")</f>
        <v>http://dx.doi.org/10.1007/s10664-021-09967-3</v>
      </c>
      <c r="BG752" s="1"/>
      <c r="BH752" s="1"/>
      <c r="BI752" s="1" t="n">
        <v>42</v>
      </c>
      <c r="BJ752" s="1" t="s">
        <v>252</v>
      </c>
      <c r="BK752" s="1" t="s">
        <v>398</v>
      </c>
      <c r="BL752" s="1" t="s">
        <v>101</v>
      </c>
      <c r="BM752" s="1" t="s">
        <v>13442</v>
      </c>
      <c r="BN752" s="1"/>
      <c r="BO752" s="1" t="s">
        <v>207</v>
      </c>
      <c r="BP752" s="1"/>
      <c r="BQ752" s="1"/>
      <c r="BR752" s="1" t="s">
        <v>103</v>
      </c>
      <c r="BS752" s="1" t="s">
        <v>13443</v>
      </c>
      <c r="BT752" s="1" t="str">
        <f aca="false">HYPERLINK("https%3A%2F%2Fwww.webofscience.com%2Fwos%2Fwoscc%2Ffull-record%2FWOS:000691591800002","View Full Record in Web of Science")</f>
        <v>View Full Record in Web of Science</v>
      </c>
    </row>
    <row r="753" customFormat="false" ht="12.75" hidden="false" customHeight="false" outlineLevel="0" collapsed="false">
      <c r="A753" s="1" t="s">
        <v>181</v>
      </c>
      <c r="B753" s="1" t="s">
        <v>13444</v>
      </c>
      <c r="C753" s="1"/>
      <c r="D753" s="1"/>
      <c r="E753" s="1"/>
      <c r="F753" s="1" t="s">
        <v>13445</v>
      </c>
      <c r="G753" s="1"/>
      <c r="H753" s="1"/>
      <c r="I753" s="1" t="s">
        <v>13446</v>
      </c>
      <c r="J753" s="1" t="s">
        <v>10260</v>
      </c>
      <c r="K753" s="1"/>
      <c r="L753" s="1"/>
      <c r="M753" s="1" t="s">
        <v>78</v>
      </c>
      <c r="N753" s="1" t="s">
        <v>186</v>
      </c>
      <c r="O753" s="1"/>
      <c r="P753" s="1"/>
      <c r="Q753" s="1"/>
      <c r="R753" s="1"/>
      <c r="S753" s="1"/>
      <c r="T753" s="1" t="s">
        <v>13447</v>
      </c>
      <c r="U753" s="1"/>
      <c r="V753" s="1" t="s">
        <v>13448</v>
      </c>
      <c r="W753" s="1" t="s">
        <v>13449</v>
      </c>
      <c r="X753" s="1" t="s">
        <v>13450</v>
      </c>
      <c r="Y753" s="1" t="s">
        <v>13451</v>
      </c>
      <c r="Z753" s="1" t="s">
        <v>13452</v>
      </c>
      <c r="AA753" s="1" t="s">
        <v>13453</v>
      </c>
      <c r="AB753" s="1" t="s">
        <v>13454</v>
      </c>
      <c r="AC753" s="1"/>
      <c r="AD753" s="1"/>
      <c r="AE753" s="1"/>
      <c r="AF753" s="1"/>
      <c r="AG753" s="1" t="n">
        <v>40</v>
      </c>
      <c r="AH753" s="1" t="n">
        <v>4</v>
      </c>
      <c r="AI753" s="1" t="n">
        <v>4</v>
      </c>
      <c r="AJ753" s="1" t="n">
        <v>0</v>
      </c>
      <c r="AK753" s="1" t="n">
        <v>5</v>
      </c>
      <c r="AL753" s="1" t="s">
        <v>5232</v>
      </c>
      <c r="AM753" s="1" t="s">
        <v>894</v>
      </c>
      <c r="AN753" s="1" t="s">
        <v>5233</v>
      </c>
      <c r="AO753" s="1" t="s">
        <v>10264</v>
      </c>
      <c r="AP753" s="1" t="s">
        <v>10265</v>
      </c>
      <c r="AQ753" s="1"/>
      <c r="AR753" s="1" t="s">
        <v>10266</v>
      </c>
      <c r="AS753" s="1" t="s">
        <v>10267</v>
      </c>
      <c r="AT753" s="1"/>
      <c r="AU753" s="1" t="n">
        <v>2021</v>
      </c>
      <c r="AV753" s="1" t="n">
        <v>25</v>
      </c>
      <c r="AW753" s="1" t="n">
        <v>1</v>
      </c>
      <c r="AX753" s="1"/>
      <c r="AY753" s="1"/>
      <c r="AZ753" s="1"/>
      <c r="BA753" s="1"/>
      <c r="BB753" s="1" t="n">
        <v>81</v>
      </c>
      <c r="BC753" s="1" t="n">
        <v>104</v>
      </c>
      <c r="BD753" s="1"/>
      <c r="BE753" s="1" t="s">
        <v>13455</v>
      </c>
      <c r="BF753" s="1" t="str">
        <f aca="false">HYPERLINK("http://dx.doi.org/10.3233/IDA-194890","http://dx.doi.org/10.3233/IDA-194890")</f>
        <v>http://dx.doi.org/10.3233/IDA-194890</v>
      </c>
      <c r="BG753" s="1"/>
      <c r="BH753" s="1"/>
      <c r="BI753" s="1" t="n">
        <v>24</v>
      </c>
      <c r="BJ753" s="1" t="s">
        <v>1625</v>
      </c>
      <c r="BK753" s="1" t="s">
        <v>204</v>
      </c>
      <c r="BL753" s="1" t="s">
        <v>101</v>
      </c>
      <c r="BM753" s="1" t="s">
        <v>13456</v>
      </c>
      <c r="BN753" s="1"/>
      <c r="BO753" s="1" t="s">
        <v>207</v>
      </c>
      <c r="BP753" s="1"/>
      <c r="BQ753" s="1"/>
      <c r="BR753" s="1" t="s">
        <v>103</v>
      </c>
      <c r="BS753" s="1" t="s">
        <v>13457</v>
      </c>
      <c r="BT753" s="1" t="str">
        <f aca="false">HYPERLINK("https%3A%2F%2Fwww.webofscience.com%2Fwos%2Fwoscc%2Ffull-record%2FWOS:000618065600006","View Full Record in Web of Science")</f>
        <v>View Full Record in Web of Science</v>
      </c>
    </row>
    <row r="754" customFormat="false" ht="12.75" hidden="false" customHeight="false" outlineLevel="0" collapsed="false">
      <c r="A754" s="1" t="s">
        <v>181</v>
      </c>
      <c r="B754" s="1" t="s">
        <v>13458</v>
      </c>
      <c r="C754" s="1"/>
      <c r="D754" s="1"/>
      <c r="E754" s="1"/>
      <c r="F754" s="1" t="s">
        <v>13459</v>
      </c>
      <c r="G754" s="1"/>
      <c r="H754" s="1"/>
      <c r="I754" s="1" t="s">
        <v>13460</v>
      </c>
      <c r="J754" s="1" t="s">
        <v>13461</v>
      </c>
      <c r="K754" s="1"/>
      <c r="L754" s="1"/>
      <c r="M754" s="1" t="s">
        <v>78</v>
      </c>
      <c r="N754" s="1" t="s">
        <v>186</v>
      </c>
      <c r="O754" s="1"/>
      <c r="P754" s="1"/>
      <c r="Q754" s="1"/>
      <c r="R754" s="1"/>
      <c r="S754" s="1"/>
      <c r="T754" s="1" t="s">
        <v>13462</v>
      </c>
      <c r="U754" s="1" t="s">
        <v>13463</v>
      </c>
      <c r="V754" s="1" t="s">
        <v>13464</v>
      </c>
      <c r="W754" s="1" t="s">
        <v>13465</v>
      </c>
      <c r="X754" s="1" t="s">
        <v>13466</v>
      </c>
      <c r="Y754" s="1" t="s">
        <v>13467</v>
      </c>
      <c r="Z754" s="1" t="s">
        <v>13468</v>
      </c>
      <c r="AA754" s="1" t="s">
        <v>13469</v>
      </c>
      <c r="AB754" s="1" t="s">
        <v>13470</v>
      </c>
      <c r="AC754" s="1" t="s">
        <v>13471</v>
      </c>
      <c r="AD754" s="1" t="s">
        <v>13472</v>
      </c>
      <c r="AE754" s="1" t="s">
        <v>13473</v>
      </c>
      <c r="AF754" s="1"/>
      <c r="AG754" s="1" t="n">
        <v>46</v>
      </c>
      <c r="AH754" s="1" t="n">
        <v>10</v>
      </c>
      <c r="AI754" s="1" t="n">
        <v>10</v>
      </c>
      <c r="AJ754" s="1" t="n">
        <v>2</v>
      </c>
      <c r="AK754" s="1" t="n">
        <v>12</v>
      </c>
      <c r="AL754" s="1" t="s">
        <v>5232</v>
      </c>
      <c r="AM754" s="1" t="s">
        <v>894</v>
      </c>
      <c r="AN754" s="1" t="s">
        <v>5233</v>
      </c>
      <c r="AO754" s="1" t="s">
        <v>13474</v>
      </c>
      <c r="AP754" s="1" t="s">
        <v>13475</v>
      </c>
      <c r="AQ754" s="1"/>
      <c r="AR754" s="1" t="s">
        <v>13476</v>
      </c>
      <c r="AS754" s="1" t="s">
        <v>13477</v>
      </c>
      <c r="AT754" s="1"/>
      <c r="AU754" s="1" t="n">
        <v>2022</v>
      </c>
      <c r="AV754" s="1" t="n">
        <v>86</v>
      </c>
      <c r="AW754" s="1" t="n">
        <v>4</v>
      </c>
      <c r="AX754" s="1"/>
      <c r="AY754" s="1"/>
      <c r="AZ754" s="1"/>
      <c r="BA754" s="1"/>
      <c r="BB754" s="1" t="n">
        <v>1629</v>
      </c>
      <c r="BC754" s="1" t="n">
        <v>1641</v>
      </c>
      <c r="BD754" s="1"/>
      <c r="BE754" s="1" t="s">
        <v>13478</v>
      </c>
      <c r="BF754" s="1" t="str">
        <f aca="false">HYPERLINK("http://dx.doi.org/10.3233/JAD-215013","http://dx.doi.org/10.3233/JAD-215013")</f>
        <v>http://dx.doi.org/10.3233/JAD-215013</v>
      </c>
      <c r="BG754" s="1"/>
      <c r="BH754" s="1"/>
      <c r="BI754" s="1" t="n">
        <v>13</v>
      </c>
      <c r="BJ754" s="1" t="s">
        <v>13479</v>
      </c>
      <c r="BK754" s="1" t="s">
        <v>398</v>
      </c>
      <c r="BL754" s="1" t="s">
        <v>9349</v>
      </c>
      <c r="BM754" s="1" t="s">
        <v>13480</v>
      </c>
      <c r="BN754" s="1" t="n">
        <v>35213366</v>
      </c>
      <c r="BO754" s="1" t="s">
        <v>612</v>
      </c>
      <c r="BP754" s="1"/>
      <c r="BQ754" s="1"/>
      <c r="BR754" s="1" t="s">
        <v>103</v>
      </c>
      <c r="BS754" s="1" t="s">
        <v>13481</v>
      </c>
      <c r="BT754" s="1" t="str">
        <f aca="false">HYPERLINK("https%3A%2F%2Fwww.webofscience.com%2Fwos%2Fwoscc%2Ffull-record%2FWOS:000784452600010","View Full Record in Web of Science")</f>
        <v>View Full Record in Web of Science</v>
      </c>
    </row>
    <row r="755" customFormat="false" ht="12.75" hidden="false" customHeight="false" outlineLevel="0" collapsed="false">
      <c r="A755" s="1" t="s">
        <v>72</v>
      </c>
      <c r="B755" s="1" t="s">
        <v>13482</v>
      </c>
      <c r="C755" s="1"/>
      <c r="D755" s="1"/>
      <c r="E755" s="1" t="s">
        <v>1080</v>
      </c>
      <c r="F755" s="1" t="s">
        <v>13483</v>
      </c>
      <c r="G755" s="1"/>
      <c r="H755" s="1"/>
      <c r="I755" s="1" t="s">
        <v>13484</v>
      </c>
      <c r="J755" s="1" t="s">
        <v>13485</v>
      </c>
      <c r="K755" s="1" t="s">
        <v>10670</v>
      </c>
      <c r="L755" s="1"/>
      <c r="M755" s="1" t="s">
        <v>78</v>
      </c>
      <c r="N755" s="1" t="s">
        <v>79</v>
      </c>
      <c r="O755" s="1" t="s">
        <v>13486</v>
      </c>
      <c r="P755" s="1" t="s">
        <v>13239</v>
      </c>
      <c r="Q755" s="1" t="s">
        <v>6016</v>
      </c>
      <c r="R755" s="1" t="s">
        <v>13487</v>
      </c>
      <c r="S755" s="1"/>
      <c r="T755" s="1" t="s">
        <v>13488</v>
      </c>
      <c r="U755" s="1" t="s">
        <v>13489</v>
      </c>
      <c r="V755" s="1" t="s">
        <v>13490</v>
      </c>
      <c r="W755" s="1" t="s">
        <v>13491</v>
      </c>
      <c r="X755" s="1" t="s">
        <v>13492</v>
      </c>
      <c r="Y755" s="1" t="s">
        <v>13493</v>
      </c>
      <c r="Z755" s="1" t="s">
        <v>13494</v>
      </c>
      <c r="AA755" s="1" t="s">
        <v>13495</v>
      </c>
      <c r="AB755" s="1"/>
      <c r="AC755" s="1"/>
      <c r="AD755" s="1"/>
      <c r="AE755" s="1"/>
      <c r="AF755" s="1"/>
      <c r="AG755" s="1" t="n">
        <v>79</v>
      </c>
      <c r="AH755" s="1" t="n">
        <v>8</v>
      </c>
      <c r="AI755" s="1" t="n">
        <v>9</v>
      </c>
      <c r="AJ755" s="1" t="n">
        <v>1</v>
      </c>
      <c r="AK755" s="1" t="n">
        <v>17</v>
      </c>
      <c r="AL755" s="1" t="s">
        <v>172</v>
      </c>
      <c r="AM755" s="1" t="s">
        <v>173</v>
      </c>
      <c r="AN755" s="1" t="s">
        <v>174</v>
      </c>
      <c r="AO755" s="1" t="s">
        <v>10682</v>
      </c>
      <c r="AP755" s="1"/>
      <c r="AQ755" s="1" t="s">
        <v>13496</v>
      </c>
      <c r="AR755" s="1" t="s">
        <v>10684</v>
      </c>
      <c r="AS755" s="1"/>
      <c r="AT755" s="1"/>
      <c r="AU755" s="1" t="n">
        <v>2022</v>
      </c>
      <c r="AV755" s="1"/>
      <c r="AW755" s="1"/>
      <c r="AX755" s="1"/>
      <c r="AY755" s="1"/>
      <c r="AZ755" s="1"/>
      <c r="BA755" s="1"/>
      <c r="BB755" s="1" t="n">
        <v>2402</v>
      </c>
      <c r="BC755" s="1" t="n">
        <v>2414</v>
      </c>
      <c r="BD755" s="1"/>
      <c r="BE755" s="1" t="s">
        <v>13497</v>
      </c>
      <c r="BF755" s="1" t="str">
        <f aca="false">HYPERLINK("http://dx.doi.org/10.1145/3510003.3510100","http://dx.doi.org/10.1145/3510003.3510100")</f>
        <v>http://dx.doi.org/10.1145/3510003.3510100</v>
      </c>
      <c r="BG755" s="1"/>
      <c r="BH755" s="1"/>
      <c r="BI755" s="1" t="n">
        <v>13</v>
      </c>
      <c r="BJ755" s="1" t="s">
        <v>994</v>
      </c>
      <c r="BK755" s="1" t="s">
        <v>100</v>
      </c>
      <c r="BL755" s="1" t="s">
        <v>101</v>
      </c>
      <c r="BM755" s="1" t="s">
        <v>13498</v>
      </c>
      <c r="BN755" s="1"/>
      <c r="BO755" s="1" t="s">
        <v>13499</v>
      </c>
      <c r="BP755" s="1"/>
      <c r="BQ755" s="1"/>
      <c r="BR755" s="1" t="s">
        <v>103</v>
      </c>
      <c r="BS755" s="1" t="s">
        <v>13500</v>
      </c>
      <c r="BT755" s="1" t="str">
        <f aca="false">HYPERLINK("https%3A%2F%2Fwww.webofscience.com%2Fwos%2Fwoscc%2Ffull-record%2FWOS:000832185400194","View Full Record in Web of Science")</f>
        <v>View Full Record in Web of Science</v>
      </c>
    </row>
    <row r="756" customFormat="false" ht="12.75" hidden="false" customHeight="false" outlineLevel="0" collapsed="false">
      <c r="A756" s="1" t="s">
        <v>181</v>
      </c>
      <c r="B756" s="1" t="s">
        <v>13501</v>
      </c>
      <c r="C756" s="1"/>
      <c r="D756" s="1"/>
      <c r="E756" s="1"/>
      <c r="F756" s="1" t="s">
        <v>13502</v>
      </c>
      <c r="G756" s="1"/>
      <c r="H756" s="1"/>
      <c r="I756" s="1" t="s">
        <v>13503</v>
      </c>
      <c r="J756" s="1" t="s">
        <v>13504</v>
      </c>
      <c r="K756" s="1"/>
      <c r="L756" s="1"/>
      <c r="M756" s="1" t="s">
        <v>78</v>
      </c>
      <c r="N756" s="1" t="s">
        <v>618</v>
      </c>
      <c r="O756" s="1"/>
      <c r="P756" s="1"/>
      <c r="Q756" s="1"/>
      <c r="R756" s="1"/>
      <c r="S756" s="1"/>
      <c r="T756" s="1" t="s">
        <v>13505</v>
      </c>
      <c r="U756" s="1" t="s">
        <v>13506</v>
      </c>
      <c r="V756" s="1" t="s">
        <v>13507</v>
      </c>
      <c r="W756" s="1" t="s">
        <v>13508</v>
      </c>
      <c r="X756" s="1" t="s">
        <v>13509</v>
      </c>
      <c r="Y756" s="1" t="s">
        <v>9823</v>
      </c>
      <c r="Z756" s="1" t="s">
        <v>12697</v>
      </c>
      <c r="AA756" s="1" t="s">
        <v>13510</v>
      </c>
      <c r="AB756" s="1" t="s">
        <v>13511</v>
      </c>
      <c r="AC756" s="1"/>
      <c r="AD756" s="1"/>
      <c r="AE756" s="1"/>
      <c r="AF756" s="1"/>
      <c r="AG756" s="1" t="n">
        <v>172</v>
      </c>
      <c r="AH756" s="1" t="n">
        <v>3</v>
      </c>
      <c r="AI756" s="1" t="n">
        <v>3</v>
      </c>
      <c r="AJ756" s="1" t="n">
        <v>28</v>
      </c>
      <c r="AK756" s="1" t="n">
        <v>58</v>
      </c>
      <c r="AL756" s="1" t="s">
        <v>195</v>
      </c>
      <c r="AM756" s="1" t="s">
        <v>196</v>
      </c>
      <c r="AN756" s="1" t="s">
        <v>197</v>
      </c>
      <c r="AO756" s="1" t="s">
        <v>13512</v>
      </c>
      <c r="AP756" s="1" t="s">
        <v>13513</v>
      </c>
      <c r="AQ756" s="1"/>
      <c r="AR756" s="1" t="s">
        <v>13514</v>
      </c>
      <c r="AS756" s="1" t="s">
        <v>13515</v>
      </c>
      <c r="AT756" s="1" t="s">
        <v>2134</v>
      </c>
      <c r="AU756" s="1" t="n">
        <v>2024</v>
      </c>
      <c r="AV756" s="1" t="n">
        <v>25</v>
      </c>
      <c r="AW756" s="1" t="n">
        <v>7</v>
      </c>
      <c r="AX756" s="1"/>
      <c r="AY756" s="1"/>
      <c r="AZ756" s="1"/>
      <c r="BA756" s="1"/>
      <c r="BB756" s="1" t="n">
        <v>6290</v>
      </c>
      <c r="BC756" s="1" t="n">
        <v>6308</v>
      </c>
      <c r="BD756" s="1"/>
      <c r="BE756" s="1" t="s">
        <v>13516</v>
      </c>
      <c r="BF756" s="1" t="str">
        <f aca="false">HYPERLINK("http://dx.doi.org/10.1109/TITS.2023.3347280","http://dx.doi.org/10.1109/TITS.2023.3347280")</f>
        <v>http://dx.doi.org/10.1109/TITS.2023.3347280</v>
      </c>
      <c r="BG756" s="1"/>
      <c r="BH756" s="1" t="s">
        <v>3324</v>
      </c>
      <c r="BI756" s="1" t="n">
        <v>19</v>
      </c>
      <c r="BJ756" s="1" t="s">
        <v>13517</v>
      </c>
      <c r="BK756" s="1" t="s">
        <v>204</v>
      </c>
      <c r="BL756" s="1" t="s">
        <v>5588</v>
      </c>
      <c r="BM756" s="1" t="s">
        <v>13518</v>
      </c>
      <c r="BN756" s="1"/>
      <c r="BO756" s="1"/>
      <c r="BP756" s="1"/>
      <c r="BQ756" s="1"/>
      <c r="BR756" s="1" t="s">
        <v>103</v>
      </c>
      <c r="BS756" s="1" t="s">
        <v>13519</v>
      </c>
      <c r="BT756" s="1" t="str">
        <f aca="false">HYPERLINK("https%3A%2F%2Fwww.webofscience.com%2Fwos%2Fwoscc%2Ffull-record%2FWOS:001166580300001","View Full Record in Web of Science")</f>
        <v>View Full Record in Web of Science</v>
      </c>
    </row>
    <row r="757" customFormat="false" ht="12.75" hidden="false" customHeight="false" outlineLevel="0" collapsed="false">
      <c r="A757" s="1" t="s">
        <v>181</v>
      </c>
      <c r="B757" s="1" t="s">
        <v>13520</v>
      </c>
      <c r="C757" s="1"/>
      <c r="D757" s="1"/>
      <c r="E757" s="1"/>
      <c r="F757" s="1" t="s">
        <v>13521</v>
      </c>
      <c r="G757" s="1"/>
      <c r="H757" s="1"/>
      <c r="I757" s="1" t="s">
        <v>13522</v>
      </c>
      <c r="J757" s="1" t="s">
        <v>1921</v>
      </c>
      <c r="K757" s="1"/>
      <c r="L757" s="1"/>
      <c r="M757" s="1" t="s">
        <v>78</v>
      </c>
      <c r="N757" s="1" t="s">
        <v>186</v>
      </c>
      <c r="O757" s="1"/>
      <c r="P757" s="1"/>
      <c r="Q757" s="1"/>
      <c r="R757" s="1"/>
      <c r="S757" s="1"/>
      <c r="T757" s="1" t="s">
        <v>13523</v>
      </c>
      <c r="U757" s="1"/>
      <c r="V757" s="1" t="s">
        <v>13524</v>
      </c>
      <c r="W757" s="1" t="s">
        <v>13525</v>
      </c>
      <c r="X757" s="1" t="s">
        <v>13526</v>
      </c>
      <c r="Y757" s="1" t="s">
        <v>13527</v>
      </c>
      <c r="Z757" s="1" t="s">
        <v>13528</v>
      </c>
      <c r="AA757" s="1" t="s">
        <v>13529</v>
      </c>
      <c r="AB757" s="1" t="s">
        <v>13530</v>
      </c>
      <c r="AC757" s="1" t="s">
        <v>13531</v>
      </c>
      <c r="AD757" s="1" t="s">
        <v>13532</v>
      </c>
      <c r="AE757" s="1" t="s">
        <v>13533</v>
      </c>
      <c r="AF757" s="1"/>
      <c r="AG757" s="1" t="n">
        <v>47</v>
      </c>
      <c r="AH757" s="1" t="n">
        <v>20</v>
      </c>
      <c r="AI757" s="1" t="n">
        <v>21</v>
      </c>
      <c r="AJ757" s="1" t="n">
        <v>2</v>
      </c>
      <c r="AK757" s="1" t="n">
        <v>24</v>
      </c>
      <c r="AL757" s="1" t="s">
        <v>679</v>
      </c>
      <c r="AM757" s="1" t="s">
        <v>95</v>
      </c>
      <c r="AN757" s="1" t="s">
        <v>803</v>
      </c>
      <c r="AO757" s="1" t="s">
        <v>1929</v>
      </c>
      <c r="AP757" s="1" t="s">
        <v>1930</v>
      </c>
      <c r="AQ757" s="1"/>
      <c r="AR757" s="1" t="s">
        <v>1931</v>
      </c>
      <c r="AS757" s="1" t="s">
        <v>1932</v>
      </c>
      <c r="AT757" s="1" t="s">
        <v>2698</v>
      </c>
      <c r="AU757" s="1" t="n">
        <v>2021</v>
      </c>
      <c r="AV757" s="1" t="n">
        <v>26</v>
      </c>
      <c r="AW757" s="1" t="n">
        <v>2</v>
      </c>
      <c r="AX757" s="1"/>
      <c r="AY757" s="1"/>
      <c r="AZ757" s="1"/>
      <c r="BA757" s="1"/>
      <c r="BB757" s="1" t="n">
        <v>273</v>
      </c>
      <c r="BC757" s="1" t="n">
        <v>299</v>
      </c>
      <c r="BD757" s="1"/>
      <c r="BE757" s="1" t="s">
        <v>13534</v>
      </c>
      <c r="BF757" s="1" t="str">
        <f aca="false">HYPERLINK("http://dx.doi.org/10.1007/s00766-020-00345-x","http://dx.doi.org/10.1007/s00766-020-00345-x")</f>
        <v>http://dx.doi.org/10.1007/s00766-020-00345-x</v>
      </c>
      <c r="BG757" s="1"/>
      <c r="BH757" s="1" t="s">
        <v>2728</v>
      </c>
      <c r="BI757" s="1" t="n">
        <v>27</v>
      </c>
      <c r="BJ757" s="1" t="s">
        <v>1394</v>
      </c>
      <c r="BK757" s="1" t="s">
        <v>204</v>
      </c>
      <c r="BL757" s="1" t="s">
        <v>101</v>
      </c>
      <c r="BM757" s="1" t="s">
        <v>13535</v>
      </c>
      <c r="BN757" s="1"/>
      <c r="BO757" s="1"/>
      <c r="BP757" s="1"/>
      <c r="BQ757" s="1"/>
      <c r="BR757" s="1" t="s">
        <v>103</v>
      </c>
      <c r="BS757" s="1" t="s">
        <v>13536</v>
      </c>
      <c r="BT757" s="1" t="str">
        <f aca="false">HYPERLINK("https%3A%2F%2Fwww.webofscience.com%2Fwos%2Fwoscc%2Ffull-record%2FWOS:000610480200001","View Full Record in Web of Science")</f>
        <v>View Full Record in Web of Science</v>
      </c>
    </row>
    <row r="758" customFormat="false" ht="12.75" hidden="false" customHeight="false" outlineLevel="0" collapsed="false">
      <c r="A758" s="1" t="s">
        <v>181</v>
      </c>
      <c r="B758" s="1" t="s">
        <v>13537</v>
      </c>
      <c r="C758" s="1"/>
      <c r="D758" s="1"/>
      <c r="E758" s="1"/>
      <c r="F758" s="1" t="s">
        <v>13538</v>
      </c>
      <c r="G758" s="1"/>
      <c r="H758" s="1"/>
      <c r="I758" s="1" t="s">
        <v>13539</v>
      </c>
      <c r="J758" s="1" t="s">
        <v>13540</v>
      </c>
      <c r="K758" s="1"/>
      <c r="L758" s="1"/>
      <c r="M758" s="1" t="s">
        <v>78</v>
      </c>
      <c r="N758" s="1" t="s">
        <v>186</v>
      </c>
      <c r="O758" s="1"/>
      <c r="P758" s="1"/>
      <c r="Q758" s="1"/>
      <c r="R758" s="1"/>
      <c r="S758" s="1"/>
      <c r="T758" s="1" t="s">
        <v>13541</v>
      </c>
      <c r="U758" s="1"/>
      <c r="V758" s="1" t="s">
        <v>13542</v>
      </c>
      <c r="W758" s="1" t="s">
        <v>13543</v>
      </c>
      <c r="X758" s="1" t="s">
        <v>13544</v>
      </c>
      <c r="Y758" s="1" t="s">
        <v>13545</v>
      </c>
      <c r="Z758" s="1"/>
      <c r="AA758" s="1"/>
      <c r="AB758" s="1" t="s">
        <v>13546</v>
      </c>
      <c r="AC758" s="1" t="s">
        <v>268</v>
      </c>
      <c r="AD758" s="1" t="s">
        <v>268</v>
      </c>
      <c r="AE758" s="1" t="s">
        <v>269</v>
      </c>
      <c r="AF758" s="1"/>
      <c r="AG758" s="1" t="n">
        <v>39</v>
      </c>
      <c r="AH758" s="1" t="n">
        <v>1</v>
      </c>
      <c r="AI758" s="1" t="n">
        <v>1</v>
      </c>
      <c r="AJ758" s="1" t="n">
        <v>0</v>
      </c>
      <c r="AK758" s="1" t="n">
        <v>1</v>
      </c>
      <c r="AL758" s="1" t="s">
        <v>8218</v>
      </c>
      <c r="AM758" s="1" t="s">
        <v>1908</v>
      </c>
      <c r="AN758" s="1" t="s">
        <v>8219</v>
      </c>
      <c r="AO758" s="1"/>
      <c r="AP758" s="1" t="s">
        <v>13547</v>
      </c>
      <c r="AQ758" s="1"/>
      <c r="AR758" s="1" t="s">
        <v>13540</v>
      </c>
      <c r="AS758" s="1" t="s">
        <v>13548</v>
      </c>
      <c r="AT758" s="1" t="s">
        <v>13549</v>
      </c>
      <c r="AU758" s="1" t="n">
        <v>2024</v>
      </c>
      <c r="AV758" s="1" t="n">
        <v>24</v>
      </c>
      <c r="AW758" s="1" t="n">
        <v>1</v>
      </c>
      <c r="AX758" s="1"/>
      <c r="AY758" s="1"/>
      <c r="AZ758" s="1"/>
      <c r="BA758" s="1"/>
      <c r="BB758" s="1"/>
      <c r="BC758" s="1"/>
      <c r="BD758" s="1" t="n">
        <v>149</v>
      </c>
      <c r="BE758" s="1" t="s">
        <v>13550</v>
      </c>
      <c r="BF758" s="1" t="str">
        <f aca="false">HYPERLINK("http://dx.doi.org/10.1186/s12905-024-02992-6","http://dx.doi.org/10.1186/s12905-024-02992-6")</f>
        <v>http://dx.doi.org/10.1186/s12905-024-02992-6</v>
      </c>
      <c r="BG758" s="1"/>
      <c r="BH758" s="1"/>
      <c r="BI758" s="1" t="n">
        <v>11</v>
      </c>
      <c r="BJ758" s="1" t="s">
        <v>13551</v>
      </c>
      <c r="BK758" s="1" t="s">
        <v>398</v>
      </c>
      <c r="BL758" s="1" t="s">
        <v>13551</v>
      </c>
      <c r="BM758" s="1" t="s">
        <v>13552</v>
      </c>
      <c r="BN758" s="1" t="n">
        <v>38424503</v>
      </c>
      <c r="BO758" s="1" t="s">
        <v>542</v>
      </c>
      <c r="BP758" s="1"/>
      <c r="BQ758" s="1"/>
      <c r="BR758" s="1" t="s">
        <v>103</v>
      </c>
      <c r="BS758" s="1" t="s">
        <v>13553</v>
      </c>
      <c r="BT758" s="1" t="str">
        <f aca="false">HYPERLINK("https%3A%2F%2Fwww.webofscience.com%2Fwos%2Fwoscc%2Ffull-record%2FWOS:001175830900003","View Full Record in Web of Science")</f>
        <v>View Full Record in Web of Science</v>
      </c>
    </row>
    <row r="759" customFormat="false" ht="12.75" hidden="false" customHeight="false" outlineLevel="0" collapsed="false">
      <c r="A759" s="1" t="s">
        <v>181</v>
      </c>
      <c r="B759" s="1" t="s">
        <v>13554</v>
      </c>
      <c r="C759" s="1"/>
      <c r="D759" s="1"/>
      <c r="E759" s="1"/>
      <c r="F759" s="1" t="s">
        <v>13555</v>
      </c>
      <c r="G759" s="1"/>
      <c r="H759" s="1"/>
      <c r="I759" s="1" t="s">
        <v>13556</v>
      </c>
      <c r="J759" s="1" t="s">
        <v>5910</v>
      </c>
      <c r="K759" s="1"/>
      <c r="L759" s="1"/>
      <c r="M759" s="1" t="s">
        <v>78</v>
      </c>
      <c r="N759" s="1" t="s">
        <v>186</v>
      </c>
      <c r="O759" s="1"/>
      <c r="P759" s="1"/>
      <c r="Q759" s="1"/>
      <c r="R759" s="1"/>
      <c r="S759" s="1"/>
      <c r="T759" s="1" t="s">
        <v>13557</v>
      </c>
      <c r="U759" s="1" t="s">
        <v>13558</v>
      </c>
      <c r="V759" s="1" t="s">
        <v>13559</v>
      </c>
      <c r="W759" s="1" t="s">
        <v>13560</v>
      </c>
      <c r="X759" s="1" t="s">
        <v>13561</v>
      </c>
      <c r="Y759" s="1" t="s">
        <v>13562</v>
      </c>
      <c r="Z759" s="1" t="s">
        <v>13563</v>
      </c>
      <c r="AA759" s="1" t="s">
        <v>13564</v>
      </c>
      <c r="AB759" s="1" t="s">
        <v>13565</v>
      </c>
      <c r="AC759" s="1" t="s">
        <v>13566</v>
      </c>
      <c r="AD759" s="1" t="s">
        <v>13567</v>
      </c>
      <c r="AE759" s="1" t="s">
        <v>13568</v>
      </c>
      <c r="AF759" s="1"/>
      <c r="AG759" s="1" t="n">
        <v>94</v>
      </c>
      <c r="AH759" s="1" t="n">
        <v>6</v>
      </c>
      <c r="AI759" s="1" t="n">
        <v>6</v>
      </c>
      <c r="AJ759" s="1" t="n">
        <v>0</v>
      </c>
      <c r="AK759" s="1" t="n">
        <v>9</v>
      </c>
      <c r="AL759" s="1" t="s">
        <v>172</v>
      </c>
      <c r="AM759" s="1" t="s">
        <v>173</v>
      </c>
      <c r="AN759" s="1" t="s">
        <v>4882</v>
      </c>
      <c r="AO759" s="1" t="s">
        <v>5922</v>
      </c>
      <c r="AP759" s="1" t="s">
        <v>5923</v>
      </c>
      <c r="AQ759" s="1"/>
      <c r="AR759" s="1" t="s">
        <v>5924</v>
      </c>
      <c r="AS759" s="1" t="s">
        <v>5925</v>
      </c>
      <c r="AT759" s="1" t="s">
        <v>2346</v>
      </c>
      <c r="AU759" s="1" t="n">
        <v>2020</v>
      </c>
      <c r="AV759" s="1" t="n">
        <v>46</v>
      </c>
      <c r="AW759" s="1" t="n">
        <v>3</v>
      </c>
      <c r="AX759" s="1"/>
      <c r="AY759" s="1"/>
      <c r="AZ759" s="1"/>
      <c r="BA759" s="1"/>
      <c r="BB759" s="1" t="n">
        <v>222</v>
      </c>
      <c r="BC759" s="1" t="n">
        <v>250</v>
      </c>
      <c r="BD759" s="1"/>
      <c r="BE759" s="1" t="s">
        <v>13569</v>
      </c>
      <c r="BF759" s="1" t="str">
        <f aca="false">HYPERLINK("http://dx.doi.org/10.1109/TSE.2018.2846576","http://dx.doi.org/10.1109/TSE.2018.2846576")</f>
        <v>http://dx.doi.org/10.1109/TSE.2018.2846576</v>
      </c>
      <c r="BG759" s="1"/>
      <c r="BH759" s="1"/>
      <c r="BI759" s="1" t="n">
        <v>29</v>
      </c>
      <c r="BJ759" s="1" t="s">
        <v>5928</v>
      </c>
      <c r="BK759" s="1" t="s">
        <v>204</v>
      </c>
      <c r="BL759" s="1" t="s">
        <v>1255</v>
      </c>
      <c r="BM759" s="1" t="s">
        <v>13570</v>
      </c>
      <c r="BN759" s="1"/>
      <c r="BO759" s="1"/>
      <c r="BP759" s="1"/>
      <c r="BQ759" s="1"/>
      <c r="BR759" s="1" t="s">
        <v>103</v>
      </c>
      <c r="BS759" s="1" t="s">
        <v>13571</v>
      </c>
      <c r="BT759" s="1" t="str">
        <f aca="false">HYPERLINK("https%3A%2F%2Fwww.webofscience.com%2Fwos%2Fwoscc%2Ffull-record%2FWOS:000522205900001","View Full Record in Web of Science")</f>
        <v>View Full Record in Web of Science</v>
      </c>
    </row>
    <row r="760" customFormat="false" ht="12.75" hidden="false" customHeight="false" outlineLevel="0" collapsed="false">
      <c r="A760" s="1" t="s">
        <v>181</v>
      </c>
      <c r="B760" s="1" t="s">
        <v>13572</v>
      </c>
      <c r="C760" s="1"/>
      <c r="D760" s="1"/>
      <c r="E760" s="1"/>
      <c r="F760" s="1" t="s">
        <v>13573</v>
      </c>
      <c r="G760" s="1"/>
      <c r="H760" s="1"/>
      <c r="I760" s="1" t="s">
        <v>13574</v>
      </c>
      <c r="J760" s="1" t="s">
        <v>13575</v>
      </c>
      <c r="K760" s="1"/>
      <c r="L760" s="1"/>
      <c r="M760" s="1" t="s">
        <v>78</v>
      </c>
      <c r="N760" s="1" t="s">
        <v>186</v>
      </c>
      <c r="O760" s="1"/>
      <c r="P760" s="1"/>
      <c r="Q760" s="1"/>
      <c r="R760" s="1"/>
      <c r="S760" s="1"/>
      <c r="T760" s="1" t="s">
        <v>13576</v>
      </c>
      <c r="U760" s="1" t="s">
        <v>13577</v>
      </c>
      <c r="V760" s="1" t="s">
        <v>13578</v>
      </c>
      <c r="W760" s="1" t="s">
        <v>13579</v>
      </c>
      <c r="X760" s="1" t="s">
        <v>13580</v>
      </c>
      <c r="Y760" s="1" t="s">
        <v>13581</v>
      </c>
      <c r="Z760" s="1" t="s">
        <v>13582</v>
      </c>
      <c r="AA760" s="1"/>
      <c r="AB760" s="1"/>
      <c r="AC760" s="1"/>
      <c r="AD760" s="1"/>
      <c r="AE760" s="1"/>
      <c r="AF760" s="1"/>
      <c r="AG760" s="1" t="n">
        <v>56</v>
      </c>
      <c r="AH760" s="1" t="n">
        <v>1</v>
      </c>
      <c r="AI760" s="1" t="n">
        <v>1</v>
      </c>
      <c r="AJ760" s="1" t="n">
        <v>13</v>
      </c>
      <c r="AK760" s="1" t="n">
        <v>21</v>
      </c>
      <c r="AL760" s="1" t="s">
        <v>2710</v>
      </c>
      <c r="AM760" s="1" t="s">
        <v>1221</v>
      </c>
      <c r="AN760" s="1" t="s">
        <v>2711</v>
      </c>
      <c r="AO760" s="1" t="s">
        <v>13583</v>
      </c>
      <c r="AP760" s="1" t="s">
        <v>13584</v>
      </c>
      <c r="AQ760" s="1"/>
      <c r="AR760" s="1" t="s">
        <v>13585</v>
      </c>
      <c r="AS760" s="1" t="s">
        <v>13586</v>
      </c>
      <c r="AT760" s="1" t="s">
        <v>5386</v>
      </c>
      <c r="AU760" s="1" t="n">
        <v>2024</v>
      </c>
      <c r="AV760" s="1" t="n">
        <v>33</v>
      </c>
      <c r="AW760" s="1"/>
      <c r="AX760" s="1"/>
      <c r="AY760" s="1" t="s">
        <v>13587</v>
      </c>
      <c r="AZ760" s="1" t="s">
        <v>1698</v>
      </c>
      <c r="BA760" s="1"/>
      <c r="BB760" s="1" t="n">
        <v>1321</v>
      </c>
      <c r="BC760" s="1" t="n">
        <v>1331</v>
      </c>
      <c r="BD760" s="1"/>
      <c r="BE760" s="1" t="s">
        <v>13588</v>
      </c>
      <c r="BF760" s="1" t="str">
        <f aca="false">HYPERLINK("http://dx.doi.org/10.1080/12460125.2024.2349425","http://dx.doi.org/10.1080/12460125.2024.2349425")</f>
        <v>http://dx.doi.org/10.1080/12460125.2024.2349425</v>
      </c>
      <c r="BG760" s="1"/>
      <c r="BH760" s="1" t="s">
        <v>2002</v>
      </c>
      <c r="BI760" s="1" t="n">
        <v>11</v>
      </c>
      <c r="BJ760" s="1" t="s">
        <v>13589</v>
      </c>
      <c r="BK760" s="1" t="s">
        <v>253</v>
      </c>
      <c r="BL760" s="1" t="s">
        <v>13589</v>
      </c>
      <c r="BM760" s="1" t="s">
        <v>13590</v>
      </c>
      <c r="BN760" s="1"/>
      <c r="BO760" s="1"/>
      <c r="BP760" s="1"/>
      <c r="BQ760" s="1"/>
      <c r="BR760" s="1" t="s">
        <v>103</v>
      </c>
      <c r="BS760" s="1" t="s">
        <v>13591</v>
      </c>
      <c r="BT760" s="1" t="str">
        <f aca="false">HYPERLINK("https%3A%2F%2Fwww.webofscience.com%2Fwos%2Fwoscc%2Ffull-record%2FWOS:001230560500001","View Full Record in Web of Science")</f>
        <v>View Full Record in Web of Science</v>
      </c>
    </row>
    <row r="761" customFormat="false" ht="12.75" hidden="false" customHeight="false" outlineLevel="0" collapsed="false">
      <c r="A761" s="1" t="s">
        <v>181</v>
      </c>
      <c r="B761" s="1" t="s">
        <v>13592</v>
      </c>
      <c r="C761" s="1"/>
      <c r="D761" s="1"/>
      <c r="E761" s="1"/>
      <c r="F761" s="1" t="s">
        <v>13593</v>
      </c>
      <c r="G761" s="1"/>
      <c r="H761" s="1"/>
      <c r="I761" s="1" t="s">
        <v>13594</v>
      </c>
      <c r="J761" s="1" t="s">
        <v>3700</v>
      </c>
      <c r="K761" s="1"/>
      <c r="L761" s="1"/>
      <c r="M761" s="1" t="s">
        <v>78</v>
      </c>
      <c r="N761" s="1" t="s">
        <v>186</v>
      </c>
      <c r="O761" s="1"/>
      <c r="P761" s="1"/>
      <c r="Q761" s="1"/>
      <c r="R761" s="1"/>
      <c r="S761" s="1"/>
      <c r="T761" s="1" t="s">
        <v>13595</v>
      </c>
      <c r="U761" s="1"/>
      <c r="V761" s="1" t="s">
        <v>13596</v>
      </c>
      <c r="W761" s="1" t="s">
        <v>13597</v>
      </c>
      <c r="X761" s="1" t="s">
        <v>13598</v>
      </c>
      <c r="Y761" s="1" t="s">
        <v>2489</v>
      </c>
      <c r="Z761" s="1" t="s">
        <v>13599</v>
      </c>
      <c r="AA761" s="1" t="s">
        <v>13600</v>
      </c>
      <c r="AB761" s="1" t="s">
        <v>13601</v>
      </c>
      <c r="AC761" s="1" t="s">
        <v>1186</v>
      </c>
      <c r="AD761" s="1" t="s">
        <v>1186</v>
      </c>
      <c r="AE761" s="1" t="s">
        <v>1187</v>
      </c>
      <c r="AF761" s="1"/>
      <c r="AG761" s="1" t="n">
        <v>16</v>
      </c>
      <c r="AH761" s="1" t="n">
        <v>0</v>
      </c>
      <c r="AI761" s="1" t="n">
        <v>0</v>
      </c>
      <c r="AJ761" s="1" t="n">
        <v>2</v>
      </c>
      <c r="AK761" s="1" t="n">
        <v>2</v>
      </c>
      <c r="AL761" s="1" t="s">
        <v>3711</v>
      </c>
      <c r="AM761" s="1" t="s">
        <v>95</v>
      </c>
      <c r="AN761" s="1" t="s">
        <v>3712</v>
      </c>
      <c r="AO761" s="1" t="s">
        <v>3713</v>
      </c>
      <c r="AP761" s="1" t="s">
        <v>3714</v>
      </c>
      <c r="AQ761" s="1"/>
      <c r="AR761" s="1" t="s">
        <v>3715</v>
      </c>
      <c r="AS761" s="1" t="s">
        <v>3716</v>
      </c>
      <c r="AT761" s="1" t="s">
        <v>711</v>
      </c>
      <c r="AU761" s="1" t="n">
        <v>2024</v>
      </c>
      <c r="AV761" s="1" t="n">
        <v>214</v>
      </c>
      <c r="AW761" s="1"/>
      <c r="AX761" s="1"/>
      <c r="AY761" s="1"/>
      <c r="AZ761" s="1"/>
      <c r="BA761" s="1"/>
      <c r="BB761" s="1"/>
      <c r="BC761" s="1"/>
      <c r="BD761" s="1" t="n">
        <v>1121062</v>
      </c>
      <c r="BE761" s="1" t="s">
        <v>13602</v>
      </c>
      <c r="BF761" s="1" t="str">
        <f aca="false">HYPERLINK("http://dx.doi.org/10.1016/j.jss.2024.112062","http://dx.doi.org/10.1016/j.jss.2024.112062")</f>
        <v>http://dx.doi.org/10.1016/j.jss.2024.112062</v>
      </c>
      <c r="BG761" s="1"/>
      <c r="BH761" s="1" t="s">
        <v>2002</v>
      </c>
      <c r="BI761" s="1" t="n">
        <v>12</v>
      </c>
      <c r="BJ761" s="1" t="s">
        <v>994</v>
      </c>
      <c r="BK761" s="1" t="s">
        <v>204</v>
      </c>
      <c r="BL761" s="1" t="s">
        <v>101</v>
      </c>
      <c r="BM761" s="1" t="s">
        <v>13603</v>
      </c>
      <c r="BN761" s="1"/>
      <c r="BO761" s="1" t="s">
        <v>612</v>
      </c>
      <c r="BP761" s="1"/>
      <c r="BQ761" s="1"/>
      <c r="BR761" s="1" t="s">
        <v>103</v>
      </c>
      <c r="BS761" s="1" t="s">
        <v>13604</v>
      </c>
      <c r="BT761" s="1" t="str">
        <f aca="false">HYPERLINK("https%3A%2F%2Fwww.webofscience.com%2Fwos%2Fwoscc%2Ffull-record%2FWOS:001237888500001","View Full Record in Web of Science")</f>
        <v>View Full Record in Web of Science</v>
      </c>
    </row>
    <row r="762" customFormat="false" ht="12.75" hidden="false" customHeight="false" outlineLevel="0" collapsed="false">
      <c r="A762" s="1" t="s">
        <v>72</v>
      </c>
      <c r="B762" s="1" t="s">
        <v>13605</v>
      </c>
      <c r="C762" s="1"/>
      <c r="D762" s="1" t="s">
        <v>1838</v>
      </c>
      <c r="E762" s="1"/>
      <c r="F762" s="1" t="s">
        <v>13606</v>
      </c>
      <c r="G762" s="1"/>
      <c r="H762" s="1"/>
      <c r="I762" s="1" t="s">
        <v>13607</v>
      </c>
      <c r="J762" s="1" t="s">
        <v>1841</v>
      </c>
      <c r="K762" s="1" t="s">
        <v>498</v>
      </c>
      <c r="L762" s="1"/>
      <c r="M762" s="1" t="s">
        <v>78</v>
      </c>
      <c r="N762" s="1" t="s">
        <v>79</v>
      </c>
      <c r="O762" s="1" t="s">
        <v>1842</v>
      </c>
      <c r="P762" s="1" t="s">
        <v>336</v>
      </c>
      <c r="Q762" s="1" t="s">
        <v>1843</v>
      </c>
      <c r="R762" s="1"/>
      <c r="S762" s="1"/>
      <c r="T762" s="1" t="s">
        <v>13608</v>
      </c>
      <c r="U762" s="1" t="s">
        <v>13609</v>
      </c>
      <c r="V762" s="1" t="s">
        <v>13610</v>
      </c>
      <c r="W762" s="1" t="s">
        <v>13611</v>
      </c>
      <c r="X762" s="1" t="s">
        <v>13612</v>
      </c>
      <c r="Y762" s="1" t="s">
        <v>13379</v>
      </c>
      <c r="Z762" s="1" t="s">
        <v>13613</v>
      </c>
      <c r="AA762" s="1" t="s">
        <v>13381</v>
      </c>
      <c r="AB762" s="1" t="s">
        <v>13614</v>
      </c>
      <c r="AC762" s="1" t="s">
        <v>13383</v>
      </c>
      <c r="AD762" s="1" t="s">
        <v>13384</v>
      </c>
      <c r="AE762" s="1" t="s">
        <v>13385</v>
      </c>
      <c r="AF762" s="1"/>
      <c r="AG762" s="1" t="n">
        <v>71</v>
      </c>
      <c r="AH762" s="1" t="n">
        <v>1</v>
      </c>
      <c r="AI762" s="1" t="n">
        <v>1</v>
      </c>
      <c r="AJ762" s="1" t="n">
        <v>0</v>
      </c>
      <c r="AK762" s="1" t="n">
        <v>1</v>
      </c>
      <c r="AL762" s="1" t="s">
        <v>302</v>
      </c>
      <c r="AM762" s="1" t="s">
        <v>303</v>
      </c>
      <c r="AN762" s="1" t="s">
        <v>304</v>
      </c>
      <c r="AO762" s="1" t="s">
        <v>512</v>
      </c>
      <c r="AP762" s="1" t="s">
        <v>513</v>
      </c>
      <c r="AQ762" s="1" t="s">
        <v>1850</v>
      </c>
      <c r="AR762" s="1" t="s">
        <v>515</v>
      </c>
      <c r="AS762" s="1"/>
      <c r="AT762" s="1"/>
      <c r="AU762" s="1" t="n">
        <v>2021</v>
      </c>
      <c r="AV762" s="1" t="n">
        <v>422</v>
      </c>
      <c r="AW762" s="1"/>
      <c r="AX762" s="1"/>
      <c r="AY762" s="1"/>
      <c r="AZ762" s="1"/>
      <c r="BA762" s="1"/>
      <c r="BB762" s="1" t="n">
        <v>296</v>
      </c>
      <c r="BC762" s="1" t="n">
        <v>305</v>
      </c>
      <c r="BD762" s="1"/>
      <c r="BE762" s="1" t="s">
        <v>13615</v>
      </c>
      <c r="BF762" s="1" t="str">
        <f aca="false">HYPERLINK("http://dx.doi.org/10.1007/978-3-030-79976-2_18","http://dx.doi.org/10.1007/978-3-030-79976-2_18")</f>
        <v>http://dx.doi.org/10.1007/978-3-030-79976-2_18</v>
      </c>
      <c r="BG762" s="1"/>
      <c r="BH762" s="1"/>
      <c r="BI762" s="1" t="n">
        <v>10</v>
      </c>
      <c r="BJ762" s="1" t="s">
        <v>1852</v>
      </c>
      <c r="BK762" s="1" t="s">
        <v>1254</v>
      </c>
      <c r="BL762" s="1" t="s">
        <v>1853</v>
      </c>
      <c r="BM762" s="1" t="s">
        <v>1854</v>
      </c>
      <c r="BN762" s="1"/>
      <c r="BO762" s="1"/>
      <c r="BP762" s="1"/>
      <c r="BQ762" s="1"/>
      <c r="BR762" s="1" t="s">
        <v>103</v>
      </c>
      <c r="BS762" s="1" t="s">
        <v>13616</v>
      </c>
      <c r="BT762" s="1" t="str">
        <f aca="false">HYPERLINK("https%3A%2F%2Fwww.webofscience.com%2Fwos%2Fwoscc%2Ffull-record%2FWOS:000841498500018","View Full Record in Web of Science")</f>
        <v>View Full Record in Web of Science</v>
      </c>
    </row>
    <row r="763" customFormat="false" ht="12.75" hidden="false" customHeight="false" outlineLevel="0" collapsed="false">
      <c r="A763" s="1" t="s">
        <v>181</v>
      </c>
      <c r="B763" s="1" t="s">
        <v>11802</v>
      </c>
      <c r="C763" s="1"/>
      <c r="D763" s="1"/>
      <c r="E763" s="1"/>
      <c r="F763" s="1" t="s">
        <v>11803</v>
      </c>
      <c r="G763" s="1"/>
      <c r="H763" s="1"/>
      <c r="I763" s="1" t="s">
        <v>13617</v>
      </c>
      <c r="J763" s="1" t="s">
        <v>13618</v>
      </c>
      <c r="K763" s="1"/>
      <c r="L763" s="1"/>
      <c r="M763" s="1" t="s">
        <v>78</v>
      </c>
      <c r="N763" s="1" t="s">
        <v>186</v>
      </c>
      <c r="O763" s="1"/>
      <c r="P763" s="1"/>
      <c r="Q763" s="1"/>
      <c r="R763" s="1"/>
      <c r="S763" s="1"/>
      <c r="T763" s="1" t="s">
        <v>13619</v>
      </c>
      <c r="U763" s="1" t="s">
        <v>6939</v>
      </c>
      <c r="V763" s="1" t="s">
        <v>13620</v>
      </c>
      <c r="W763" s="1" t="s">
        <v>13621</v>
      </c>
      <c r="X763" s="1" t="s">
        <v>13622</v>
      </c>
      <c r="Y763" s="1" t="s">
        <v>13623</v>
      </c>
      <c r="Z763" s="1" t="s">
        <v>11813</v>
      </c>
      <c r="AA763" s="1" t="s">
        <v>13624</v>
      </c>
      <c r="AB763" s="1" t="s">
        <v>13625</v>
      </c>
      <c r="AC763" s="1" t="s">
        <v>13626</v>
      </c>
      <c r="AD763" s="1" t="s">
        <v>13626</v>
      </c>
      <c r="AE763" s="1" t="s">
        <v>13627</v>
      </c>
      <c r="AF763" s="1"/>
      <c r="AG763" s="1" t="n">
        <v>34</v>
      </c>
      <c r="AH763" s="1" t="n">
        <v>3</v>
      </c>
      <c r="AI763" s="1" t="n">
        <v>4</v>
      </c>
      <c r="AJ763" s="1" t="n">
        <v>0</v>
      </c>
      <c r="AK763" s="1" t="n">
        <v>7</v>
      </c>
      <c r="AL763" s="1" t="s">
        <v>195</v>
      </c>
      <c r="AM763" s="1" t="s">
        <v>196</v>
      </c>
      <c r="AN763" s="1" t="s">
        <v>197</v>
      </c>
      <c r="AO763" s="1" t="s">
        <v>13628</v>
      </c>
      <c r="AP763" s="1" t="s">
        <v>13629</v>
      </c>
      <c r="AQ763" s="1"/>
      <c r="AR763" s="1" t="s">
        <v>13630</v>
      </c>
      <c r="AS763" s="1" t="s">
        <v>13631</v>
      </c>
      <c r="AT763" s="1" t="s">
        <v>754</v>
      </c>
      <c r="AU763" s="1" t="n">
        <v>2020</v>
      </c>
      <c r="AV763" s="1" t="n">
        <v>68</v>
      </c>
      <c r="AW763" s="1" t="n">
        <v>5</v>
      </c>
      <c r="AX763" s="1"/>
      <c r="AY763" s="1"/>
      <c r="AZ763" s="1"/>
      <c r="BA763" s="1"/>
      <c r="BB763" s="1" t="n">
        <v>2891</v>
      </c>
      <c r="BC763" s="1" t="n">
        <v>2905</v>
      </c>
      <c r="BD763" s="1"/>
      <c r="BE763" s="1" t="s">
        <v>13632</v>
      </c>
      <c r="BF763" s="1" t="str">
        <f aca="false">HYPERLINK("http://dx.doi.org/10.1109/TCOMM.2020.2971975","http://dx.doi.org/10.1109/TCOMM.2020.2971975")</f>
        <v>http://dx.doi.org/10.1109/TCOMM.2020.2971975</v>
      </c>
      <c r="BG763" s="1"/>
      <c r="BH763" s="1"/>
      <c r="BI763" s="1" t="n">
        <v>15</v>
      </c>
      <c r="BJ763" s="1" t="s">
        <v>153</v>
      </c>
      <c r="BK763" s="1" t="s">
        <v>204</v>
      </c>
      <c r="BL763" s="1" t="s">
        <v>154</v>
      </c>
      <c r="BM763" s="1" t="s">
        <v>13633</v>
      </c>
      <c r="BN763" s="1"/>
      <c r="BO763" s="1"/>
      <c r="BP763" s="1"/>
      <c r="BQ763" s="1"/>
      <c r="BR763" s="1" t="s">
        <v>103</v>
      </c>
      <c r="BS763" s="1" t="s">
        <v>13634</v>
      </c>
      <c r="BT763" s="1" t="str">
        <f aca="false">HYPERLINK("https%3A%2F%2Fwww.webofscience.com%2Fwos%2Fwoscc%2Ffull-record%2FWOS:000536770300018","View Full Record in Web of Science")</f>
        <v>View Full Record in Web of Science</v>
      </c>
    </row>
    <row r="764" customFormat="false" ht="12.75" hidden="false" customHeight="false" outlineLevel="0" collapsed="false">
      <c r="A764" s="1" t="s">
        <v>181</v>
      </c>
      <c r="B764" s="1" t="s">
        <v>13635</v>
      </c>
      <c r="C764" s="1"/>
      <c r="D764" s="1"/>
      <c r="E764" s="1"/>
      <c r="F764" s="1" t="s">
        <v>13636</v>
      </c>
      <c r="G764" s="1"/>
      <c r="H764" s="1"/>
      <c r="I764" s="1" t="s">
        <v>13637</v>
      </c>
      <c r="J764" s="1" t="s">
        <v>13638</v>
      </c>
      <c r="K764" s="1"/>
      <c r="L764" s="1"/>
      <c r="M764" s="1" t="s">
        <v>78</v>
      </c>
      <c r="N764" s="1" t="s">
        <v>186</v>
      </c>
      <c r="O764" s="1"/>
      <c r="P764" s="1"/>
      <c r="Q764" s="1"/>
      <c r="R764" s="1"/>
      <c r="S764" s="1"/>
      <c r="T764" s="1" t="s">
        <v>13639</v>
      </c>
      <c r="U764" s="1" t="s">
        <v>13640</v>
      </c>
      <c r="V764" s="1" t="s">
        <v>13641</v>
      </c>
      <c r="W764" s="1" t="s">
        <v>13642</v>
      </c>
      <c r="X764" s="1" t="s">
        <v>13643</v>
      </c>
      <c r="Y764" s="1" t="s">
        <v>13644</v>
      </c>
      <c r="Z764" s="1" t="s">
        <v>13645</v>
      </c>
      <c r="AA764" s="1"/>
      <c r="AB764" s="1" t="s">
        <v>13646</v>
      </c>
      <c r="AC764" s="1" t="s">
        <v>13647</v>
      </c>
      <c r="AD764" s="1" t="s">
        <v>13647</v>
      </c>
      <c r="AE764" s="1" t="s">
        <v>13648</v>
      </c>
      <c r="AF764" s="1"/>
      <c r="AG764" s="1" t="n">
        <v>39</v>
      </c>
      <c r="AH764" s="1" t="n">
        <v>0</v>
      </c>
      <c r="AI764" s="1" t="n">
        <v>0</v>
      </c>
      <c r="AJ764" s="1" t="n">
        <v>3</v>
      </c>
      <c r="AK764" s="1" t="n">
        <v>14</v>
      </c>
      <c r="AL764" s="1" t="s">
        <v>2710</v>
      </c>
      <c r="AM764" s="1" t="s">
        <v>1221</v>
      </c>
      <c r="AN764" s="1" t="s">
        <v>2711</v>
      </c>
      <c r="AO764" s="1" t="s">
        <v>13649</v>
      </c>
      <c r="AP764" s="1" t="s">
        <v>13650</v>
      </c>
      <c r="AQ764" s="1"/>
      <c r="AR764" s="1" t="s">
        <v>13651</v>
      </c>
      <c r="AS764" s="1" t="s">
        <v>13652</v>
      </c>
      <c r="AT764" s="1" t="s">
        <v>5386</v>
      </c>
      <c r="AU764" s="1" t="n">
        <v>2024</v>
      </c>
      <c r="AV764" s="1" t="n">
        <v>19</v>
      </c>
      <c r="AW764" s="1" t="n">
        <v>1</v>
      </c>
      <c r="AX764" s="1"/>
      <c r="AY764" s="1"/>
      <c r="AZ764" s="1"/>
      <c r="BA764" s="1"/>
      <c r="BB764" s="1"/>
      <c r="BC764" s="1"/>
      <c r="BD764" s="1" t="n">
        <v>2313657</v>
      </c>
      <c r="BE764" s="1" t="s">
        <v>13653</v>
      </c>
      <c r="BF764" s="1" t="str">
        <f aca="false">HYPERLINK("http://dx.doi.org/10.1080/17482631.2024.2313657","http://dx.doi.org/10.1080/17482631.2024.2313657")</f>
        <v>http://dx.doi.org/10.1080/17482631.2024.2313657</v>
      </c>
      <c r="BG764" s="1"/>
      <c r="BH764" s="1"/>
      <c r="BI764" s="1" t="n">
        <v>10</v>
      </c>
      <c r="BJ764" s="1" t="s">
        <v>13654</v>
      </c>
      <c r="BK764" s="1" t="s">
        <v>610</v>
      </c>
      <c r="BL764" s="1" t="s">
        <v>13655</v>
      </c>
      <c r="BM764" s="1" t="s">
        <v>13656</v>
      </c>
      <c r="BN764" s="1" t="n">
        <v>38349928</v>
      </c>
      <c r="BO764" s="1" t="s">
        <v>401</v>
      </c>
      <c r="BP764" s="1"/>
      <c r="BQ764" s="1"/>
      <c r="BR764" s="1" t="s">
        <v>103</v>
      </c>
      <c r="BS764" s="1" t="s">
        <v>13657</v>
      </c>
      <c r="BT764" s="1" t="str">
        <f aca="false">HYPERLINK("https%3A%2F%2Fwww.webofscience.com%2Fwos%2Fwoscc%2Ffull-record%2FWOS:001161297400001","View Full Record in Web of Science")</f>
        <v>View Full Record in Web of Science</v>
      </c>
    </row>
    <row r="765" customFormat="false" ht="12.75" hidden="false" customHeight="false" outlineLevel="0" collapsed="false">
      <c r="A765" s="1" t="s">
        <v>72</v>
      </c>
      <c r="B765" s="1" t="s">
        <v>13658</v>
      </c>
      <c r="C765" s="1"/>
      <c r="D765" s="1" t="s">
        <v>13659</v>
      </c>
      <c r="E765" s="1"/>
      <c r="F765" s="1" t="s">
        <v>13660</v>
      </c>
      <c r="G765" s="1"/>
      <c r="H765" s="1"/>
      <c r="I765" s="1" t="s">
        <v>13661</v>
      </c>
      <c r="J765" s="1" t="s">
        <v>13662</v>
      </c>
      <c r="K765" s="1" t="s">
        <v>13663</v>
      </c>
      <c r="L765" s="1"/>
      <c r="M765" s="1" t="s">
        <v>78</v>
      </c>
      <c r="N765" s="1" t="s">
        <v>79</v>
      </c>
      <c r="O765" s="1" t="s">
        <v>13664</v>
      </c>
      <c r="P765" s="1" t="s">
        <v>13665</v>
      </c>
      <c r="Q765" s="1" t="s">
        <v>13666</v>
      </c>
      <c r="R765" s="1" t="s">
        <v>1086</v>
      </c>
      <c r="S765" s="1"/>
      <c r="T765" s="1" t="s">
        <v>13667</v>
      </c>
      <c r="U765" s="1" t="s">
        <v>13668</v>
      </c>
      <c r="V765" s="1" t="s">
        <v>13669</v>
      </c>
      <c r="W765" s="1" t="s">
        <v>13670</v>
      </c>
      <c r="X765" s="1" t="s">
        <v>13671</v>
      </c>
      <c r="Y765" s="1" t="s">
        <v>13672</v>
      </c>
      <c r="Z765" s="1" t="s">
        <v>13673</v>
      </c>
      <c r="AA765" s="1" t="s">
        <v>13674</v>
      </c>
      <c r="AB765" s="1" t="s">
        <v>13675</v>
      </c>
      <c r="AC765" s="1" t="s">
        <v>13676</v>
      </c>
      <c r="AD765" s="1" t="s">
        <v>13677</v>
      </c>
      <c r="AE765" s="1" t="s">
        <v>13678</v>
      </c>
      <c r="AF765" s="1"/>
      <c r="AG765" s="1" t="n">
        <v>27</v>
      </c>
      <c r="AH765" s="1" t="n">
        <v>8</v>
      </c>
      <c r="AI765" s="1" t="n">
        <v>8</v>
      </c>
      <c r="AJ765" s="1" t="n">
        <v>0</v>
      </c>
      <c r="AK765" s="1" t="n">
        <v>2</v>
      </c>
      <c r="AL765" s="1" t="s">
        <v>172</v>
      </c>
      <c r="AM765" s="1" t="s">
        <v>173</v>
      </c>
      <c r="AN765" s="1" t="s">
        <v>174</v>
      </c>
      <c r="AO765" s="1" t="s">
        <v>13679</v>
      </c>
      <c r="AP765" s="1"/>
      <c r="AQ765" s="1" t="s">
        <v>13680</v>
      </c>
      <c r="AR765" s="1" t="s">
        <v>13681</v>
      </c>
      <c r="AS765" s="1"/>
      <c r="AT765" s="1"/>
      <c r="AU765" s="1" t="n">
        <v>2020</v>
      </c>
      <c r="AV765" s="1"/>
      <c r="AW765" s="1"/>
      <c r="AX765" s="1"/>
      <c r="AY765" s="1"/>
      <c r="AZ765" s="1"/>
      <c r="BA765" s="1"/>
      <c r="BB765" s="1" t="n">
        <v>345</v>
      </c>
      <c r="BC765" s="1" t="n">
        <v>352</v>
      </c>
      <c r="BD765" s="1"/>
      <c r="BE765" s="1" t="s">
        <v>13682</v>
      </c>
      <c r="BF765" s="1" t="str">
        <f aca="false">HYPERLINK("http://dx.doi.org/10.1109/TrustCom50675.2020.00055","http://dx.doi.org/10.1109/TrustCom50675.2020.00055")</f>
        <v>http://dx.doi.org/10.1109/TrustCom50675.2020.00055</v>
      </c>
      <c r="BG765" s="1"/>
      <c r="BH765" s="1"/>
      <c r="BI765" s="1" t="n">
        <v>8</v>
      </c>
      <c r="BJ765" s="1" t="s">
        <v>13683</v>
      </c>
      <c r="BK765" s="1" t="s">
        <v>100</v>
      </c>
      <c r="BL765" s="1" t="s">
        <v>311</v>
      </c>
      <c r="BM765" s="1" t="s">
        <v>13684</v>
      </c>
      <c r="BN765" s="1"/>
      <c r="BO765" s="1" t="s">
        <v>7573</v>
      </c>
      <c r="BP765" s="1"/>
      <c r="BQ765" s="1"/>
      <c r="BR765" s="1" t="s">
        <v>103</v>
      </c>
      <c r="BS765" s="1" t="s">
        <v>13685</v>
      </c>
      <c r="BT765" s="1" t="str">
        <f aca="false">HYPERLINK("https%3A%2F%2Fwww.webofscience.com%2Fwos%2Fwoscc%2Ffull-record%2FWOS:000671077600041","View Full Record in Web of Science")</f>
        <v>View Full Record in Web of Science</v>
      </c>
    </row>
    <row r="766" customFormat="false" ht="12.75" hidden="false" customHeight="false" outlineLevel="0" collapsed="false">
      <c r="A766" s="1" t="s">
        <v>181</v>
      </c>
      <c r="B766" s="1" t="s">
        <v>13686</v>
      </c>
      <c r="C766" s="1"/>
      <c r="D766" s="1"/>
      <c r="E766" s="1"/>
      <c r="F766" s="1" t="s">
        <v>13687</v>
      </c>
      <c r="G766" s="1"/>
      <c r="H766" s="1"/>
      <c r="I766" s="1" t="s">
        <v>13688</v>
      </c>
      <c r="J766" s="1" t="s">
        <v>8209</v>
      </c>
      <c r="K766" s="1"/>
      <c r="L766" s="1"/>
      <c r="M766" s="1" t="s">
        <v>78</v>
      </c>
      <c r="N766" s="1" t="s">
        <v>186</v>
      </c>
      <c r="O766" s="1"/>
      <c r="P766" s="1"/>
      <c r="Q766" s="1"/>
      <c r="R766" s="1"/>
      <c r="S766" s="1"/>
      <c r="T766" s="1" t="s">
        <v>13689</v>
      </c>
      <c r="U766" s="1" t="s">
        <v>13690</v>
      </c>
      <c r="V766" s="1" t="s">
        <v>13691</v>
      </c>
      <c r="W766" s="1" t="s">
        <v>13692</v>
      </c>
      <c r="X766" s="1" t="s">
        <v>13693</v>
      </c>
      <c r="Y766" s="1" t="s">
        <v>13416</v>
      </c>
      <c r="Z766" s="1" t="s">
        <v>13417</v>
      </c>
      <c r="AA766" s="1" t="s">
        <v>13418</v>
      </c>
      <c r="AB766" s="1" t="s">
        <v>13694</v>
      </c>
      <c r="AC766" s="1" t="s">
        <v>13647</v>
      </c>
      <c r="AD766" s="1" t="s">
        <v>13647</v>
      </c>
      <c r="AE766" s="1" t="s">
        <v>13695</v>
      </c>
      <c r="AF766" s="1"/>
      <c r="AG766" s="1" t="n">
        <v>61</v>
      </c>
      <c r="AH766" s="1" t="n">
        <v>1</v>
      </c>
      <c r="AI766" s="1" t="n">
        <v>1</v>
      </c>
      <c r="AJ766" s="1" t="n">
        <v>1</v>
      </c>
      <c r="AK766" s="1" t="n">
        <v>3</v>
      </c>
      <c r="AL766" s="1" t="s">
        <v>8218</v>
      </c>
      <c r="AM766" s="1" t="s">
        <v>1908</v>
      </c>
      <c r="AN766" s="1" t="s">
        <v>8219</v>
      </c>
      <c r="AO766" s="1"/>
      <c r="AP766" s="1" t="s">
        <v>8220</v>
      </c>
      <c r="AQ766" s="1"/>
      <c r="AR766" s="1" t="s">
        <v>8221</v>
      </c>
      <c r="AS766" s="1" t="s">
        <v>8222</v>
      </c>
      <c r="AT766" s="1" t="s">
        <v>13696</v>
      </c>
      <c r="AU766" s="1" t="n">
        <v>2024</v>
      </c>
      <c r="AV766" s="1" t="n">
        <v>24</v>
      </c>
      <c r="AW766" s="1" t="n">
        <v>1</v>
      </c>
      <c r="AX766" s="1"/>
      <c r="AY766" s="1"/>
      <c r="AZ766" s="1"/>
      <c r="BA766" s="1"/>
      <c r="BB766" s="1"/>
      <c r="BC766" s="1"/>
      <c r="BD766" s="1" t="n">
        <v>88</v>
      </c>
      <c r="BE766" s="1" t="s">
        <v>13697</v>
      </c>
      <c r="BF766" s="1" t="str">
        <f aca="false">HYPERLINK("http://dx.doi.org/10.1186/s12877-024-04681-3","http://dx.doi.org/10.1186/s12877-024-04681-3")</f>
        <v>http://dx.doi.org/10.1186/s12877-024-04681-3</v>
      </c>
      <c r="BG766" s="1"/>
      <c r="BH766" s="1"/>
      <c r="BI766" s="1" t="n">
        <v>8</v>
      </c>
      <c r="BJ766" s="1" t="s">
        <v>7684</v>
      </c>
      <c r="BK766" s="1" t="s">
        <v>398</v>
      </c>
      <c r="BL766" s="1" t="s">
        <v>2038</v>
      </c>
      <c r="BM766" s="1" t="s">
        <v>13698</v>
      </c>
      <c r="BN766" s="1" t="n">
        <v>38263077</v>
      </c>
      <c r="BO766" s="1" t="s">
        <v>401</v>
      </c>
      <c r="BP766" s="1"/>
      <c r="BQ766" s="1"/>
      <c r="BR766" s="1" t="s">
        <v>103</v>
      </c>
      <c r="BS766" s="1" t="s">
        <v>13699</v>
      </c>
      <c r="BT766" s="1" t="str">
        <f aca="false">HYPERLINK("https%3A%2F%2Fwww.webofscience.com%2Fwos%2Fwoscc%2Ffull-record%2FWOS:001148301500001","View Full Record in Web of Science")</f>
        <v>View Full Record in Web of Science</v>
      </c>
    </row>
    <row r="767" customFormat="false" ht="12.75" hidden="false" customHeight="false" outlineLevel="0" collapsed="false">
      <c r="A767" s="1" t="s">
        <v>72</v>
      </c>
      <c r="B767" s="1" t="s">
        <v>13700</v>
      </c>
      <c r="C767" s="1"/>
      <c r="D767" s="1"/>
      <c r="E767" s="1" t="s">
        <v>74</v>
      </c>
      <c r="F767" s="1" t="s">
        <v>13701</v>
      </c>
      <c r="G767" s="1"/>
      <c r="H767" s="1"/>
      <c r="I767" s="1" t="s">
        <v>13702</v>
      </c>
      <c r="J767" s="1" t="s">
        <v>13703</v>
      </c>
      <c r="K767" s="1"/>
      <c r="L767" s="1"/>
      <c r="M767" s="1" t="s">
        <v>78</v>
      </c>
      <c r="N767" s="1" t="s">
        <v>79</v>
      </c>
      <c r="O767" s="1" t="s">
        <v>13704</v>
      </c>
      <c r="P767" s="1" t="s">
        <v>13705</v>
      </c>
      <c r="Q767" s="1" t="s">
        <v>6016</v>
      </c>
      <c r="R767" s="1" t="s">
        <v>13706</v>
      </c>
      <c r="S767" s="1"/>
      <c r="T767" s="1" t="s">
        <v>13707</v>
      </c>
      <c r="U767" s="1" t="s">
        <v>13708</v>
      </c>
      <c r="V767" s="1" t="s">
        <v>13709</v>
      </c>
      <c r="W767" s="1" t="s">
        <v>13710</v>
      </c>
      <c r="X767" s="1" t="s">
        <v>13711</v>
      </c>
      <c r="Y767" s="1" t="s">
        <v>13712</v>
      </c>
      <c r="Z767" s="1" t="s">
        <v>13713</v>
      </c>
      <c r="AA767" s="1" t="s">
        <v>13714</v>
      </c>
      <c r="AB767" s="1"/>
      <c r="AC767" s="1"/>
      <c r="AD767" s="1"/>
      <c r="AE767" s="1"/>
      <c r="AF767" s="1"/>
      <c r="AG767" s="1" t="n">
        <v>0</v>
      </c>
      <c r="AH767" s="1" t="n">
        <v>0</v>
      </c>
      <c r="AI767" s="1" t="n">
        <v>0</v>
      </c>
      <c r="AJ767" s="1" t="n">
        <v>1</v>
      </c>
      <c r="AK767" s="1" t="n">
        <v>1</v>
      </c>
      <c r="AL767" s="1" t="s">
        <v>94</v>
      </c>
      <c r="AM767" s="1" t="s">
        <v>95</v>
      </c>
      <c r="AN767" s="1" t="s">
        <v>96</v>
      </c>
      <c r="AO767" s="1"/>
      <c r="AP767" s="1"/>
      <c r="AQ767" s="1" t="s">
        <v>13715</v>
      </c>
      <c r="AR767" s="1"/>
      <c r="AS767" s="1"/>
      <c r="AT767" s="1"/>
      <c r="AU767" s="1" t="n">
        <v>2022</v>
      </c>
      <c r="AV767" s="1"/>
      <c r="AW767" s="1"/>
      <c r="AX767" s="1"/>
      <c r="AY767" s="1"/>
      <c r="AZ767" s="1"/>
      <c r="BA767" s="1"/>
      <c r="BB767" s="1" t="n">
        <v>24</v>
      </c>
      <c r="BC767" s="1" t="n">
        <v>35</v>
      </c>
      <c r="BD767" s="1"/>
      <c r="BE767" s="1" t="s">
        <v>13716</v>
      </c>
      <c r="BF767" s="1" t="str">
        <f aca="false">HYPERLINK("http://dx.doi.org/10.1145/3510458.3513018","http://dx.doi.org/10.1145/3510458.3513018")</f>
        <v>http://dx.doi.org/10.1145/3510458.3513018</v>
      </c>
      <c r="BG767" s="1"/>
      <c r="BH767" s="1"/>
      <c r="BI767" s="1" t="n">
        <v>12</v>
      </c>
      <c r="BJ767" s="1" t="s">
        <v>994</v>
      </c>
      <c r="BK767" s="1" t="s">
        <v>100</v>
      </c>
      <c r="BL767" s="1" t="s">
        <v>101</v>
      </c>
      <c r="BM767" s="1" t="s">
        <v>13717</v>
      </c>
      <c r="BN767" s="1"/>
      <c r="BO767" s="1" t="s">
        <v>13718</v>
      </c>
      <c r="BP767" s="1"/>
      <c r="BQ767" s="1"/>
      <c r="BR767" s="1" t="s">
        <v>103</v>
      </c>
      <c r="BS767" s="1" t="s">
        <v>13719</v>
      </c>
      <c r="BT767" s="1" t="str">
        <f aca="false">HYPERLINK("https%3A%2F%2Fwww.webofscience.com%2Fwos%2Fwoscc%2Ffull-record%2FWOS:001097469700003","View Full Record in Web of Science")</f>
        <v>View Full Record in Web of Science</v>
      </c>
    </row>
    <row r="768" customFormat="false" ht="12.75" hidden="false" customHeight="false" outlineLevel="0" collapsed="false">
      <c r="A768" s="1" t="s">
        <v>181</v>
      </c>
      <c r="B768" s="1" t="s">
        <v>13720</v>
      </c>
      <c r="C768" s="1"/>
      <c r="D768" s="1"/>
      <c r="E768" s="1"/>
      <c r="F768" s="1" t="s">
        <v>13721</v>
      </c>
      <c r="G768" s="1"/>
      <c r="H768" s="1"/>
      <c r="I768" s="1" t="s">
        <v>13722</v>
      </c>
      <c r="J768" s="1" t="s">
        <v>11785</v>
      </c>
      <c r="K768" s="1"/>
      <c r="L768" s="1"/>
      <c r="M768" s="1" t="s">
        <v>78</v>
      </c>
      <c r="N768" s="1" t="s">
        <v>186</v>
      </c>
      <c r="O768" s="1"/>
      <c r="P768" s="1"/>
      <c r="Q768" s="1"/>
      <c r="R768" s="1"/>
      <c r="S768" s="1"/>
      <c r="T768" s="1" t="s">
        <v>13723</v>
      </c>
      <c r="U768" s="1"/>
      <c r="V768" s="1" t="s">
        <v>13724</v>
      </c>
      <c r="W768" s="1" t="s">
        <v>13725</v>
      </c>
      <c r="X768" s="1" t="s">
        <v>13726</v>
      </c>
      <c r="Y768" s="1" t="s">
        <v>13727</v>
      </c>
      <c r="Z768" s="1" t="s">
        <v>13728</v>
      </c>
      <c r="AA768" s="1"/>
      <c r="AB768" s="1" t="s">
        <v>13729</v>
      </c>
      <c r="AC768" s="1" t="s">
        <v>13730</v>
      </c>
      <c r="AD768" s="1" t="s">
        <v>13730</v>
      </c>
      <c r="AE768" s="1" t="s">
        <v>13731</v>
      </c>
      <c r="AF768" s="1"/>
      <c r="AG768" s="1" t="n">
        <v>28</v>
      </c>
      <c r="AH768" s="1" t="n">
        <v>1</v>
      </c>
      <c r="AI768" s="1" t="n">
        <v>1</v>
      </c>
      <c r="AJ768" s="1" t="n">
        <v>2</v>
      </c>
      <c r="AK768" s="1" t="n">
        <v>2</v>
      </c>
      <c r="AL768" s="1" t="s">
        <v>11593</v>
      </c>
      <c r="AM768" s="1" t="s">
        <v>11594</v>
      </c>
      <c r="AN768" s="1" t="s">
        <v>11595</v>
      </c>
      <c r="AO768" s="1" t="s">
        <v>11795</v>
      </c>
      <c r="AP768" s="1"/>
      <c r="AQ768" s="1"/>
      <c r="AR768" s="1" t="s">
        <v>11796</v>
      </c>
      <c r="AS768" s="1" t="s">
        <v>11797</v>
      </c>
      <c r="AT768" s="1"/>
      <c r="AU768" s="1" t="n">
        <v>2024</v>
      </c>
      <c r="AV768" s="1" t="n">
        <v>10</v>
      </c>
      <c r="AW768" s="1"/>
      <c r="AX768" s="1"/>
      <c r="AY768" s="1"/>
      <c r="AZ768" s="1"/>
      <c r="BA768" s="1"/>
      <c r="BB768" s="1"/>
      <c r="BC768" s="1"/>
      <c r="BD768" s="1" t="n">
        <v>8551</v>
      </c>
      <c r="BE768" s="1" t="s">
        <v>13732</v>
      </c>
      <c r="BF768" s="1" t="str">
        <f aca="false">HYPERLINK("http://dx.doi.org/10.17645/up.8551","http://dx.doi.org/10.17645/up.8551")</f>
        <v>http://dx.doi.org/10.17645/up.8551</v>
      </c>
      <c r="BG768" s="1"/>
      <c r="BH768" s="1"/>
      <c r="BI768" s="1" t="n">
        <v>19</v>
      </c>
      <c r="BJ768" s="1" t="s">
        <v>11799</v>
      </c>
      <c r="BK768" s="1" t="s">
        <v>253</v>
      </c>
      <c r="BL768" s="1" t="s">
        <v>11799</v>
      </c>
      <c r="BM768" s="1" t="s">
        <v>13733</v>
      </c>
      <c r="BN768" s="1"/>
      <c r="BO768" s="1" t="s">
        <v>642</v>
      </c>
      <c r="BP768" s="1"/>
      <c r="BQ768" s="1"/>
      <c r="BR768" s="1" t="s">
        <v>103</v>
      </c>
      <c r="BS768" s="1" t="s">
        <v>13734</v>
      </c>
      <c r="BT768" s="1" t="str">
        <f aca="false">HYPERLINK("https%3A%2F%2Fwww.webofscience.com%2Fwos%2Fwoscc%2Ffull-record%2FWOS:001367393600002","View Full Record in Web of Science")</f>
        <v>View Full Record in Web of Science</v>
      </c>
    </row>
    <row r="769" customFormat="false" ht="12.75" hidden="false" customHeight="false" outlineLevel="0" collapsed="false">
      <c r="A769" s="1" t="s">
        <v>72</v>
      </c>
      <c r="B769" s="1" t="s">
        <v>13735</v>
      </c>
      <c r="C769" s="1"/>
      <c r="D769" s="1"/>
      <c r="E769" s="1" t="s">
        <v>106</v>
      </c>
      <c r="F769" s="1" t="s">
        <v>13736</v>
      </c>
      <c r="G769" s="1"/>
      <c r="H769" s="1"/>
      <c r="I769" s="1" t="s">
        <v>13737</v>
      </c>
      <c r="J769" s="1" t="s">
        <v>13738</v>
      </c>
      <c r="K769" s="1"/>
      <c r="L769" s="1"/>
      <c r="M769" s="1" t="s">
        <v>78</v>
      </c>
      <c r="N769" s="1" t="s">
        <v>79</v>
      </c>
      <c r="O769" s="1" t="s">
        <v>13739</v>
      </c>
      <c r="P769" s="1" t="s">
        <v>13740</v>
      </c>
      <c r="Q769" s="1" t="s">
        <v>13741</v>
      </c>
      <c r="R769" s="1" t="s">
        <v>13742</v>
      </c>
      <c r="S769" s="1"/>
      <c r="T769" s="1" t="s">
        <v>13743</v>
      </c>
      <c r="U769" s="1"/>
      <c r="V769" s="1" t="s">
        <v>13744</v>
      </c>
      <c r="W769" s="1" t="s">
        <v>13745</v>
      </c>
      <c r="X769" s="1" t="s">
        <v>13746</v>
      </c>
      <c r="Y769" s="1" t="s">
        <v>13747</v>
      </c>
      <c r="Z769" s="1" t="s">
        <v>13748</v>
      </c>
      <c r="AA769" s="1" t="s">
        <v>13749</v>
      </c>
      <c r="AB769" s="1" t="s">
        <v>13750</v>
      </c>
      <c r="AC769" s="1" t="s">
        <v>13751</v>
      </c>
      <c r="AD769" s="1" t="s">
        <v>13752</v>
      </c>
      <c r="AE769" s="1" t="s">
        <v>13753</v>
      </c>
      <c r="AF769" s="1"/>
      <c r="AG769" s="1" t="n">
        <v>13</v>
      </c>
      <c r="AH769" s="1" t="n">
        <v>1</v>
      </c>
      <c r="AI769" s="1" t="n">
        <v>1</v>
      </c>
      <c r="AJ769" s="1" t="n">
        <v>0</v>
      </c>
      <c r="AK769" s="1" t="n">
        <v>2</v>
      </c>
      <c r="AL769" s="1" t="s">
        <v>106</v>
      </c>
      <c r="AM769" s="1" t="s">
        <v>95</v>
      </c>
      <c r="AN769" s="1" t="s">
        <v>122</v>
      </c>
      <c r="AO769" s="1"/>
      <c r="AP769" s="1"/>
      <c r="AQ769" s="1" t="s">
        <v>13754</v>
      </c>
      <c r="AR769" s="1"/>
      <c r="AS769" s="1"/>
      <c r="AT769" s="1"/>
      <c r="AU769" s="1" t="n">
        <v>2020</v>
      </c>
      <c r="AV769" s="1"/>
      <c r="AW769" s="1"/>
      <c r="AX769" s="1"/>
      <c r="AY769" s="1"/>
      <c r="AZ769" s="1"/>
      <c r="BA769" s="1"/>
      <c r="BB769" s="1" t="n">
        <v>973</v>
      </c>
      <c r="BC769" s="1" t="n">
        <v>977</v>
      </c>
      <c r="BD769" s="1"/>
      <c r="BE769" s="1" t="s">
        <v>13755</v>
      </c>
      <c r="BF769" s="1" t="str">
        <f aca="false">HYPERLINK("http://dx.doi.org/10.1109/TCSET49122.2020.235583","http://dx.doi.org/10.1109/TCSET49122.2020.235583")</f>
        <v>http://dx.doi.org/10.1109/TCSET49122.2020.235583</v>
      </c>
      <c r="BG769" s="1"/>
      <c r="BH769" s="1"/>
      <c r="BI769" s="1" t="n">
        <v>5</v>
      </c>
      <c r="BJ769" s="1" t="s">
        <v>13756</v>
      </c>
      <c r="BK769" s="1" t="s">
        <v>100</v>
      </c>
      <c r="BL769" s="1" t="s">
        <v>1118</v>
      </c>
      <c r="BM769" s="1" t="s">
        <v>13757</v>
      </c>
      <c r="BN769" s="1"/>
      <c r="BO769" s="1" t="s">
        <v>13758</v>
      </c>
      <c r="BP769" s="1"/>
      <c r="BQ769" s="1"/>
      <c r="BR769" s="1" t="s">
        <v>103</v>
      </c>
      <c r="BS769" s="1" t="s">
        <v>13759</v>
      </c>
      <c r="BT769" s="1" t="str">
        <f aca="false">HYPERLINK("https%3A%2F%2Fwww.webofscience.com%2Fwos%2Fwoscc%2Ffull-record%2FWOS:000578041000204","View Full Record in Web of Science")</f>
        <v>View Full Record in Web of Science</v>
      </c>
    </row>
    <row r="770" customFormat="false" ht="12.75" hidden="false" customHeight="false" outlineLevel="0" collapsed="false">
      <c r="A770" s="1" t="s">
        <v>181</v>
      </c>
      <c r="B770" s="1" t="s">
        <v>13760</v>
      </c>
      <c r="C770" s="1"/>
      <c r="D770" s="1"/>
      <c r="E770" s="1"/>
      <c r="F770" s="1" t="s">
        <v>13761</v>
      </c>
      <c r="G770" s="1"/>
      <c r="H770" s="1"/>
      <c r="I770" s="1" t="s">
        <v>13762</v>
      </c>
      <c r="J770" s="1" t="s">
        <v>13763</v>
      </c>
      <c r="K770" s="1"/>
      <c r="L770" s="1"/>
      <c r="M770" s="1" t="s">
        <v>78</v>
      </c>
      <c r="N770" s="1" t="s">
        <v>186</v>
      </c>
      <c r="O770" s="1"/>
      <c r="P770" s="1"/>
      <c r="Q770" s="1"/>
      <c r="R770" s="1"/>
      <c r="S770" s="1"/>
      <c r="T770" s="1"/>
      <c r="U770" s="1" t="s">
        <v>13764</v>
      </c>
      <c r="V770" s="1" t="s">
        <v>13765</v>
      </c>
      <c r="W770" s="1" t="s">
        <v>13766</v>
      </c>
      <c r="X770" s="1" t="s">
        <v>6426</v>
      </c>
      <c r="Y770" s="1" t="s">
        <v>13767</v>
      </c>
      <c r="Z770" s="1" t="s">
        <v>13768</v>
      </c>
      <c r="AA770" s="1"/>
      <c r="AB770" s="1" t="s">
        <v>13769</v>
      </c>
      <c r="AC770" s="1"/>
      <c r="AD770" s="1"/>
      <c r="AE770" s="1"/>
      <c r="AF770" s="1"/>
      <c r="AG770" s="1" t="n">
        <v>35</v>
      </c>
      <c r="AH770" s="1" t="n">
        <v>0</v>
      </c>
      <c r="AI770" s="1" t="n">
        <v>0</v>
      </c>
      <c r="AJ770" s="1" t="n">
        <v>0</v>
      </c>
      <c r="AK770" s="1" t="n">
        <v>1</v>
      </c>
      <c r="AL770" s="1" t="s">
        <v>2381</v>
      </c>
      <c r="AM770" s="1" t="s">
        <v>2382</v>
      </c>
      <c r="AN770" s="1" t="s">
        <v>2383</v>
      </c>
      <c r="AO770" s="1" t="s">
        <v>13770</v>
      </c>
      <c r="AP770" s="1" t="s">
        <v>13771</v>
      </c>
      <c r="AQ770" s="1"/>
      <c r="AR770" s="1" t="s">
        <v>13772</v>
      </c>
      <c r="AS770" s="1" t="s">
        <v>13773</v>
      </c>
      <c r="AT770" s="1" t="s">
        <v>13774</v>
      </c>
      <c r="AU770" s="1" t="n">
        <v>2024</v>
      </c>
      <c r="AV770" s="1" t="n">
        <v>45</v>
      </c>
      <c r="AW770" s="1" t="n">
        <v>6</v>
      </c>
      <c r="AX770" s="1"/>
      <c r="AY770" s="1"/>
      <c r="AZ770" s="1"/>
      <c r="BA770" s="1"/>
      <c r="BB770" s="1" t="n">
        <v>624</v>
      </c>
      <c r="BC770" s="1" t="n">
        <v>629</v>
      </c>
      <c r="BD770" s="1"/>
      <c r="BE770" s="1" t="s">
        <v>13775</v>
      </c>
      <c r="BF770" s="1" t="str">
        <f aca="false">HYPERLINK("http://dx.doi.org/10.1080/01612840.2024.2330565","http://dx.doi.org/10.1080/01612840.2024.2330565")</f>
        <v>http://dx.doi.org/10.1080/01612840.2024.2330565</v>
      </c>
      <c r="BG770" s="1"/>
      <c r="BH770" s="1" t="s">
        <v>2019</v>
      </c>
      <c r="BI770" s="1" t="n">
        <v>6</v>
      </c>
      <c r="BJ770" s="1" t="s">
        <v>13776</v>
      </c>
      <c r="BK770" s="1" t="s">
        <v>398</v>
      </c>
      <c r="BL770" s="1" t="s">
        <v>13776</v>
      </c>
      <c r="BM770" s="1" t="s">
        <v>13777</v>
      </c>
      <c r="BN770" s="1" t="n">
        <v>38652832</v>
      </c>
      <c r="BO770" s="1" t="s">
        <v>207</v>
      </c>
      <c r="BP770" s="1"/>
      <c r="BQ770" s="1"/>
      <c r="BR770" s="1" t="s">
        <v>103</v>
      </c>
      <c r="BS770" s="1" t="s">
        <v>13778</v>
      </c>
      <c r="BT770" s="1" t="str">
        <f aca="false">HYPERLINK("https%3A%2F%2Fwww.webofscience.com%2Fwos%2Fwoscc%2Ffull-record%2FWOS:001207009700001","View Full Record in Web of Science")</f>
        <v>View Full Record in Web of Science</v>
      </c>
    </row>
    <row r="771" customFormat="false" ht="12.75" hidden="false" customHeight="false" outlineLevel="0" collapsed="false">
      <c r="A771" s="1" t="s">
        <v>181</v>
      </c>
      <c r="B771" s="1" t="s">
        <v>13779</v>
      </c>
      <c r="C771" s="1"/>
      <c r="D771" s="1"/>
      <c r="E771" s="1"/>
      <c r="F771" s="1" t="s">
        <v>13780</v>
      </c>
      <c r="G771" s="1"/>
      <c r="H771" s="1"/>
      <c r="I771" s="1" t="s">
        <v>13781</v>
      </c>
      <c r="J771" s="1" t="s">
        <v>7044</v>
      </c>
      <c r="K771" s="1"/>
      <c r="L771" s="1"/>
      <c r="M771" s="1" t="s">
        <v>78</v>
      </c>
      <c r="N771" s="1" t="s">
        <v>186</v>
      </c>
      <c r="O771" s="1"/>
      <c r="P771" s="1"/>
      <c r="Q771" s="1"/>
      <c r="R771" s="1"/>
      <c r="S771" s="1"/>
      <c r="T771" s="1"/>
      <c r="U771" s="1" t="s">
        <v>13782</v>
      </c>
      <c r="V771" s="1" t="s">
        <v>13783</v>
      </c>
      <c r="W771" s="1" t="s">
        <v>13784</v>
      </c>
      <c r="X771" s="1" t="s">
        <v>13785</v>
      </c>
      <c r="Y771" s="1" t="s">
        <v>13786</v>
      </c>
      <c r="Z771" s="1" t="s">
        <v>7730</v>
      </c>
      <c r="AA771" s="1" t="s">
        <v>13787</v>
      </c>
      <c r="AB771" s="1" t="s">
        <v>13788</v>
      </c>
      <c r="AC771" s="1" t="s">
        <v>13789</v>
      </c>
      <c r="AD771" s="1" t="s">
        <v>13790</v>
      </c>
      <c r="AE771" s="1" t="s">
        <v>13791</v>
      </c>
      <c r="AF771" s="1"/>
      <c r="AG771" s="1" t="n">
        <v>39</v>
      </c>
      <c r="AH771" s="1" t="n">
        <v>3</v>
      </c>
      <c r="AI771" s="1" t="n">
        <v>3</v>
      </c>
      <c r="AJ771" s="1" t="n">
        <v>6</v>
      </c>
      <c r="AK771" s="1" t="n">
        <v>38</v>
      </c>
      <c r="AL771" s="1" t="s">
        <v>7054</v>
      </c>
      <c r="AM771" s="1" t="s">
        <v>3317</v>
      </c>
      <c r="AN771" s="1" t="s">
        <v>7055</v>
      </c>
      <c r="AO771" s="1" t="s">
        <v>7056</v>
      </c>
      <c r="AP771" s="1"/>
      <c r="AQ771" s="1"/>
      <c r="AR771" s="1" t="s">
        <v>7057</v>
      </c>
      <c r="AS771" s="1" t="s">
        <v>7058</v>
      </c>
      <c r="AT771" s="1" t="s">
        <v>13792</v>
      </c>
      <c r="AU771" s="1" t="n">
        <v>2023</v>
      </c>
      <c r="AV771" s="1" t="n">
        <v>13</v>
      </c>
      <c r="AW771" s="1" t="n">
        <v>1</v>
      </c>
      <c r="AX771" s="1"/>
      <c r="AY771" s="1"/>
      <c r="AZ771" s="1"/>
      <c r="BA771" s="1"/>
      <c r="BB771" s="1"/>
      <c r="BC771" s="1"/>
      <c r="BD771" s="1" t="n">
        <v>6083</v>
      </c>
      <c r="BE771" s="1" t="s">
        <v>13793</v>
      </c>
      <c r="BF771" s="1" t="str">
        <f aca="false">HYPERLINK("http://dx.doi.org/10.1038/s41598-023-32827-7","http://dx.doi.org/10.1038/s41598-023-32827-7")</f>
        <v>http://dx.doi.org/10.1038/s41598-023-32827-7</v>
      </c>
      <c r="BG771" s="1"/>
      <c r="BH771" s="1"/>
      <c r="BI771" s="1" t="n">
        <v>14</v>
      </c>
      <c r="BJ771" s="1" t="s">
        <v>6557</v>
      </c>
      <c r="BK771" s="1" t="s">
        <v>204</v>
      </c>
      <c r="BL771" s="1" t="s">
        <v>6558</v>
      </c>
      <c r="BM771" s="1" t="s">
        <v>13794</v>
      </c>
      <c r="BN771" s="1" t="n">
        <v>37055460</v>
      </c>
      <c r="BO771" s="1" t="s">
        <v>401</v>
      </c>
      <c r="BP771" s="1"/>
      <c r="BQ771" s="1"/>
      <c r="BR771" s="1" t="s">
        <v>103</v>
      </c>
      <c r="BS771" s="1" t="s">
        <v>13795</v>
      </c>
      <c r="BT771" s="1" t="str">
        <f aca="false">HYPERLINK("https%3A%2F%2Fwww.webofscience.com%2Fwos%2Fwoscc%2Ffull-record%2FWOS:000984454500052","View Full Record in Web of Science")</f>
        <v>View Full Record in Web of Science</v>
      </c>
    </row>
    <row r="772" customFormat="false" ht="12.75" hidden="false" customHeight="false" outlineLevel="0" collapsed="false">
      <c r="A772" s="1" t="s">
        <v>72</v>
      </c>
      <c r="B772" s="1" t="s">
        <v>13796</v>
      </c>
      <c r="C772" s="1"/>
      <c r="D772" s="1"/>
      <c r="E772" s="1" t="s">
        <v>106</v>
      </c>
      <c r="F772" s="1" t="s">
        <v>13797</v>
      </c>
      <c r="G772" s="1"/>
      <c r="H772" s="1"/>
      <c r="I772" s="1" t="s">
        <v>13798</v>
      </c>
      <c r="J772" s="1" t="s">
        <v>13799</v>
      </c>
      <c r="K772" s="1" t="s">
        <v>13800</v>
      </c>
      <c r="L772" s="1"/>
      <c r="M772" s="1" t="s">
        <v>78</v>
      </c>
      <c r="N772" s="1" t="s">
        <v>79</v>
      </c>
      <c r="O772" s="1" t="s">
        <v>13801</v>
      </c>
      <c r="P772" s="1" t="s">
        <v>13802</v>
      </c>
      <c r="Q772" s="1" t="s">
        <v>13803</v>
      </c>
      <c r="R772" s="1" t="s">
        <v>13804</v>
      </c>
      <c r="S772" s="1"/>
      <c r="T772" s="1"/>
      <c r="U772" s="1"/>
      <c r="V772" s="1" t="s">
        <v>13805</v>
      </c>
      <c r="W772" s="1" t="s">
        <v>13806</v>
      </c>
      <c r="X772" s="1" t="s">
        <v>13807</v>
      </c>
      <c r="Y772" s="1" t="s">
        <v>527</v>
      </c>
      <c r="Z772" s="1" t="s">
        <v>13808</v>
      </c>
      <c r="AA772" s="1" t="s">
        <v>13809</v>
      </c>
      <c r="AB772" s="1" t="s">
        <v>13810</v>
      </c>
      <c r="AC772" s="1"/>
      <c r="AD772" s="1"/>
      <c r="AE772" s="1"/>
      <c r="AF772" s="1"/>
      <c r="AG772" s="1" t="n">
        <v>38</v>
      </c>
      <c r="AH772" s="1" t="n">
        <v>1</v>
      </c>
      <c r="AI772" s="1" t="n">
        <v>1</v>
      </c>
      <c r="AJ772" s="1" t="n">
        <v>0</v>
      </c>
      <c r="AK772" s="1" t="n">
        <v>1</v>
      </c>
      <c r="AL772" s="1" t="s">
        <v>106</v>
      </c>
      <c r="AM772" s="1" t="s">
        <v>95</v>
      </c>
      <c r="AN772" s="1" t="s">
        <v>122</v>
      </c>
      <c r="AO772" s="1" t="s">
        <v>13811</v>
      </c>
      <c r="AP772" s="1"/>
      <c r="AQ772" s="1" t="s">
        <v>13812</v>
      </c>
      <c r="AR772" s="1" t="s">
        <v>13813</v>
      </c>
      <c r="AS772" s="1"/>
      <c r="AT772" s="1"/>
      <c r="AU772" s="1" t="n">
        <v>2021</v>
      </c>
      <c r="AV772" s="1"/>
      <c r="AW772" s="1"/>
      <c r="AX772" s="1"/>
      <c r="AY772" s="1"/>
      <c r="AZ772" s="1"/>
      <c r="BA772" s="1"/>
      <c r="BB772" s="1"/>
      <c r="BC772" s="1"/>
      <c r="BD772" s="1"/>
      <c r="BE772" s="1" t="s">
        <v>13814</v>
      </c>
      <c r="BF772" s="1" t="str">
        <f aca="false">HYPERLINK("http://dx.doi.org/10.1109/MMSP53017.2021.9733583","http://dx.doi.org/10.1109/MMSP53017.2021.9733583")</f>
        <v>http://dx.doi.org/10.1109/MMSP53017.2021.9733583</v>
      </c>
      <c r="BG772" s="1"/>
      <c r="BH772" s="1"/>
      <c r="BI772" s="1" t="n">
        <v>6</v>
      </c>
      <c r="BJ772" s="1" t="s">
        <v>13815</v>
      </c>
      <c r="BK772" s="1" t="s">
        <v>100</v>
      </c>
      <c r="BL772" s="1" t="s">
        <v>13816</v>
      </c>
      <c r="BM772" s="1" t="s">
        <v>13817</v>
      </c>
      <c r="BN772" s="1"/>
      <c r="BO772" s="1"/>
      <c r="BP772" s="1"/>
      <c r="BQ772" s="1"/>
      <c r="BR772" s="1" t="s">
        <v>103</v>
      </c>
      <c r="BS772" s="1" t="s">
        <v>13818</v>
      </c>
      <c r="BT772" s="1" t="str">
        <f aca="false">HYPERLINK("https%3A%2F%2Fwww.webofscience.com%2Fwos%2Fwoscc%2Ffull-record%2FWOS:000803057000063","View Full Record in Web of Science")</f>
        <v>View Full Record in Web of Science</v>
      </c>
    </row>
    <row r="773" customFormat="false" ht="12.75" hidden="false" customHeight="false" outlineLevel="0" collapsed="false">
      <c r="A773" s="1" t="s">
        <v>72</v>
      </c>
      <c r="B773" s="1" t="s">
        <v>13819</v>
      </c>
      <c r="C773" s="1"/>
      <c r="D773" s="1" t="s">
        <v>13820</v>
      </c>
      <c r="E773" s="1"/>
      <c r="F773" s="1" t="s">
        <v>13821</v>
      </c>
      <c r="G773" s="1"/>
      <c r="H773" s="1"/>
      <c r="I773" s="1" t="s">
        <v>13822</v>
      </c>
      <c r="J773" s="1" t="s">
        <v>13823</v>
      </c>
      <c r="K773" s="1" t="s">
        <v>976</v>
      </c>
      <c r="L773" s="1"/>
      <c r="M773" s="1" t="s">
        <v>78</v>
      </c>
      <c r="N773" s="1" t="s">
        <v>79</v>
      </c>
      <c r="O773" s="1" t="s">
        <v>13824</v>
      </c>
      <c r="P773" s="1" t="s">
        <v>13825</v>
      </c>
      <c r="Q773" s="1" t="s">
        <v>3158</v>
      </c>
      <c r="R773" s="1"/>
      <c r="S773" s="1"/>
      <c r="T773" s="1" t="s">
        <v>13826</v>
      </c>
      <c r="U773" s="1"/>
      <c r="V773" s="1" t="s">
        <v>13827</v>
      </c>
      <c r="W773" s="1" t="s">
        <v>13828</v>
      </c>
      <c r="X773" s="1" t="s">
        <v>13829</v>
      </c>
      <c r="Y773" s="1" t="s">
        <v>13830</v>
      </c>
      <c r="Z773" s="1" t="s">
        <v>13831</v>
      </c>
      <c r="AA773" s="1" t="s">
        <v>5339</v>
      </c>
      <c r="AB773" s="1" t="s">
        <v>13832</v>
      </c>
      <c r="AC773" s="1"/>
      <c r="AD773" s="1"/>
      <c r="AE773" s="1"/>
      <c r="AF773" s="1"/>
      <c r="AG773" s="1" t="n">
        <v>27</v>
      </c>
      <c r="AH773" s="1" t="n">
        <v>4</v>
      </c>
      <c r="AI773" s="1" t="n">
        <v>5</v>
      </c>
      <c r="AJ773" s="1" t="n">
        <v>0</v>
      </c>
      <c r="AK773" s="1" t="n">
        <v>2</v>
      </c>
      <c r="AL773" s="1" t="s">
        <v>302</v>
      </c>
      <c r="AM773" s="1" t="s">
        <v>303</v>
      </c>
      <c r="AN773" s="1" t="s">
        <v>304</v>
      </c>
      <c r="AO773" s="1" t="s">
        <v>989</v>
      </c>
      <c r="AP773" s="1" t="s">
        <v>990</v>
      </c>
      <c r="AQ773" s="1" t="s">
        <v>13833</v>
      </c>
      <c r="AR773" s="1" t="s">
        <v>992</v>
      </c>
      <c r="AS773" s="1"/>
      <c r="AT773" s="1"/>
      <c r="AU773" s="1" t="n">
        <v>2020</v>
      </c>
      <c r="AV773" s="1" t="n">
        <v>12011</v>
      </c>
      <c r="AW773" s="1"/>
      <c r="AX773" s="1"/>
      <c r="AY773" s="1"/>
      <c r="AZ773" s="1"/>
      <c r="BA773" s="1"/>
      <c r="BB773" s="1" t="n">
        <v>403</v>
      </c>
      <c r="BC773" s="1" t="n">
        <v>416</v>
      </c>
      <c r="BD773" s="1"/>
      <c r="BE773" s="1" t="s">
        <v>13834</v>
      </c>
      <c r="BF773" s="1" t="str">
        <f aca="false">HYPERLINK("http://dx.doi.org/10.1007/978-3-030-38919-2_33","http://dx.doi.org/10.1007/978-3-030-38919-2_33")</f>
        <v>http://dx.doi.org/10.1007/978-3-030-38919-2_33</v>
      </c>
      <c r="BG773" s="1"/>
      <c r="BH773" s="1"/>
      <c r="BI773" s="1" t="n">
        <v>14</v>
      </c>
      <c r="BJ773" s="1" t="s">
        <v>2136</v>
      </c>
      <c r="BK773" s="1" t="s">
        <v>100</v>
      </c>
      <c r="BL773" s="1" t="s">
        <v>101</v>
      </c>
      <c r="BM773" s="1" t="s">
        <v>13835</v>
      </c>
      <c r="BN773" s="1"/>
      <c r="BO773" s="1"/>
      <c r="BP773" s="1"/>
      <c r="BQ773" s="1"/>
      <c r="BR773" s="1" t="s">
        <v>103</v>
      </c>
      <c r="BS773" s="1" t="s">
        <v>13836</v>
      </c>
      <c r="BT773" s="1" t="str">
        <f aca="false">HYPERLINK("https%3A%2F%2Fwww.webofscience.com%2Fwos%2Fwoscc%2Ffull-record%2FWOS:000655605200033","View Full Record in Web of Science")</f>
        <v>View Full Record in Web of Science</v>
      </c>
    </row>
    <row r="774" customFormat="false" ht="12.75" hidden="false" customHeight="false" outlineLevel="0" collapsed="false">
      <c r="A774" s="1" t="s">
        <v>181</v>
      </c>
      <c r="B774" s="1" t="s">
        <v>13837</v>
      </c>
      <c r="C774" s="1"/>
      <c r="D774" s="1"/>
      <c r="E774" s="1"/>
      <c r="F774" s="1" t="s">
        <v>13838</v>
      </c>
      <c r="G774" s="1"/>
      <c r="H774" s="1"/>
      <c r="I774" s="1" t="s">
        <v>13839</v>
      </c>
      <c r="J774" s="1" t="s">
        <v>13840</v>
      </c>
      <c r="K774" s="1"/>
      <c r="L774" s="1"/>
      <c r="M774" s="1" t="s">
        <v>78</v>
      </c>
      <c r="N774" s="1" t="s">
        <v>186</v>
      </c>
      <c r="O774" s="1"/>
      <c r="P774" s="1"/>
      <c r="Q774" s="1"/>
      <c r="R774" s="1"/>
      <c r="S774" s="1"/>
      <c r="T774" s="1" t="s">
        <v>13841</v>
      </c>
      <c r="U774" s="1" t="s">
        <v>13842</v>
      </c>
      <c r="V774" s="1" t="s">
        <v>13843</v>
      </c>
      <c r="W774" s="1" t="s">
        <v>13844</v>
      </c>
      <c r="X774" s="1" t="s">
        <v>13845</v>
      </c>
      <c r="Y774" s="1" t="s">
        <v>7729</v>
      </c>
      <c r="Z774" s="1" t="s">
        <v>13846</v>
      </c>
      <c r="AA774" s="1" t="s">
        <v>13847</v>
      </c>
      <c r="AB774" s="1" t="s">
        <v>10094</v>
      </c>
      <c r="AC774" s="1" t="s">
        <v>13848</v>
      </c>
      <c r="AD774" s="1" t="s">
        <v>13849</v>
      </c>
      <c r="AE774" s="1" t="s">
        <v>13850</v>
      </c>
      <c r="AF774" s="1"/>
      <c r="AG774" s="1" t="n">
        <v>32</v>
      </c>
      <c r="AH774" s="1" t="n">
        <v>0</v>
      </c>
      <c r="AI774" s="1" t="n">
        <v>0</v>
      </c>
      <c r="AJ774" s="1" t="n">
        <v>1</v>
      </c>
      <c r="AK774" s="1" t="n">
        <v>1</v>
      </c>
      <c r="AL774" s="1" t="s">
        <v>893</v>
      </c>
      <c r="AM774" s="1" t="s">
        <v>894</v>
      </c>
      <c r="AN774" s="1" t="s">
        <v>895</v>
      </c>
      <c r="AO774" s="1" t="s">
        <v>13851</v>
      </c>
      <c r="AP774" s="1" t="s">
        <v>13852</v>
      </c>
      <c r="AQ774" s="1"/>
      <c r="AR774" s="1" t="s">
        <v>13853</v>
      </c>
      <c r="AS774" s="1" t="s">
        <v>13854</v>
      </c>
      <c r="AT774" s="1" t="s">
        <v>277</v>
      </c>
      <c r="AU774" s="1" t="n">
        <v>2025</v>
      </c>
      <c r="AV774" s="1" t="n">
        <v>116</v>
      </c>
      <c r="AW774" s="1"/>
      <c r="AX774" s="1"/>
      <c r="AY774" s="1"/>
      <c r="AZ774" s="1"/>
      <c r="BA774" s="1"/>
      <c r="BB774" s="1" t="n">
        <v>20</v>
      </c>
      <c r="BC774" s="1" t="n">
        <v>34</v>
      </c>
      <c r="BD774" s="1"/>
      <c r="BE774" s="1" t="s">
        <v>13855</v>
      </c>
      <c r="BF774" s="1" t="str">
        <f aca="false">HYPERLINK("http://dx.doi.org/10.1016/j.aej.2024.12.082","http://dx.doi.org/10.1016/j.aej.2024.12.082")</f>
        <v>http://dx.doi.org/10.1016/j.aej.2024.12.082</v>
      </c>
      <c r="BG774" s="1"/>
      <c r="BH774" s="1"/>
      <c r="BI774" s="1" t="n">
        <v>15</v>
      </c>
      <c r="BJ774" s="1" t="s">
        <v>13856</v>
      </c>
      <c r="BK774" s="1" t="s">
        <v>204</v>
      </c>
      <c r="BL774" s="1" t="s">
        <v>640</v>
      </c>
      <c r="BM774" s="1" t="s">
        <v>13857</v>
      </c>
      <c r="BN774" s="1"/>
      <c r="BO774" s="1"/>
      <c r="BP774" s="1"/>
      <c r="BQ774" s="1"/>
      <c r="BR774" s="1" t="s">
        <v>103</v>
      </c>
      <c r="BS774" s="1" t="s">
        <v>13858</v>
      </c>
      <c r="BT774" s="1" t="str">
        <f aca="false">HYPERLINK("https%3A%2F%2Fwww.webofscience.com%2Fwos%2Fwoscc%2Ffull-record%2FWOS:001397748800001","View Full Record in Web of Science")</f>
        <v>View Full Record in Web of Science</v>
      </c>
    </row>
    <row r="775" customFormat="false" ht="12.75" hidden="false" customHeight="false" outlineLevel="0" collapsed="false">
      <c r="A775" s="1" t="s">
        <v>181</v>
      </c>
      <c r="B775" s="1" t="s">
        <v>13219</v>
      </c>
      <c r="C775" s="1"/>
      <c r="D775" s="1"/>
      <c r="E775" s="1"/>
      <c r="F775" s="1" t="s">
        <v>13220</v>
      </c>
      <c r="G775" s="1"/>
      <c r="H775" s="1"/>
      <c r="I775" s="1" t="s">
        <v>13859</v>
      </c>
      <c r="J775" s="1" t="s">
        <v>12098</v>
      </c>
      <c r="K775" s="1"/>
      <c r="L775" s="1"/>
      <c r="M775" s="1" t="s">
        <v>78</v>
      </c>
      <c r="N775" s="1" t="s">
        <v>5437</v>
      </c>
      <c r="O775" s="1"/>
      <c r="P775" s="1"/>
      <c r="Q775" s="1"/>
      <c r="R775" s="1"/>
      <c r="S775" s="1"/>
      <c r="T775" s="1" t="s">
        <v>13860</v>
      </c>
      <c r="U775" s="1"/>
      <c r="V775" s="1"/>
      <c r="W775" s="1" t="s">
        <v>13861</v>
      </c>
      <c r="X775" s="1" t="s">
        <v>13225</v>
      </c>
      <c r="Y775" s="1" t="s">
        <v>13862</v>
      </c>
      <c r="Z775" s="1" t="s">
        <v>13227</v>
      </c>
      <c r="AA775" s="1" t="s">
        <v>13863</v>
      </c>
      <c r="AB775" s="1" t="s">
        <v>12106</v>
      </c>
      <c r="AC775" s="1"/>
      <c r="AD775" s="1"/>
      <c r="AE775" s="1"/>
      <c r="AF775" s="1"/>
      <c r="AG775" s="1" t="n">
        <v>1</v>
      </c>
      <c r="AH775" s="1" t="n">
        <v>0</v>
      </c>
      <c r="AI775" s="1" t="n">
        <v>0</v>
      </c>
      <c r="AJ775" s="1" t="n">
        <v>0</v>
      </c>
      <c r="AK775" s="1" t="n">
        <v>2</v>
      </c>
      <c r="AL775" s="1" t="s">
        <v>12110</v>
      </c>
      <c r="AM775" s="1" t="s">
        <v>12111</v>
      </c>
      <c r="AN775" s="1" t="s">
        <v>12112</v>
      </c>
      <c r="AO775" s="1" t="s">
        <v>12113</v>
      </c>
      <c r="AP775" s="1"/>
      <c r="AQ775" s="1"/>
      <c r="AR775" s="1" t="s">
        <v>12114</v>
      </c>
      <c r="AS775" s="1" t="s">
        <v>12115</v>
      </c>
      <c r="AT775" s="1" t="s">
        <v>474</v>
      </c>
      <c r="AU775" s="1" t="n">
        <v>2023</v>
      </c>
      <c r="AV775" s="1" t="n">
        <v>53</v>
      </c>
      <c r="AW775" s="1" t="n">
        <v>3</v>
      </c>
      <c r="AX775" s="1"/>
      <c r="AY775" s="1"/>
      <c r="AZ775" s="1"/>
      <c r="BA775" s="1"/>
      <c r="BB775" s="1" t="n">
        <v>291</v>
      </c>
      <c r="BC775" s="1" t="n">
        <v>291</v>
      </c>
      <c r="BD775" s="1" t="s">
        <v>13864</v>
      </c>
      <c r="BE775" s="1" t="s">
        <v>13865</v>
      </c>
      <c r="BF775" s="1" t="str">
        <f aca="false">HYPERLINK("http://dx.doi.org/10.2890/dhm53.3.291","http://dx.doi.org/10.2890/dhm53.3.291")</f>
        <v>http://dx.doi.org/10.2890/dhm53.3.291</v>
      </c>
      <c r="BG775" s="1"/>
      <c r="BH775" s="1"/>
      <c r="BI775" s="1" t="n">
        <v>1</v>
      </c>
      <c r="BJ775" s="1" t="s">
        <v>1971</v>
      </c>
      <c r="BK775" s="1" t="s">
        <v>204</v>
      </c>
      <c r="BL775" s="1" t="s">
        <v>1971</v>
      </c>
      <c r="BM775" s="1" t="s">
        <v>13866</v>
      </c>
      <c r="BN775" s="1" t="n">
        <v>37718306</v>
      </c>
      <c r="BO775" s="1"/>
      <c r="BP775" s="1"/>
      <c r="BQ775" s="1"/>
      <c r="BR775" s="1" t="s">
        <v>103</v>
      </c>
      <c r="BS775" s="1" t="s">
        <v>13867</v>
      </c>
      <c r="BT775" s="1" t="str">
        <f aca="false">HYPERLINK("https%3A%2F%2Fwww.webofscience.com%2Fwos%2Fwoscc%2Ffull-record%2FWOS:001110875100018","View Full Record in Web of Science")</f>
        <v>View Full Record in Web of Science</v>
      </c>
    </row>
    <row r="776" customFormat="false" ht="12.75" hidden="false" customHeight="false" outlineLevel="0" collapsed="false">
      <c r="A776" s="1" t="s">
        <v>181</v>
      </c>
      <c r="B776" s="1" t="s">
        <v>13868</v>
      </c>
      <c r="C776" s="1"/>
      <c r="D776" s="1"/>
      <c r="E776" s="1"/>
      <c r="F776" s="1" t="s">
        <v>13869</v>
      </c>
      <c r="G776" s="1"/>
      <c r="H776" s="1"/>
      <c r="I776" s="1" t="s">
        <v>13870</v>
      </c>
      <c r="J776" s="1" t="s">
        <v>1378</v>
      </c>
      <c r="K776" s="1"/>
      <c r="L776" s="1"/>
      <c r="M776" s="1" t="s">
        <v>78</v>
      </c>
      <c r="N776" s="1" t="s">
        <v>1996</v>
      </c>
      <c r="O776" s="1"/>
      <c r="P776" s="1"/>
      <c r="Q776" s="1"/>
      <c r="R776" s="1"/>
      <c r="S776" s="1"/>
      <c r="T776" s="1"/>
      <c r="U776" s="1"/>
      <c r="V776" s="1"/>
      <c r="W776" s="1" t="s">
        <v>13871</v>
      </c>
      <c r="X776" s="1" t="s">
        <v>13872</v>
      </c>
      <c r="Y776" s="1" t="s">
        <v>13873</v>
      </c>
      <c r="Z776" s="1"/>
      <c r="AA776" s="1" t="s">
        <v>13874</v>
      </c>
      <c r="AB776" s="1"/>
      <c r="AC776" s="1"/>
      <c r="AD776" s="1"/>
      <c r="AE776" s="1"/>
      <c r="AF776" s="1"/>
      <c r="AG776" s="1" t="n">
        <v>0</v>
      </c>
      <c r="AH776" s="1" t="n">
        <v>0</v>
      </c>
      <c r="AI776" s="1" t="n">
        <v>0</v>
      </c>
      <c r="AJ776" s="1" t="n">
        <v>0</v>
      </c>
      <c r="AK776" s="1" t="n">
        <v>1</v>
      </c>
      <c r="AL776" s="1" t="s">
        <v>893</v>
      </c>
      <c r="AM776" s="1" t="s">
        <v>894</v>
      </c>
      <c r="AN776" s="1" t="s">
        <v>895</v>
      </c>
      <c r="AO776" s="1" t="s">
        <v>1387</v>
      </c>
      <c r="AP776" s="1" t="s">
        <v>1388</v>
      </c>
      <c r="AQ776" s="1"/>
      <c r="AR776" s="1" t="s">
        <v>1389</v>
      </c>
      <c r="AS776" s="1" t="s">
        <v>1390</v>
      </c>
      <c r="AT776" s="1" t="s">
        <v>421</v>
      </c>
      <c r="AU776" s="1" t="n">
        <v>2023</v>
      </c>
      <c r="AV776" s="1" t="n">
        <v>160</v>
      </c>
      <c r="AW776" s="1"/>
      <c r="AX776" s="1"/>
      <c r="AY776" s="1"/>
      <c r="AZ776" s="1"/>
      <c r="BA776" s="1"/>
      <c r="BB776" s="1"/>
      <c r="BC776" s="1"/>
      <c r="BD776" s="1" t="n">
        <v>107243</v>
      </c>
      <c r="BE776" s="1" t="s">
        <v>13875</v>
      </c>
      <c r="BF776" s="1" t="str">
        <f aca="false">HYPERLINK("http://dx.doi.org/10.1016/j.infsof.2023.107243","http://dx.doi.org/10.1016/j.infsof.2023.107243")</f>
        <v>http://dx.doi.org/10.1016/j.infsof.2023.107243</v>
      </c>
      <c r="BG776" s="1"/>
      <c r="BH776" s="1" t="s">
        <v>713</v>
      </c>
      <c r="BI776" s="1" t="n">
        <v>2</v>
      </c>
      <c r="BJ776" s="1" t="s">
        <v>1394</v>
      </c>
      <c r="BK776" s="1" t="s">
        <v>204</v>
      </c>
      <c r="BL776" s="1" t="s">
        <v>101</v>
      </c>
      <c r="BM776" s="1" t="s">
        <v>13876</v>
      </c>
      <c r="BN776" s="1"/>
      <c r="BO776" s="1"/>
      <c r="BP776" s="1"/>
      <c r="BQ776" s="1"/>
      <c r="BR776" s="1" t="s">
        <v>103</v>
      </c>
      <c r="BS776" s="1" t="s">
        <v>13877</v>
      </c>
      <c r="BT776" s="1" t="str">
        <f aca="false">HYPERLINK("https%3A%2F%2Fwww.webofscience.com%2Fwos%2Fwoscc%2Ffull-record%2FWOS:001033590300001","View Full Record in Web of Science")</f>
        <v>View Full Record in Web of Science</v>
      </c>
    </row>
    <row r="777" customFormat="false" ht="12.75" hidden="false" customHeight="false" outlineLevel="0" collapsed="false">
      <c r="A777" s="1" t="s">
        <v>181</v>
      </c>
      <c r="B777" s="1" t="s">
        <v>13878</v>
      </c>
      <c r="C777" s="1"/>
      <c r="D777" s="1"/>
      <c r="E777" s="1"/>
      <c r="F777" s="1" t="s">
        <v>13879</v>
      </c>
      <c r="G777" s="1"/>
      <c r="H777" s="1"/>
      <c r="I777" s="1" t="s">
        <v>13880</v>
      </c>
      <c r="J777" s="1" t="s">
        <v>671</v>
      </c>
      <c r="K777" s="1"/>
      <c r="L777" s="1"/>
      <c r="M777" s="1" t="s">
        <v>78</v>
      </c>
      <c r="N777" s="1" t="s">
        <v>186</v>
      </c>
      <c r="O777" s="1"/>
      <c r="P777" s="1"/>
      <c r="Q777" s="1"/>
      <c r="R777" s="1"/>
      <c r="S777" s="1"/>
      <c r="T777" s="1" t="s">
        <v>13881</v>
      </c>
      <c r="U777" s="1"/>
      <c r="V777" s="1" t="s">
        <v>13882</v>
      </c>
      <c r="W777" s="1" t="s">
        <v>13883</v>
      </c>
      <c r="X777" s="1" t="s">
        <v>13884</v>
      </c>
      <c r="Y777" s="1" t="s">
        <v>13885</v>
      </c>
      <c r="Z777" s="1" t="s">
        <v>13886</v>
      </c>
      <c r="AA777" s="1" t="s">
        <v>13887</v>
      </c>
      <c r="AB777" s="1" t="s">
        <v>13888</v>
      </c>
      <c r="AC777" s="1" t="s">
        <v>13889</v>
      </c>
      <c r="AD777" s="1" t="s">
        <v>13889</v>
      </c>
      <c r="AE777" s="1" t="s">
        <v>13890</v>
      </c>
      <c r="AF777" s="1"/>
      <c r="AG777" s="1" t="n">
        <v>46</v>
      </c>
      <c r="AH777" s="1" t="n">
        <v>1</v>
      </c>
      <c r="AI777" s="1" t="n">
        <v>1</v>
      </c>
      <c r="AJ777" s="1" t="n">
        <v>0</v>
      </c>
      <c r="AK777" s="1" t="n">
        <v>3</v>
      </c>
      <c r="AL777" s="1" t="s">
        <v>679</v>
      </c>
      <c r="AM777" s="1" t="s">
        <v>680</v>
      </c>
      <c r="AN777" s="1" t="s">
        <v>681</v>
      </c>
      <c r="AO777" s="1" t="s">
        <v>682</v>
      </c>
      <c r="AP777" s="1" t="s">
        <v>683</v>
      </c>
      <c r="AQ777" s="1"/>
      <c r="AR777" s="1" t="s">
        <v>684</v>
      </c>
      <c r="AS777" s="1" t="s">
        <v>685</v>
      </c>
      <c r="AT777" s="1" t="s">
        <v>13891</v>
      </c>
      <c r="AU777" s="1" t="n">
        <v>2021</v>
      </c>
      <c r="AV777" s="1" t="n">
        <v>26</v>
      </c>
      <c r="AW777" s="1" t="n">
        <v>2</v>
      </c>
      <c r="AX777" s="1"/>
      <c r="AY777" s="1"/>
      <c r="AZ777" s="1"/>
      <c r="BA777" s="1"/>
      <c r="BB777" s="1"/>
      <c r="BC777" s="1"/>
      <c r="BD777" s="1" t="n">
        <v>26</v>
      </c>
      <c r="BE777" s="1" t="s">
        <v>13892</v>
      </c>
      <c r="BF777" s="1" t="str">
        <f aca="false">HYPERLINK("http://dx.doi.org/10.1007/s10664-020-09896-7","http://dx.doi.org/10.1007/s10664-020-09896-7")</f>
        <v>http://dx.doi.org/10.1007/s10664-020-09896-7</v>
      </c>
      <c r="BG777" s="1"/>
      <c r="BH777" s="1"/>
      <c r="BI777" s="1" t="n">
        <v>29</v>
      </c>
      <c r="BJ777" s="1" t="s">
        <v>252</v>
      </c>
      <c r="BK777" s="1" t="s">
        <v>204</v>
      </c>
      <c r="BL777" s="1" t="s">
        <v>101</v>
      </c>
      <c r="BM777" s="1" t="s">
        <v>13893</v>
      </c>
      <c r="BN777" s="1"/>
      <c r="BO777" s="1" t="s">
        <v>282</v>
      </c>
      <c r="BP777" s="1"/>
      <c r="BQ777" s="1"/>
      <c r="BR777" s="1" t="s">
        <v>103</v>
      </c>
      <c r="BS777" s="1" t="s">
        <v>13894</v>
      </c>
      <c r="BT777" s="1" t="str">
        <f aca="false">HYPERLINK("https%3A%2F%2Fwww.webofscience.com%2Fwos%2Fwoscc%2Ffull-record%2FWOS:000625372100003","View Full Record in Web of Science")</f>
        <v>View Full Record in Web of Science</v>
      </c>
    </row>
    <row r="778" customFormat="false" ht="12.75" hidden="false" customHeight="false" outlineLevel="0" collapsed="false">
      <c r="A778" s="1" t="s">
        <v>181</v>
      </c>
      <c r="B778" s="1" t="s">
        <v>13895</v>
      </c>
      <c r="C778" s="1"/>
      <c r="D778" s="1"/>
      <c r="E778" s="1"/>
      <c r="F778" s="1" t="s">
        <v>13896</v>
      </c>
      <c r="G778" s="1"/>
      <c r="H778" s="1"/>
      <c r="I778" s="1" t="s">
        <v>13897</v>
      </c>
      <c r="J778" s="1" t="s">
        <v>3700</v>
      </c>
      <c r="K778" s="1"/>
      <c r="L778" s="1"/>
      <c r="M778" s="1" t="s">
        <v>78</v>
      </c>
      <c r="N778" s="1" t="s">
        <v>186</v>
      </c>
      <c r="O778" s="1"/>
      <c r="P778" s="1"/>
      <c r="Q778" s="1"/>
      <c r="R778" s="1"/>
      <c r="S778" s="1"/>
      <c r="T778" s="1" t="s">
        <v>13898</v>
      </c>
      <c r="U778" s="1" t="s">
        <v>13899</v>
      </c>
      <c r="V778" s="1" t="s">
        <v>13900</v>
      </c>
      <c r="W778" s="1" t="s">
        <v>13901</v>
      </c>
      <c r="X778" s="1" t="s">
        <v>13902</v>
      </c>
      <c r="Y778" s="1" t="s">
        <v>6179</v>
      </c>
      <c r="Z778" s="1" t="s">
        <v>13903</v>
      </c>
      <c r="AA778" s="1" t="s">
        <v>13904</v>
      </c>
      <c r="AB778" s="1" t="s">
        <v>13905</v>
      </c>
      <c r="AC778" s="1"/>
      <c r="AD778" s="1"/>
      <c r="AE778" s="1"/>
      <c r="AF778" s="1"/>
      <c r="AG778" s="1" t="n">
        <v>78</v>
      </c>
      <c r="AH778" s="1" t="n">
        <v>3</v>
      </c>
      <c r="AI778" s="1" t="n">
        <v>3</v>
      </c>
      <c r="AJ778" s="1" t="n">
        <v>0</v>
      </c>
      <c r="AK778" s="1" t="n">
        <v>4</v>
      </c>
      <c r="AL778" s="1" t="s">
        <v>3711</v>
      </c>
      <c r="AM778" s="1" t="s">
        <v>95</v>
      </c>
      <c r="AN778" s="1" t="s">
        <v>3712</v>
      </c>
      <c r="AO778" s="1" t="s">
        <v>3713</v>
      </c>
      <c r="AP778" s="1" t="s">
        <v>3714</v>
      </c>
      <c r="AQ778" s="1"/>
      <c r="AR778" s="1" t="s">
        <v>3715</v>
      </c>
      <c r="AS778" s="1" t="s">
        <v>3716</v>
      </c>
      <c r="AT778" s="1" t="s">
        <v>711</v>
      </c>
      <c r="AU778" s="1" t="n">
        <v>2023</v>
      </c>
      <c r="AV778" s="1" t="n">
        <v>202</v>
      </c>
      <c r="AW778" s="1"/>
      <c r="AX778" s="1"/>
      <c r="AY778" s="1"/>
      <c r="AZ778" s="1"/>
      <c r="BA778" s="1"/>
      <c r="BB778" s="1"/>
      <c r="BC778" s="1"/>
      <c r="BD778" s="1" t="n">
        <v>111701</v>
      </c>
      <c r="BE778" s="1" t="s">
        <v>13906</v>
      </c>
      <c r="BF778" s="1" t="str">
        <f aca="false">HYPERLINK("http://dx.doi.org/10.1016/j.jss.2023.111701","http://dx.doi.org/10.1016/j.jss.2023.111701")</f>
        <v>http://dx.doi.org/10.1016/j.jss.2023.111701</v>
      </c>
      <c r="BG778" s="1"/>
      <c r="BH778" s="1" t="s">
        <v>713</v>
      </c>
      <c r="BI778" s="1" t="n">
        <v>23</v>
      </c>
      <c r="BJ778" s="1" t="s">
        <v>994</v>
      </c>
      <c r="BK778" s="1" t="s">
        <v>204</v>
      </c>
      <c r="BL778" s="1" t="s">
        <v>101</v>
      </c>
      <c r="BM778" s="1" t="s">
        <v>13907</v>
      </c>
      <c r="BN778" s="1"/>
      <c r="BO778" s="1" t="s">
        <v>2770</v>
      </c>
      <c r="BP778" s="1"/>
      <c r="BQ778" s="1"/>
      <c r="BR778" s="1" t="s">
        <v>103</v>
      </c>
      <c r="BS778" s="1" t="s">
        <v>13908</v>
      </c>
      <c r="BT778" s="1" t="str">
        <f aca="false">HYPERLINK("https%3A%2F%2Fwww.webofscience.com%2Fwos%2Fwoscc%2Ffull-record%2FWOS:000984121100001","View Full Record in Web of Science")</f>
        <v>View Full Record in Web of Science</v>
      </c>
    </row>
    <row r="779" customFormat="false" ht="12.75" hidden="false" customHeight="false" outlineLevel="0" collapsed="false">
      <c r="A779" s="1" t="s">
        <v>181</v>
      </c>
      <c r="B779" s="1" t="s">
        <v>13909</v>
      </c>
      <c r="C779" s="1"/>
      <c r="D779" s="1"/>
      <c r="E779" s="1"/>
      <c r="F779" s="1" t="s">
        <v>13910</v>
      </c>
      <c r="G779" s="1"/>
      <c r="H779" s="1"/>
      <c r="I779" s="1" t="s">
        <v>13911</v>
      </c>
      <c r="J779" s="1" t="s">
        <v>13912</v>
      </c>
      <c r="K779" s="1"/>
      <c r="L779" s="1"/>
      <c r="M779" s="1" t="s">
        <v>78</v>
      </c>
      <c r="N779" s="1" t="s">
        <v>186</v>
      </c>
      <c r="O779" s="1"/>
      <c r="P779" s="1"/>
      <c r="Q779" s="1"/>
      <c r="R779" s="1"/>
      <c r="S779" s="1"/>
      <c r="T779" s="1" t="s">
        <v>13913</v>
      </c>
      <c r="U779" s="1"/>
      <c r="V779" s="1" t="s">
        <v>13914</v>
      </c>
      <c r="W779" s="1" t="s">
        <v>13915</v>
      </c>
      <c r="X779" s="1" t="s">
        <v>13916</v>
      </c>
      <c r="Y779" s="1" t="s">
        <v>13917</v>
      </c>
      <c r="Z779" s="1" t="s">
        <v>3541</v>
      </c>
      <c r="AA779" s="1" t="s">
        <v>13918</v>
      </c>
      <c r="AB779" s="1" t="s">
        <v>13919</v>
      </c>
      <c r="AC779" s="1" t="s">
        <v>13920</v>
      </c>
      <c r="AD779" s="1" t="s">
        <v>13920</v>
      </c>
      <c r="AE779" s="1" t="s">
        <v>13921</v>
      </c>
      <c r="AF779" s="1"/>
      <c r="AG779" s="1" t="n">
        <v>7</v>
      </c>
      <c r="AH779" s="1" t="n">
        <v>0</v>
      </c>
      <c r="AI779" s="1" t="n">
        <v>0</v>
      </c>
      <c r="AJ779" s="1" t="n">
        <v>4</v>
      </c>
      <c r="AK779" s="1" t="n">
        <v>5</v>
      </c>
      <c r="AL779" s="1" t="s">
        <v>893</v>
      </c>
      <c r="AM779" s="1" t="s">
        <v>894</v>
      </c>
      <c r="AN779" s="1" t="s">
        <v>895</v>
      </c>
      <c r="AO779" s="1" t="s">
        <v>13922</v>
      </c>
      <c r="AP779" s="1"/>
      <c r="AQ779" s="1"/>
      <c r="AR779" s="1" t="s">
        <v>13923</v>
      </c>
      <c r="AS779" s="1" t="s">
        <v>13924</v>
      </c>
      <c r="AT779" s="1" t="s">
        <v>2698</v>
      </c>
      <c r="AU779" s="1" t="n">
        <v>2024</v>
      </c>
      <c r="AV779" s="1" t="n">
        <v>54</v>
      </c>
      <c r="AW779" s="1"/>
      <c r="AX779" s="1"/>
      <c r="AY779" s="1"/>
      <c r="AZ779" s="1"/>
      <c r="BA779" s="1"/>
      <c r="BB779" s="1"/>
      <c r="BC779" s="1"/>
      <c r="BD779" s="1" t="n">
        <v>110499</v>
      </c>
      <c r="BE779" s="1" t="s">
        <v>13925</v>
      </c>
      <c r="BF779" s="1" t="str">
        <f aca="false">HYPERLINK("http://dx.doi.org/10.1016/j.dib.2024.110499","http://dx.doi.org/10.1016/j.dib.2024.110499")</f>
        <v>http://dx.doi.org/10.1016/j.dib.2024.110499</v>
      </c>
      <c r="BG779" s="1"/>
      <c r="BH779" s="1" t="s">
        <v>2002</v>
      </c>
      <c r="BI779" s="1" t="n">
        <v>7</v>
      </c>
      <c r="BJ779" s="1" t="s">
        <v>6557</v>
      </c>
      <c r="BK779" s="1" t="s">
        <v>253</v>
      </c>
      <c r="BL779" s="1" t="s">
        <v>6558</v>
      </c>
      <c r="BM779" s="1" t="s">
        <v>13926</v>
      </c>
      <c r="BN779" s="1" t="n">
        <v>38770040</v>
      </c>
      <c r="BO779" s="1" t="s">
        <v>542</v>
      </c>
      <c r="BP779" s="1"/>
      <c r="BQ779" s="1"/>
      <c r="BR779" s="1" t="s">
        <v>103</v>
      </c>
      <c r="BS779" s="1" t="s">
        <v>13927</v>
      </c>
      <c r="BT779" s="1" t="str">
        <f aca="false">HYPERLINK("https%3A%2F%2Fwww.webofscience.com%2Fwos%2Fwoscc%2Ffull-record%2FWOS:001266124000002","View Full Record in Web of Science")</f>
        <v>View Full Record in Web of Science</v>
      </c>
    </row>
    <row r="780" customFormat="false" ht="12.75" hidden="false" customHeight="false" outlineLevel="0" collapsed="false">
      <c r="A780" s="1" t="s">
        <v>181</v>
      </c>
      <c r="B780" s="1" t="s">
        <v>13928</v>
      </c>
      <c r="C780" s="1"/>
      <c r="D780" s="1"/>
      <c r="E780" s="1"/>
      <c r="F780" s="1" t="s">
        <v>13929</v>
      </c>
      <c r="G780" s="1"/>
      <c r="H780" s="1"/>
      <c r="I780" s="1" t="s">
        <v>13930</v>
      </c>
      <c r="J780" s="1" t="s">
        <v>13931</v>
      </c>
      <c r="K780" s="1"/>
      <c r="L780" s="1"/>
      <c r="M780" s="1" t="s">
        <v>78</v>
      </c>
      <c r="N780" s="1" t="s">
        <v>186</v>
      </c>
      <c r="O780" s="1"/>
      <c r="P780" s="1"/>
      <c r="Q780" s="1"/>
      <c r="R780" s="1"/>
      <c r="S780" s="1"/>
      <c r="T780" s="1" t="s">
        <v>13932</v>
      </c>
      <c r="U780" s="1" t="s">
        <v>13933</v>
      </c>
      <c r="V780" s="1" t="s">
        <v>13934</v>
      </c>
      <c r="W780" s="1" t="s">
        <v>13935</v>
      </c>
      <c r="X780" s="1" t="s">
        <v>13936</v>
      </c>
      <c r="Y780" s="1" t="s">
        <v>13937</v>
      </c>
      <c r="Z780" s="1" t="s">
        <v>13938</v>
      </c>
      <c r="AA780" s="1" t="s">
        <v>13939</v>
      </c>
      <c r="AB780" s="1" t="s">
        <v>13940</v>
      </c>
      <c r="AC780" s="1"/>
      <c r="AD780" s="1"/>
      <c r="AE780" s="1"/>
      <c r="AF780" s="1"/>
      <c r="AG780" s="1" t="n">
        <v>121</v>
      </c>
      <c r="AH780" s="1" t="n">
        <v>5</v>
      </c>
      <c r="AI780" s="1" t="n">
        <v>5</v>
      </c>
      <c r="AJ780" s="1" t="n">
        <v>6</v>
      </c>
      <c r="AK780" s="1" t="n">
        <v>57</v>
      </c>
      <c r="AL780" s="1" t="s">
        <v>1355</v>
      </c>
      <c r="AM780" s="1" t="s">
        <v>1356</v>
      </c>
      <c r="AN780" s="1" t="s">
        <v>1357</v>
      </c>
      <c r="AO780" s="1" t="s">
        <v>13941</v>
      </c>
      <c r="AP780" s="1" t="s">
        <v>13942</v>
      </c>
      <c r="AQ780" s="1"/>
      <c r="AR780" s="1" t="s">
        <v>13943</v>
      </c>
      <c r="AS780" s="1" t="s">
        <v>13944</v>
      </c>
      <c r="AT780" s="1" t="s">
        <v>808</v>
      </c>
      <c r="AU780" s="1" t="n">
        <v>2023</v>
      </c>
      <c r="AV780" s="1" t="n">
        <v>47</v>
      </c>
      <c r="AW780" s="1" t="n">
        <v>4</v>
      </c>
      <c r="AX780" s="1"/>
      <c r="AY780" s="1"/>
      <c r="AZ780" s="1"/>
      <c r="BA780" s="1"/>
      <c r="BB780" s="1" t="n">
        <v>1421</v>
      </c>
      <c r="BC780" s="1" t="n">
        <v>1459</v>
      </c>
      <c r="BD780" s="1" t="n">
        <v>10422587211057000</v>
      </c>
      <c r="BE780" s="1" t="s">
        <v>13945</v>
      </c>
      <c r="BF780" s="1" t="str">
        <f aca="false">HYPERLINK("http://dx.doi.org/10.1177/10422587211057029","http://dx.doi.org/10.1177/10422587211057029")</f>
        <v>http://dx.doi.org/10.1177/10422587211057029</v>
      </c>
      <c r="BG780" s="1"/>
      <c r="BH780" s="1" t="s">
        <v>2540</v>
      </c>
      <c r="BI780" s="1" t="n">
        <v>39</v>
      </c>
      <c r="BJ780" s="1" t="s">
        <v>2298</v>
      </c>
      <c r="BK780" s="1" t="s">
        <v>610</v>
      </c>
      <c r="BL780" s="1" t="s">
        <v>715</v>
      </c>
      <c r="BM780" s="1" t="s">
        <v>13946</v>
      </c>
      <c r="BN780" s="1"/>
      <c r="BO780" s="1"/>
      <c r="BP780" s="1"/>
      <c r="BQ780" s="1"/>
      <c r="BR780" s="1" t="s">
        <v>103</v>
      </c>
      <c r="BS780" s="1" t="s">
        <v>13947</v>
      </c>
      <c r="BT780" s="1" t="str">
        <f aca="false">HYPERLINK("https%3A%2F%2Fwww.webofscience.com%2Fwos%2Fwoscc%2Ffull-record%2FWOS:000748743400001","View Full Record in Web of Science")</f>
        <v>View Full Record in Web of Science</v>
      </c>
    </row>
    <row r="781" customFormat="false" ht="12.75" hidden="false" customHeight="false" outlineLevel="0" collapsed="false">
      <c r="A781" s="1" t="s">
        <v>181</v>
      </c>
      <c r="B781" s="1" t="s">
        <v>13948</v>
      </c>
      <c r="C781" s="1"/>
      <c r="D781" s="1"/>
      <c r="E781" s="1"/>
      <c r="F781" s="1" t="s">
        <v>13949</v>
      </c>
      <c r="G781" s="1"/>
      <c r="H781" s="1"/>
      <c r="I781" s="1" t="s">
        <v>13950</v>
      </c>
      <c r="J781" s="1" t="s">
        <v>6114</v>
      </c>
      <c r="K781" s="1"/>
      <c r="L781" s="1"/>
      <c r="M781" s="1" t="s">
        <v>78</v>
      </c>
      <c r="N781" s="1" t="s">
        <v>1996</v>
      </c>
      <c r="O781" s="1"/>
      <c r="P781" s="1"/>
      <c r="Q781" s="1"/>
      <c r="R781" s="1"/>
      <c r="S781" s="1"/>
      <c r="T781" s="1"/>
      <c r="U781" s="1"/>
      <c r="V781" s="1"/>
      <c r="W781" s="1" t="s">
        <v>13951</v>
      </c>
      <c r="X781" s="1" t="s">
        <v>13952</v>
      </c>
      <c r="Y781" s="1" t="s">
        <v>13953</v>
      </c>
      <c r="Z781" s="1"/>
      <c r="AA781" s="1" t="s">
        <v>7789</v>
      </c>
      <c r="AB781" s="1" t="s">
        <v>13954</v>
      </c>
      <c r="AC781" s="1"/>
      <c r="AD781" s="1"/>
      <c r="AE781" s="1"/>
      <c r="AF781" s="1"/>
      <c r="AG781" s="1" t="n">
        <v>0</v>
      </c>
      <c r="AH781" s="1" t="n">
        <v>1</v>
      </c>
      <c r="AI781" s="1" t="n">
        <v>1</v>
      </c>
      <c r="AJ781" s="1" t="n">
        <v>0</v>
      </c>
      <c r="AK781" s="1" t="n">
        <v>1</v>
      </c>
      <c r="AL781" s="1" t="s">
        <v>600</v>
      </c>
      <c r="AM781" s="1" t="s">
        <v>601</v>
      </c>
      <c r="AN781" s="1" t="s">
        <v>602</v>
      </c>
      <c r="AO781" s="1" t="s">
        <v>6122</v>
      </c>
      <c r="AP781" s="1" t="s">
        <v>6123</v>
      </c>
      <c r="AQ781" s="1"/>
      <c r="AR781" s="1" t="s">
        <v>6124</v>
      </c>
      <c r="AS781" s="1" t="s">
        <v>6125</v>
      </c>
      <c r="AT781" s="1" t="s">
        <v>754</v>
      </c>
      <c r="AU781" s="1" t="n">
        <v>2021</v>
      </c>
      <c r="AV781" s="1" t="n">
        <v>31</v>
      </c>
      <c r="AW781" s="1" t="n">
        <v>3</v>
      </c>
      <c r="AX781" s="1"/>
      <c r="AY781" s="1"/>
      <c r="AZ781" s="1" t="s">
        <v>1698</v>
      </c>
      <c r="BA781" s="1"/>
      <c r="BB781" s="1"/>
      <c r="BC781" s="1"/>
      <c r="BD781" s="1" t="s">
        <v>13955</v>
      </c>
      <c r="BE781" s="1" t="s">
        <v>13956</v>
      </c>
      <c r="BF781" s="1" t="str">
        <f aca="false">HYPERLINK("http://dx.doi.org/10.1002/stvr.1770","http://dx.doi.org/10.1002/stvr.1770")</f>
        <v>http://dx.doi.org/10.1002/stvr.1770</v>
      </c>
      <c r="BG781" s="1"/>
      <c r="BH781" s="1" t="s">
        <v>1749</v>
      </c>
      <c r="BI781" s="1" t="n">
        <v>2</v>
      </c>
      <c r="BJ781" s="1" t="s">
        <v>252</v>
      </c>
      <c r="BK781" s="1" t="s">
        <v>204</v>
      </c>
      <c r="BL781" s="1" t="s">
        <v>101</v>
      </c>
      <c r="BM781" s="1" t="s">
        <v>13957</v>
      </c>
      <c r="BN781" s="1"/>
      <c r="BO781" s="1" t="s">
        <v>2258</v>
      </c>
      <c r="BP781" s="1"/>
      <c r="BQ781" s="1"/>
      <c r="BR781" s="1" t="s">
        <v>103</v>
      </c>
      <c r="BS781" s="1" t="s">
        <v>13958</v>
      </c>
      <c r="BT781" s="1" t="str">
        <f aca="false">HYPERLINK("https%3A%2F%2Fwww.webofscience.com%2Fwos%2Fwoscc%2Ffull-record%2FWOS:000629661700001","View Full Record in Web of Science")</f>
        <v>View Full Record in Web of Science</v>
      </c>
    </row>
    <row r="782" customFormat="false" ht="12.75" hidden="false" customHeight="false" outlineLevel="0" collapsed="false">
      <c r="A782" s="1" t="s">
        <v>181</v>
      </c>
      <c r="B782" s="1" t="s">
        <v>13959</v>
      </c>
      <c r="C782" s="1"/>
      <c r="D782" s="1"/>
      <c r="E782" s="1"/>
      <c r="F782" s="1" t="s">
        <v>13960</v>
      </c>
      <c r="G782" s="1"/>
      <c r="H782" s="1"/>
      <c r="I782" s="1" t="s">
        <v>13961</v>
      </c>
      <c r="J782" s="1" t="s">
        <v>13962</v>
      </c>
      <c r="K782" s="1"/>
      <c r="L782" s="1"/>
      <c r="M782" s="1" t="s">
        <v>78</v>
      </c>
      <c r="N782" s="1" t="s">
        <v>186</v>
      </c>
      <c r="O782" s="1"/>
      <c r="P782" s="1"/>
      <c r="Q782" s="1"/>
      <c r="R782" s="1"/>
      <c r="S782" s="1"/>
      <c r="T782" s="1"/>
      <c r="U782" s="1" t="s">
        <v>13963</v>
      </c>
      <c r="V782" s="1" t="s">
        <v>13964</v>
      </c>
      <c r="W782" s="1" t="s">
        <v>13965</v>
      </c>
      <c r="X782" s="1" t="s">
        <v>13966</v>
      </c>
      <c r="Y782" s="1" t="s">
        <v>13967</v>
      </c>
      <c r="Z782" s="1" t="s">
        <v>13968</v>
      </c>
      <c r="AA782" s="1"/>
      <c r="AB782" s="1" t="s">
        <v>13969</v>
      </c>
      <c r="AC782" s="1" t="s">
        <v>13970</v>
      </c>
      <c r="AD782" s="1" t="s">
        <v>13971</v>
      </c>
      <c r="AE782" s="1" t="s">
        <v>13972</v>
      </c>
      <c r="AF782" s="1"/>
      <c r="AG782" s="1" t="n">
        <v>37</v>
      </c>
      <c r="AH782" s="1" t="n">
        <v>10</v>
      </c>
      <c r="AI782" s="1" t="n">
        <v>10</v>
      </c>
      <c r="AJ782" s="1" t="n">
        <v>0</v>
      </c>
      <c r="AK782" s="1" t="n">
        <v>5</v>
      </c>
      <c r="AL782" s="1" t="s">
        <v>13973</v>
      </c>
      <c r="AM782" s="1" t="s">
        <v>6519</v>
      </c>
      <c r="AN782" s="1" t="s">
        <v>13974</v>
      </c>
      <c r="AO782" s="1" t="s">
        <v>13975</v>
      </c>
      <c r="AP782" s="1" t="s">
        <v>13976</v>
      </c>
      <c r="AQ782" s="1"/>
      <c r="AR782" s="1" t="s">
        <v>13977</v>
      </c>
      <c r="AS782" s="1" t="s">
        <v>13978</v>
      </c>
      <c r="AT782" s="1" t="s">
        <v>13979</v>
      </c>
      <c r="AU782" s="1" t="n">
        <v>2021</v>
      </c>
      <c r="AV782" s="1" t="n">
        <v>38</v>
      </c>
      <c r="AW782" s="1" t="n">
        <v>1</v>
      </c>
      <c r="AX782" s="1"/>
      <c r="AY782" s="1"/>
      <c r="AZ782" s="1"/>
      <c r="BA782" s="1"/>
      <c r="BB782" s="1" t="n">
        <v>104</v>
      </c>
      <c r="BC782" s="1" t="n">
        <v>113</v>
      </c>
      <c r="BD782" s="1"/>
      <c r="BE782" s="1" t="s">
        <v>13980</v>
      </c>
      <c r="BF782" s="1" t="str">
        <f aca="false">HYPERLINK("http://dx.doi.org/10.1364/JOSAB.410092","http://dx.doi.org/10.1364/JOSAB.410092")</f>
        <v>http://dx.doi.org/10.1364/JOSAB.410092</v>
      </c>
      <c r="BG782" s="1"/>
      <c r="BH782" s="1"/>
      <c r="BI782" s="1" t="n">
        <v>10</v>
      </c>
      <c r="BJ782" s="1" t="s">
        <v>7211</v>
      </c>
      <c r="BK782" s="1" t="s">
        <v>204</v>
      </c>
      <c r="BL782" s="1" t="s">
        <v>7211</v>
      </c>
      <c r="BM782" s="1" t="s">
        <v>13981</v>
      </c>
      <c r="BN782" s="1"/>
      <c r="BO782" s="1"/>
      <c r="BP782" s="1"/>
      <c r="BQ782" s="1"/>
      <c r="BR782" s="1" t="s">
        <v>103</v>
      </c>
      <c r="BS782" s="1" t="s">
        <v>13982</v>
      </c>
      <c r="BT782" s="1" t="str">
        <f aca="false">HYPERLINK("https%3A%2F%2Fwww.webofscience.com%2Fwos%2Fwoscc%2Ffull-record%2FWOS:000603408200015","View Full Record in Web of Science")</f>
        <v>View Full Record in Web of Science</v>
      </c>
    </row>
    <row r="783" customFormat="false" ht="12.75" hidden="false" customHeight="false" outlineLevel="0" collapsed="false">
      <c r="A783" s="1" t="s">
        <v>72</v>
      </c>
      <c r="B783" s="1" t="s">
        <v>13983</v>
      </c>
      <c r="C783" s="1"/>
      <c r="D783" s="1" t="s">
        <v>13984</v>
      </c>
      <c r="E783" s="1"/>
      <c r="F783" s="1" t="s">
        <v>13985</v>
      </c>
      <c r="G783" s="1"/>
      <c r="H783" s="1"/>
      <c r="I783" s="1" t="s">
        <v>13986</v>
      </c>
      <c r="J783" s="1" t="s">
        <v>13987</v>
      </c>
      <c r="K783" s="1" t="s">
        <v>976</v>
      </c>
      <c r="L783" s="1"/>
      <c r="M783" s="1" t="s">
        <v>78</v>
      </c>
      <c r="N783" s="1" t="s">
        <v>79</v>
      </c>
      <c r="O783" s="1" t="s">
        <v>13988</v>
      </c>
      <c r="P783" s="1" t="s">
        <v>13989</v>
      </c>
      <c r="Q783" s="1" t="s">
        <v>13990</v>
      </c>
      <c r="R783" s="1"/>
      <c r="S783" s="1"/>
      <c r="T783" s="1" t="s">
        <v>13991</v>
      </c>
      <c r="U783" s="1"/>
      <c r="V783" s="1" t="s">
        <v>13992</v>
      </c>
      <c r="W783" s="1" t="s">
        <v>13993</v>
      </c>
      <c r="X783" s="1" t="s">
        <v>13994</v>
      </c>
      <c r="Y783" s="1" t="s">
        <v>13995</v>
      </c>
      <c r="Z783" s="1" t="s">
        <v>13996</v>
      </c>
      <c r="AA783" s="1" t="s">
        <v>5339</v>
      </c>
      <c r="AB783" s="1" t="s">
        <v>13832</v>
      </c>
      <c r="AC783" s="1"/>
      <c r="AD783" s="1"/>
      <c r="AE783" s="1"/>
      <c r="AF783" s="1"/>
      <c r="AG783" s="1" t="n">
        <v>29</v>
      </c>
      <c r="AH783" s="1" t="n">
        <v>1</v>
      </c>
      <c r="AI783" s="1" t="n">
        <v>2</v>
      </c>
      <c r="AJ783" s="1" t="n">
        <v>0</v>
      </c>
      <c r="AK783" s="1" t="n">
        <v>0</v>
      </c>
      <c r="AL783" s="1" t="s">
        <v>302</v>
      </c>
      <c r="AM783" s="1" t="s">
        <v>303</v>
      </c>
      <c r="AN783" s="1" t="s">
        <v>304</v>
      </c>
      <c r="AO783" s="1" t="s">
        <v>989</v>
      </c>
      <c r="AP783" s="1" t="s">
        <v>990</v>
      </c>
      <c r="AQ783" s="1" t="s">
        <v>13997</v>
      </c>
      <c r="AR783" s="1" t="s">
        <v>992</v>
      </c>
      <c r="AS783" s="1"/>
      <c r="AT783" s="1"/>
      <c r="AU783" s="1" t="n">
        <v>2021</v>
      </c>
      <c r="AV783" s="1" t="n">
        <v>12607</v>
      </c>
      <c r="AW783" s="1"/>
      <c r="AX783" s="1"/>
      <c r="AY783" s="1"/>
      <c r="AZ783" s="1"/>
      <c r="BA783" s="1"/>
      <c r="BB783" s="1" t="n">
        <v>458</v>
      </c>
      <c r="BC783" s="1" t="n">
        <v>471</v>
      </c>
      <c r="BD783" s="1"/>
      <c r="BE783" s="1" t="s">
        <v>13998</v>
      </c>
      <c r="BF783" s="1" t="str">
        <f aca="false">HYPERLINK("http://dx.doi.org/10.1007/978-3-030-67731-2_34","http://dx.doi.org/10.1007/978-3-030-67731-2_34")</f>
        <v>http://dx.doi.org/10.1007/978-3-030-67731-2_34</v>
      </c>
      <c r="BG783" s="1"/>
      <c r="BH783" s="1"/>
      <c r="BI783" s="1" t="n">
        <v>14</v>
      </c>
      <c r="BJ783" s="1" t="s">
        <v>13999</v>
      </c>
      <c r="BK783" s="1" t="s">
        <v>100</v>
      </c>
      <c r="BL783" s="1" t="s">
        <v>4973</v>
      </c>
      <c r="BM783" s="1" t="s">
        <v>14000</v>
      </c>
      <c r="BN783" s="1"/>
      <c r="BO783" s="1"/>
      <c r="BP783" s="1"/>
      <c r="BQ783" s="1"/>
      <c r="BR783" s="1" t="s">
        <v>103</v>
      </c>
      <c r="BS783" s="1" t="s">
        <v>14001</v>
      </c>
      <c r="BT783" s="1" t="str">
        <f aca="false">HYPERLINK("https%3A%2F%2Fwww.webofscience.com%2Fwos%2Fwoscc%2Ffull-record%2FWOS:000927597000034","View Full Record in Web of Science")</f>
        <v>View Full Record in Web of Science</v>
      </c>
    </row>
    <row r="784" customFormat="false" ht="12.75" hidden="false" customHeight="false" outlineLevel="0" collapsed="false">
      <c r="A784" s="1" t="s">
        <v>181</v>
      </c>
      <c r="B784" s="1" t="s">
        <v>14002</v>
      </c>
      <c r="C784" s="1"/>
      <c r="D784" s="1"/>
      <c r="E784" s="1"/>
      <c r="F784" s="1" t="s">
        <v>14003</v>
      </c>
      <c r="G784" s="1"/>
      <c r="H784" s="1"/>
      <c r="I784" s="1" t="s">
        <v>14004</v>
      </c>
      <c r="J784" s="1" t="s">
        <v>1124</v>
      </c>
      <c r="K784" s="1"/>
      <c r="L784" s="1"/>
      <c r="M784" s="1" t="s">
        <v>78</v>
      </c>
      <c r="N784" s="1" t="s">
        <v>186</v>
      </c>
      <c r="O784" s="1"/>
      <c r="P784" s="1"/>
      <c r="Q784" s="1"/>
      <c r="R784" s="1"/>
      <c r="S784" s="1"/>
      <c r="T784" s="1" t="s">
        <v>14005</v>
      </c>
      <c r="U784" s="1" t="s">
        <v>14006</v>
      </c>
      <c r="V784" s="1" t="s">
        <v>14007</v>
      </c>
      <c r="W784" s="1" t="s">
        <v>14008</v>
      </c>
      <c r="X784" s="1" t="s">
        <v>14009</v>
      </c>
      <c r="Y784" s="1" t="s">
        <v>14010</v>
      </c>
      <c r="Z784" s="1" t="s">
        <v>14011</v>
      </c>
      <c r="AA784" s="1" t="s">
        <v>14012</v>
      </c>
      <c r="AB784" s="1" t="s">
        <v>11462</v>
      </c>
      <c r="AC784" s="1"/>
      <c r="AD784" s="1"/>
      <c r="AE784" s="1"/>
      <c r="AF784" s="1"/>
      <c r="AG784" s="1" t="n">
        <v>40</v>
      </c>
      <c r="AH784" s="1" t="n">
        <v>12</v>
      </c>
      <c r="AI784" s="1" t="n">
        <v>12</v>
      </c>
      <c r="AJ784" s="1" t="n">
        <v>0</v>
      </c>
      <c r="AK784" s="1" t="n">
        <v>7</v>
      </c>
      <c r="AL784" s="1" t="s">
        <v>679</v>
      </c>
      <c r="AM784" s="1" t="s">
        <v>680</v>
      </c>
      <c r="AN784" s="1" t="s">
        <v>681</v>
      </c>
      <c r="AO784" s="1" t="s">
        <v>1136</v>
      </c>
      <c r="AP784" s="1" t="s">
        <v>1137</v>
      </c>
      <c r="AQ784" s="1"/>
      <c r="AR784" s="1" t="s">
        <v>1138</v>
      </c>
      <c r="AS784" s="1" t="s">
        <v>1139</v>
      </c>
      <c r="AT784" s="1" t="s">
        <v>2698</v>
      </c>
      <c r="AU784" s="1" t="n">
        <v>2020</v>
      </c>
      <c r="AV784" s="1" t="n">
        <v>28</v>
      </c>
      <c r="AW784" s="1" t="n">
        <v>2</v>
      </c>
      <c r="AX784" s="1"/>
      <c r="AY784" s="1"/>
      <c r="AZ784" s="1"/>
      <c r="BA784" s="1"/>
      <c r="BB784" s="1" t="n">
        <v>567</v>
      </c>
      <c r="BC784" s="1" t="n">
        <v>593</v>
      </c>
      <c r="BD784" s="1"/>
      <c r="BE784" s="1" t="s">
        <v>14013</v>
      </c>
      <c r="BF784" s="1" t="str">
        <f aca="false">HYPERLINK("http://dx.doi.org/10.1007/s11219-019-09465-2","http://dx.doi.org/10.1007/s11219-019-09465-2")</f>
        <v>http://dx.doi.org/10.1007/s11219-019-09465-2</v>
      </c>
      <c r="BG784" s="1"/>
      <c r="BH784" s="1"/>
      <c r="BI784" s="1" t="n">
        <v>27</v>
      </c>
      <c r="BJ784" s="1" t="s">
        <v>252</v>
      </c>
      <c r="BK784" s="1" t="s">
        <v>204</v>
      </c>
      <c r="BL784" s="1" t="s">
        <v>101</v>
      </c>
      <c r="BM784" s="1" t="s">
        <v>14014</v>
      </c>
      <c r="BN784" s="1"/>
      <c r="BO784" s="1" t="s">
        <v>612</v>
      </c>
      <c r="BP784" s="1"/>
      <c r="BQ784" s="1"/>
      <c r="BR784" s="1" t="s">
        <v>103</v>
      </c>
      <c r="BS784" s="1" t="s">
        <v>14015</v>
      </c>
      <c r="BT784" s="1" t="str">
        <f aca="false">HYPERLINK("https%3A%2F%2Fwww.webofscience.com%2Fwos%2Fwoscc%2Ffull-record%2FWOS:000538379800008","View Full Record in Web of Science")</f>
        <v>View Full Record in Web of Science</v>
      </c>
    </row>
    <row r="785" customFormat="false" ht="12.75" hidden="false" customHeight="false" outlineLevel="0" collapsed="false">
      <c r="A785" s="1" t="s">
        <v>181</v>
      </c>
      <c r="B785" s="1" t="s">
        <v>14016</v>
      </c>
      <c r="C785" s="1"/>
      <c r="D785" s="1"/>
      <c r="E785" s="1"/>
      <c r="F785" s="1" t="s">
        <v>14017</v>
      </c>
      <c r="G785" s="1"/>
      <c r="H785" s="1"/>
      <c r="I785" s="1" t="s">
        <v>14018</v>
      </c>
      <c r="J785" s="1" t="s">
        <v>8209</v>
      </c>
      <c r="K785" s="1"/>
      <c r="L785" s="1"/>
      <c r="M785" s="1" t="s">
        <v>78</v>
      </c>
      <c r="N785" s="1" t="s">
        <v>186</v>
      </c>
      <c r="O785" s="1"/>
      <c r="P785" s="1"/>
      <c r="Q785" s="1"/>
      <c r="R785" s="1"/>
      <c r="S785" s="1"/>
      <c r="T785" s="1" t="s">
        <v>14019</v>
      </c>
      <c r="U785" s="1" t="s">
        <v>14020</v>
      </c>
      <c r="V785" s="1" t="s">
        <v>14021</v>
      </c>
      <c r="W785" s="1" t="s">
        <v>14022</v>
      </c>
      <c r="X785" s="1" t="s">
        <v>14023</v>
      </c>
      <c r="Y785" s="1" t="s">
        <v>14024</v>
      </c>
      <c r="Z785" s="1" t="s">
        <v>13417</v>
      </c>
      <c r="AA785" s="1"/>
      <c r="AB785" s="1"/>
      <c r="AC785" s="1" t="s">
        <v>13647</v>
      </c>
      <c r="AD785" s="1" t="s">
        <v>13647</v>
      </c>
      <c r="AE785" s="1" t="s">
        <v>14025</v>
      </c>
      <c r="AF785" s="1"/>
      <c r="AG785" s="1" t="n">
        <v>32</v>
      </c>
      <c r="AH785" s="1" t="n">
        <v>0</v>
      </c>
      <c r="AI785" s="1" t="n">
        <v>0</v>
      </c>
      <c r="AJ785" s="1" t="n">
        <v>0</v>
      </c>
      <c r="AK785" s="1" t="n">
        <v>0</v>
      </c>
      <c r="AL785" s="1" t="s">
        <v>8218</v>
      </c>
      <c r="AM785" s="1" t="s">
        <v>1908</v>
      </c>
      <c r="AN785" s="1" t="s">
        <v>8219</v>
      </c>
      <c r="AO785" s="1"/>
      <c r="AP785" s="1" t="s">
        <v>8220</v>
      </c>
      <c r="AQ785" s="1"/>
      <c r="AR785" s="1" t="s">
        <v>8221</v>
      </c>
      <c r="AS785" s="1" t="s">
        <v>8222</v>
      </c>
      <c r="AT785" s="1" t="s">
        <v>14026</v>
      </c>
      <c r="AU785" s="1" t="n">
        <v>2025</v>
      </c>
      <c r="AV785" s="1" t="n">
        <v>25</v>
      </c>
      <c r="AW785" s="1" t="n">
        <v>1</v>
      </c>
      <c r="AX785" s="1"/>
      <c r="AY785" s="1"/>
      <c r="AZ785" s="1"/>
      <c r="BA785" s="1"/>
      <c r="BB785" s="1"/>
      <c r="BC785" s="1"/>
      <c r="BD785" s="1" t="n">
        <v>79</v>
      </c>
      <c r="BE785" s="1" t="s">
        <v>14027</v>
      </c>
      <c r="BF785" s="1" t="str">
        <f aca="false">HYPERLINK("http://dx.doi.org/10.1186/s12877-025-05737-8","http://dx.doi.org/10.1186/s12877-025-05737-8")</f>
        <v>http://dx.doi.org/10.1186/s12877-025-05737-8</v>
      </c>
      <c r="BG785" s="1"/>
      <c r="BH785" s="1"/>
      <c r="BI785" s="1" t="n">
        <v>9</v>
      </c>
      <c r="BJ785" s="1" t="s">
        <v>7684</v>
      </c>
      <c r="BK785" s="1" t="s">
        <v>398</v>
      </c>
      <c r="BL785" s="1" t="s">
        <v>2038</v>
      </c>
      <c r="BM785" s="1" t="s">
        <v>14028</v>
      </c>
      <c r="BN785" s="1" t="n">
        <v>39905293</v>
      </c>
      <c r="BO785" s="1" t="s">
        <v>642</v>
      </c>
      <c r="BP785" s="1"/>
      <c r="BQ785" s="1"/>
      <c r="BR785" s="1" t="s">
        <v>103</v>
      </c>
      <c r="BS785" s="1" t="s">
        <v>14029</v>
      </c>
      <c r="BT785" s="1" t="str">
        <f aca="false">HYPERLINK("https%3A%2F%2Fwww.webofscience.com%2Fwos%2Fwoscc%2Ffull-record%2FWOS:001414294100001","View Full Record in Web of Science")</f>
        <v>View Full Record in Web of Science</v>
      </c>
    </row>
    <row r="786" customFormat="false" ht="12.75" hidden="false" customHeight="false" outlineLevel="0" collapsed="false">
      <c r="A786" s="1" t="s">
        <v>72</v>
      </c>
      <c r="B786" s="1" t="s">
        <v>13700</v>
      </c>
      <c r="C786" s="1"/>
      <c r="D786" s="1"/>
      <c r="E786" s="1" t="s">
        <v>14030</v>
      </c>
      <c r="F786" s="1" t="s">
        <v>13701</v>
      </c>
      <c r="G786" s="1"/>
      <c r="H786" s="1"/>
      <c r="I786" s="1" t="s">
        <v>13702</v>
      </c>
      <c r="J786" s="1" t="s">
        <v>14031</v>
      </c>
      <c r="K786" s="1"/>
      <c r="L786" s="1"/>
      <c r="M786" s="1" t="s">
        <v>78</v>
      </c>
      <c r="N786" s="1" t="s">
        <v>79</v>
      </c>
      <c r="O786" s="1" t="s">
        <v>14032</v>
      </c>
      <c r="P786" s="1" t="s">
        <v>13239</v>
      </c>
      <c r="Q786" s="1" t="s">
        <v>6016</v>
      </c>
      <c r="R786" s="1" t="s">
        <v>6622</v>
      </c>
      <c r="S786" s="1"/>
      <c r="T786" s="1" t="s">
        <v>13707</v>
      </c>
      <c r="U786" s="1" t="s">
        <v>14033</v>
      </c>
      <c r="V786" s="1" t="s">
        <v>13709</v>
      </c>
      <c r="W786" s="1" t="s">
        <v>13710</v>
      </c>
      <c r="X786" s="1" t="s">
        <v>14034</v>
      </c>
      <c r="Y786" s="1" t="s">
        <v>13712</v>
      </c>
      <c r="Z786" s="1" t="s">
        <v>13713</v>
      </c>
      <c r="AA786" s="1" t="s">
        <v>14035</v>
      </c>
      <c r="AB786" s="1" t="s">
        <v>14036</v>
      </c>
      <c r="AC786" s="1"/>
      <c r="AD786" s="1"/>
      <c r="AE786" s="1"/>
      <c r="AF786" s="1"/>
      <c r="AG786" s="1" t="n">
        <v>81</v>
      </c>
      <c r="AH786" s="1" t="n">
        <v>18</v>
      </c>
      <c r="AI786" s="1" t="n">
        <v>19</v>
      </c>
      <c r="AJ786" s="1" t="n">
        <v>0</v>
      </c>
      <c r="AK786" s="1" t="n">
        <v>0</v>
      </c>
      <c r="AL786" s="1" t="s">
        <v>172</v>
      </c>
      <c r="AM786" s="1" t="s">
        <v>173</v>
      </c>
      <c r="AN786" s="1" t="s">
        <v>174</v>
      </c>
      <c r="AO786" s="1"/>
      <c r="AP786" s="1"/>
      <c r="AQ786" s="1" t="s">
        <v>14037</v>
      </c>
      <c r="AR786" s="1"/>
      <c r="AS786" s="1"/>
      <c r="AT786" s="1"/>
      <c r="AU786" s="1" t="n">
        <v>2022</v>
      </c>
      <c r="AV786" s="1"/>
      <c r="AW786" s="1"/>
      <c r="AX786" s="1"/>
      <c r="AY786" s="1"/>
      <c r="AZ786" s="1"/>
      <c r="BA786" s="1"/>
      <c r="BB786" s="1" t="n">
        <v>24</v>
      </c>
      <c r="BC786" s="1" t="n">
        <v>35</v>
      </c>
      <c r="BD786" s="1"/>
      <c r="BE786" s="1" t="s">
        <v>13716</v>
      </c>
      <c r="BF786" s="1" t="str">
        <f aca="false">HYPERLINK("http://dx.doi.org/10.1145/3510458.3513018","http://dx.doi.org/10.1145/3510458.3513018")</f>
        <v>http://dx.doi.org/10.1145/3510458.3513018</v>
      </c>
      <c r="BG786" s="1"/>
      <c r="BH786" s="1"/>
      <c r="BI786" s="1" t="n">
        <v>12</v>
      </c>
      <c r="BJ786" s="1" t="s">
        <v>14038</v>
      </c>
      <c r="BK786" s="1" t="s">
        <v>1254</v>
      </c>
      <c r="BL786" s="1" t="s">
        <v>14039</v>
      </c>
      <c r="BM786" s="1" t="s">
        <v>14040</v>
      </c>
      <c r="BN786" s="1"/>
      <c r="BO786" s="1" t="s">
        <v>7706</v>
      </c>
      <c r="BP786" s="1"/>
      <c r="BQ786" s="1"/>
      <c r="BR786" s="1" t="s">
        <v>103</v>
      </c>
      <c r="BS786" s="1" t="s">
        <v>14041</v>
      </c>
      <c r="BT786" s="1" t="str">
        <f aca="false">HYPERLINK("https%3A%2F%2Fwww.webofscience.com%2Fwos%2Fwoscc%2Ffull-record%2FWOS:000850206000003","View Full Record in Web of Science")</f>
        <v>View Full Record in Web of Science</v>
      </c>
    </row>
    <row r="787" customFormat="false" ht="12.75" hidden="false" customHeight="false" outlineLevel="0" collapsed="false">
      <c r="A787" s="1" t="s">
        <v>181</v>
      </c>
      <c r="B787" s="1" t="s">
        <v>14042</v>
      </c>
      <c r="C787" s="1"/>
      <c r="D787" s="1"/>
      <c r="E787" s="1"/>
      <c r="F787" s="1" t="s">
        <v>14043</v>
      </c>
      <c r="G787" s="1"/>
      <c r="H787" s="1"/>
      <c r="I787" s="1" t="s">
        <v>14044</v>
      </c>
      <c r="J787" s="1" t="s">
        <v>14045</v>
      </c>
      <c r="K787" s="1"/>
      <c r="L787" s="1"/>
      <c r="M787" s="1" t="s">
        <v>78</v>
      </c>
      <c r="N787" s="1" t="s">
        <v>186</v>
      </c>
      <c r="O787" s="1"/>
      <c r="P787" s="1"/>
      <c r="Q787" s="1"/>
      <c r="R787" s="1"/>
      <c r="S787" s="1"/>
      <c r="T787" s="1" t="s">
        <v>14046</v>
      </c>
      <c r="U787" s="1" t="s">
        <v>14047</v>
      </c>
      <c r="V787" s="1" t="s">
        <v>14048</v>
      </c>
      <c r="W787" s="1" t="s">
        <v>14049</v>
      </c>
      <c r="X787" s="1" t="s">
        <v>14050</v>
      </c>
      <c r="Y787" s="1" t="s">
        <v>14051</v>
      </c>
      <c r="Z787" s="1" t="s">
        <v>14052</v>
      </c>
      <c r="AA787" s="1" t="s">
        <v>14053</v>
      </c>
      <c r="AB787" s="1" t="s">
        <v>14054</v>
      </c>
      <c r="AC787" s="1" t="s">
        <v>14055</v>
      </c>
      <c r="AD787" s="1" t="s">
        <v>14056</v>
      </c>
      <c r="AE787" s="1" t="s">
        <v>14057</v>
      </c>
      <c r="AF787" s="1"/>
      <c r="AG787" s="1" t="n">
        <v>38</v>
      </c>
      <c r="AH787" s="1" t="n">
        <v>91</v>
      </c>
      <c r="AI787" s="1" t="n">
        <v>99</v>
      </c>
      <c r="AJ787" s="1" t="n">
        <v>12</v>
      </c>
      <c r="AK787" s="1" t="n">
        <v>56</v>
      </c>
      <c r="AL787" s="1" t="s">
        <v>893</v>
      </c>
      <c r="AM787" s="1" t="s">
        <v>894</v>
      </c>
      <c r="AN787" s="1" t="s">
        <v>895</v>
      </c>
      <c r="AO787" s="1" t="s">
        <v>14058</v>
      </c>
      <c r="AP787" s="1"/>
      <c r="AQ787" s="1"/>
      <c r="AR787" s="1" t="s">
        <v>14059</v>
      </c>
      <c r="AS787" s="1" t="s">
        <v>14060</v>
      </c>
      <c r="AT787" s="1" t="s">
        <v>474</v>
      </c>
      <c r="AU787" s="1" t="n">
        <v>2020</v>
      </c>
      <c r="AV787" s="1" t="n">
        <v>26</v>
      </c>
      <c r="AW787" s="1"/>
      <c r="AX787" s="1"/>
      <c r="AY787" s="1"/>
      <c r="AZ787" s="1"/>
      <c r="BA787" s="1"/>
      <c r="BB787" s="1"/>
      <c r="BC787" s="1"/>
      <c r="BD787" s="1" t="n">
        <v>100426</v>
      </c>
      <c r="BE787" s="1" t="s">
        <v>14061</v>
      </c>
      <c r="BF787" s="1" t="str">
        <f aca="false">HYPERLINK("http://dx.doi.org/10.1016/j.gfs.2020.100426","http://dx.doi.org/10.1016/j.gfs.2020.100426")</f>
        <v>http://dx.doi.org/10.1016/j.gfs.2020.100426</v>
      </c>
      <c r="BG787" s="1"/>
      <c r="BH787" s="1"/>
      <c r="BI787" s="1" t="n">
        <v>10</v>
      </c>
      <c r="BJ787" s="1" t="s">
        <v>14062</v>
      </c>
      <c r="BK787" s="1" t="s">
        <v>204</v>
      </c>
      <c r="BL787" s="1" t="s">
        <v>14062</v>
      </c>
      <c r="BM787" s="1" t="s">
        <v>14063</v>
      </c>
      <c r="BN787" s="1" t="n">
        <v>32953430</v>
      </c>
      <c r="BO787" s="1" t="s">
        <v>612</v>
      </c>
      <c r="BP787" s="1"/>
      <c r="BQ787" s="1"/>
      <c r="BR787" s="1" t="s">
        <v>103</v>
      </c>
      <c r="BS787" s="1" t="s">
        <v>14064</v>
      </c>
      <c r="BT787" s="1" t="str">
        <f aca="false">HYPERLINK("https%3A%2F%2Fwww.webofscience.com%2Fwos%2Fwoscc%2Ffull-record%2FWOS:000602888500021","View Full Record in Web of Science")</f>
        <v>View Full Record in Web of Science</v>
      </c>
    </row>
    <row r="788" customFormat="false" ht="12.75" hidden="false" customHeight="false" outlineLevel="0" collapsed="false">
      <c r="A788" s="1" t="s">
        <v>181</v>
      </c>
      <c r="B788" s="1" t="s">
        <v>14065</v>
      </c>
      <c r="C788" s="1"/>
      <c r="D788" s="1"/>
      <c r="E788" s="1"/>
      <c r="F788" s="1" t="s">
        <v>14066</v>
      </c>
      <c r="G788" s="1"/>
      <c r="H788" s="1"/>
      <c r="I788" s="1" t="s">
        <v>14067</v>
      </c>
      <c r="J788" s="1" t="s">
        <v>1104</v>
      </c>
      <c r="K788" s="1"/>
      <c r="L788" s="1"/>
      <c r="M788" s="1" t="s">
        <v>78</v>
      </c>
      <c r="N788" s="1" t="s">
        <v>618</v>
      </c>
      <c r="O788" s="1"/>
      <c r="P788" s="1"/>
      <c r="Q788" s="1"/>
      <c r="R788" s="1"/>
      <c r="S788" s="1"/>
      <c r="T788" s="1" t="s">
        <v>14068</v>
      </c>
      <c r="U788" s="1" t="s">
        <v>14069</v>
      </c>
      <c r="V788" s="1" t="s">
        <v>14070</v>
      </c>
      <c r="W788" s="1" t="s">
        <v>14071</v>
      </c>
      <c r="X788" s="1" t="s">
        <v>14072</v>
      </c>
      <c r="Y788" s="1" t="s">
        <v>14073</v>
      </c>
      <c r="Z788" s="1" t="s">
        <v>14074</v>
      </c>
      <c r="AA788" s="1" t="s">
        <v>14075</v>
      </c>
      <c r="AB788" s="1" t="s">
        <v>14076</v>
      </c>
      <c r="AC788" s="1" t="s">
        <v>14077</v>
      </c>
      <c r="AD788" s="1" t="s">
        <v>14077</v>
      </c>
      <c r="AE788" s="1" t="s">
        <v>916</v>
      </c>
      <c r="AF788" s="1"/>
      <c r="AG788" s="1" t="n">
        <v>143</v>
      </c>
      <c r="AH788" s="1" t="n">
        <v>1</v>
      </c>
      <c r="AI788" s="1" t="n">
        <v>1</v>
      </c>
      <c r="AJ788" s="1" t="n">
        <v>18</v>
      </c>
      <c r="AK788" s="1" t="n">
        <v>39</v>
      </c>
      <c r="AL788" s="1" t="s">
        <v>195</v>
      </c>
      <c r="AM788" s="1" t="s">
        <v>196</v>
      </c>
      <c r="AN788" s="1" t="s">
        <v>197</v>
      </c>
      <c r="AO788" s="1" t="s">
        <v>1114</v>
      </c>
      <c r="AP788" s="1"/>
      <c r="AQ788" s="1"/>
      <c r="AR788" s="1" t="s">
        <v>1104</v>
      </c>
      <c r="AS788" s="1" t="s">
        <v>1115</v>
      </c>
      <c r="AT788" s="1"/>
      <c r="AU788" s="1" t="n">
        <v>2024</v>
      </c>
      <c r="AV788" s="1" t="n">
        <v>12</v>
      </c>
      <c r="AW788" s="1"/>
      <c r="AX788" s="1"/>
      <c r="AY788" s="1"/>
      <c r="AZ788" s="1"/>
      <c r="BA788" s="1"/>
      <c r="BB788" s="1" t="n">
        <v>14847</v>
      </c>
      <c r="BC788" s="1" t="n">
        <v>14869</v>
      </c>
      <c r="BD788" s="1"/>
      <c r="BE788" s="1" t="s">
        <v>14078</v>
      </c>
      <c r="BF788" s="1" t="str">
        <f aca="false">HYPERLINK("http://dx.doi.org/10.1109/ACCESS.2024.3357939","http://dx.doi.org/10.1109/ACCESS.2024.3357939")</f>
        <v>http://dx.doi.org/10.1109/ACCESS.2024.3357939</v>
      </c>
      <c r="BG788" s="1"/>
      <c r="BH788" s="1"/>
      <c r="BI788" s="1" t="n">
        <v>23</v>
      </c>
      <c r="BJ788" s="1" t="s">
        <v>1117</v>
      </c>
      <c r="BK788" s="1" t="s">
        <v>204</v>
      </c>
      <c r="BL788" s="1" t="s">
        <v>1118</v>
      </c>
      <c r="BM788" s="1" t="s">
        <v>14079</v>
      </c>
      <c r="BN788" s="1"/>
      <c r="BO788" s="1" t="s">
        <v>376</v>
      </c>
      <c r="BP788" s="1"/>
      <c r="BQ788" s="1"/>
      <c r="BR788" s="1" t="s">
        <v>103</v>
      </c>
      <c r="BS788" s="1" t="s">
        <v>14080</v>
      </c>
      <c r="BT788" s="1" t="str">
        <f aca="false">HYPERLINK("https%3A%2F%2Fwww.webofscience.com%2Fwos%2Fwoscc%2Ffull-record%2FWOS:001159093400001","View Full Record in Web of Science")</f>
        <v>View Full Record in Web of Science</v>
      </c>
    </row>
    <row r="789" customFormat="false" ht="12.75" hidden="false" customHeight="false" outlineLevel="0" collapsed="false">
      <c r="A789" s="1" t="s">
        <v>181</v>
      </c>
      <c r="B789" s="1" t="s">
        <v>14081</v>
      </c>
      <c r="C789" s="1"/>
      <c r="D789" s="1"/>
      <c r="E789" s="1"/>
      <c r="F789" s="1" t="s">
        <v>14082</v>
      </c>
      <c r="G789" s="1"/>
      <c r="H789" s="1"/>
      <c r="I789" s="1" t="s">
        <v>14083</v>
      </c>
      <c r="J789" s="1" t="s">
        <v>4178</v>
      </c>
      <c r="K789" s="1"/>
      <c r="L789" s="1"/>
      <c r="M789" s="1" t="s">
        <v>78</v>
      </c>
      <c r="N789" s="1" t="s">
        <v>9332</v>
      </c>
      <c r="O789" s="1"/>
      <c r="P789" s="1"/>
      <c r="Q789" s="1"/>
      <c r="R789" s="1"/>
      <c r="S789" s="1"/>
      <c r="T789" s="1" t="s">
        <v>14084</v>
      </c>
      <c r="U789" s="1" t="s">
        <v>14085</v>
      </c>
      <c r="V789" s="1" t="s">
        <v>14086</v>
      </c>
      <c r="W789" s="1" t="s">
        <v>14087</v>
      </c>
      <c r="X789" s="1" t="s">
        <v>14088</v>
      </c>
      <c r="Y789" s="1" t="s">
        <v>14089</v>
      </c>
      <c r="Z789" s="1" t="s">
        <v>14090</v>
      </c>
      <c r="AA789" s="1"/>
      <c r="AB789" s="1" t="s">
        <v>14091</v>
      </c>
      <c r="AC789" s="1" t="s">
        <v>14092</v>
      </c>
      <c r="AD789" s="1" t="s">
        <v>14093</v>
      </c>
      <c r="AE789" s="1" t="s">
        <v>14094</v>
      </c>
      <c r="AF789" s="1"/>
      <c r="AG789" s="1" t="n">
        <v>220</v>
      </c>
      <c r="AH789" s="1" t="n">
        <v>2</v>
      </c>
      <c r="AI789" s="1" t="n">
        <v>2</v>
      </c>
      <c r="AJ789" s="1" t="n">
        <v>3</v>
      </c>
      <c r="AK789" s="1" t="n">
        <v>17</v>
      </c>
      <c r="AL789" s="1" t="s">
        <v>600</v>
      </c>
      <c r="AM789" s="1" t="s">
        <v>601</v>
      </c>
      <c r="AN789" s="1" t="s">
        <v>602</v>
      </c>
      <c r="AO789" s="1" t="s">
        <v>4190</v>
      </c>
      <c r="AP789" s="1" t="s">
        <v>4191</v>
      </c>
      <c r="AQ789" s="1"/>
      <c r="AR789" s="1" t="s">
        <v>4192</v>
      </c>
      <c r="AS789" s="1" t="s">
        <v>4193</v>
      </c>
      <c r="AT789" s="1" t="s">
        <v>14095</v>
      </c>
      <c r="AU789" s="1" t="n">
        <v>2023</v>
      </c>
      <c r="AV789" s="1"/>
      <c r="AW789" s="1"/>
      <c r="AX789" s="1"/>
      <c r="AY789" s="1"/>
      <c r="AZ789" s="1"/>
      <c r="BA789" s="1"/>
      <c r="BB789" s="1"/>
      <c r="BC789" s="1"/>
      <c r="BD789" s="1"/>
      <c r="BE789" s="1" t="s">
        <v>14096</v>
      </c>
      <c r="BF789" s="1" t="str">
        <f aca="false">HYPERLINK("http://dx.doi.org/10.1002/smr.2607","http://dx.doi.org/10.1002/smr.2607")</f>
        <v>http://dx.doi.org/10.1002/smr.2607</v>
      </c>
      <c r="BG789" s="1"/>
      <c r="BH789" s="1" t="s">
        <v>6154</v>
      </c>
      <c r="BI789" s="1" t="n">
        <v>28</v>
      </c>
      <c r="BJ789" s="1" t="s">
        <v>252</v>
      </c>
      <c r="BK789" s="1" t="s">
        <v>204</v>
      </c>
      <c r="BL789" s="1" t="s">
        <v>101</v>
      </c>
      <c r="BM789" s="1" t="s">
        <v>14097</v>
      </c>
      <c r="BN789" s="1"/>
      <c r="BO789" s="1" t="s">
        <v>227</v>
      </c>
      <c r="BP789" s="1"/>
      <c r="BQ789" s="1"/>
      <c r="BR789" s="1" t="s">
        <v>103</v>
      </c>
      <c r="BS789" s="1" t="s">
        <v>14098</v>
      </c>
      <c r="BT789" s="1" t="str">
        <f aca="false">HYPERLINK("https%3A%2F%2Fwww.webofscience.com%2Fwos%2Fwoscc%2Ffull-record%2FWOS:001064285800001","View Full Record in Web of Science")</f>
        <v>View Full Record in Web of Science</v>
      </c>
    </row>
    <row r="790" customFormat="false" ht="12.75" hidden="false" customHeight="false" outlineLevel="0" collapsed="false">
      <c r="A790" s="1" t="s">
        <v>181</v>
      </c>
      <c r="B790" s="1" t="s">
        <v>14099</v>
      </c>
      <c r="C790" s="1"/>
      <c r="D790" s="1"/>
      <c r="E790" s="1"/>
      <c r="F790" s="1" t="s">
        <v>14100</v>
      </c>
      <c r="G790" s="1"/>
      <c r="H790" s="1"/>
      <c r="I790" s="1" t="s">
        <v>14101</v>
      </c>
      <c r="J790" s="1" t="s">
        <v>185</v>
      </c>
      <c r="K790" s="1"/>
      <c r="L790" s="1"/>
      <c r="M790" s="1" t="s">
        <v>78</v>
      </c>
      <c r="N790" s="1" t="s">
        <v>186</v>
      </c>
      <c r="O790" s="1"/>
      <c r="P790" s="1"/>
      <c r="Q790" s="1"/>
      <c r="R790" s="1"/>
      <c r="S790" s="1"/>
      <c r="T790" s="1" t="s">
        <v>14102</v>
      </c>
      <c r="U790" s="1"/>
      <c r="V790" s="1" t="s">
        <v>14103</v>
      </c>
      <c r="W790" s="1" t="s">
        <v>14104</v>
      </c>
      <c r="X790" s="1" t="s">
        <v>14105</v>
      </c>
      <c r="Y790" s="1" t="s">
        <v>14106</v>
      </c>
      <c r="Z790" s="1" t="s">
        <v>14107</v>
      </c>
      <c r="AA790" s="1" t="s">
        <v>14108</v>
      </c>
      <c r="AB790" s="1" t="s">
        <v>14109</v>
      </c>
      <c r="AC790" s="1" t="s">
        <v>14110</v>
      </c>
      <c r="AD790" s="1" t="s">
        <v>14111</v>
      </c>
      <c r="AE790" s="1" t="s">
        <v>14112</v>
      </c>
      <c r="AF790" s="1"/>
      <c r="AG790" s="1" t="n">
        <v>17</v>
      </c>
      <c r="AH790" s="1" t="n">
        <v>6</v>
      </c>
      <c r="AI790" s="1" t="n">
        <v>6</v>
      </c>
      <c r="AJ790" s="1" t="n">
        <v>0</v>
      </c>
      <c r="AK790" s="1" t="n">
        <v>5</v>
      </c>
      <c r="AL790" s="1" t="s">
        <v>195</v>
      </c>
      <c r="AM790" s="1" t="s">
        <v>196</v>
      </c>
      <c r="AN790" s="1" t="s">
        <v>197</v>
      </c>
      <c r="AO790" s="1" t="s">
        <v>198</v>
      </c>
      <c r="AP790" s="1" t="s">
        <v>199</v>
      </c>
      <c r="AQ790" s="1"/>
      <c r="AR790" s="1" t="s">
        <v>200</v>
      </c>
      <c r="AS790" s="1" t="s">
        <v>201</v>
      </c>
      <c r="AT790" s="1"/>
      <c r="AU790" s="1" t="n">
        <v>2022</v>
      </c>
      <c r="AV790" s="1" t="n">
        <v>19</v>
      </c>
      <c r="AW790" s="1"/>
      <c r="AX790" s="1"/>
      <c r="AY790" s="1"/>
      <c r="AZ790" s="1"/>
      <c r="BA790" s="1"/>
      <c r="BB790" s="1"/>
      <c r="BC790" s="1"/>
      <c r="BD790" s="1"/>
      <c r="BE790" s="1" t="s">
        <v>14113</v>
      </c>
      <c r="BF790" s="1" t="str">
        <f aca="false">HYPERLINK("http://dx.doi.org/10.1109/LGRS.2021.3080616","http://dx.doi.org/10.1109/LGRS.2021.3080616")</f>
        <v>http://dx.doi.org/10.1109/LGRS.2021.3080616</v>
      </c>
      <c r="BG790" s="1"/>
      <c r="BH790" s="1" t="s">
        <v>1970</v>
      </c>
      <c r="BI790" s="1" t="n">
        <v>5</v>
      </c>
      <c r="BJ790" s="1" t="s">
        <v>203</v>
      </c>
      <c r="BK790" s="1" t="s">
        <v>204</v>
      </c>
      <c r="BL790" s="1" t="s">
        <v>205</v>
      </c>
      <c r="BM790" s="1" t="s">
        <v>1372</v>
      </c>
      <c r="BN790" s="1"/>
      <c r="BO790" s="1" t="s">
        <v>1373</v>
      </c>
      <c r="BP790" s="1"/>
      <c r="BQ790" s="1"/>
      <c r="BR790" s="1" t="s">
        <v>103</v>
      </c>
      <c r="BS790" s="1" t="s">
        <v>14114</v>
      </c>
      <c r="BT790" s="1" t="str">
        <f aca="false">HYPERLINK("https%3A%2F%2Fwww.webofscience.com%2Fwos%2Fwoscc%2Ffull-record%2FWOS:000733539300001","View Full Record in Web of Science")</f>
        <v>View Full Record in Web of Science</v>
      </c>
    </row>
    <row r="791" customFormat="false" ht="12.75" hidden="false" customHeight="false" outlineLevel="0" collapsed="false">
      <c r="A791" s="1" t="s">
        <v>181</v>
      </c>
      <c r="B791" s="1" t="s">
        <v>14115</v>
      </c>
      <c r="C791" s="1"/>
      <c r="D791" s="1"/>
      <c r="E791" s="1"/>
      <c r="F791" s="1" t="s">
        <v>14116</v>
      </c>
      <c r="G791" s="1"/>
      <c r="H791" s="1"/>
      <c r="I791" s="1" t="s">
        <v>14117</v>
      </c>
      <c r="J791" s="1" t="s">
        <v>14118</v>
      </c>
      <c r="K791" s="1"/>
      <c r="L791" s="1"/>
      <c r="M791" s="1" t="s">
        <v>78</v>
      </c>
      <c r="N791" s="1" t="s">
        <v>186</v>
      </c>
      <c r="O791" s="1"/>
      <c r="P791" s="1"/>
      <c r="Q791" s="1"/>
      <c r="R791" s="1"/>
      <c r="S791" s="1"/>
      <c r="T791" s="1" t="s">
        <v>14119</v>
      </c>
      <c r="U791" s="1"/>
      <c r="V791" s="1" t="s">
        <v>14120</v>
      </c>
      <c r="W791" s="1" t="s">
        <v>14121</v>
      </c>
      <c r="X791" s="1" t="s">
        <v>14122</v>
      </c>
      <c r="Y791" s="1" t="s">
        <v>7729</v>
      </c>
      <c r="Z791" s="1" t="s">
        <v>7730</v>
      </c>
      <c r="AA791" s="1" t="s">
        <v>14123</v>
      </c>
      <c r="AB791" s="1" t="s">
        <v>14124</v>
      </c>
      <c r="AC791" s="1" t="s">
        <v>10095</v>
      </c>
      <c r="AD791" s="1" t="s">
        <v>10096</v>
      </c>
      <c r="AE791" s="1" t="s">
        <v>10097</v>
      </c>
      <c r="AF791" s="1"/>
      <c r="AG791" s="1" t="n">
        <v>26</v>
      </c>
      <c r="AH791" s="1" t="n">
        <v>7</v>
      </c>
      <c r="AI791" s="1" t="n">
        <v>7</v>
      </c>
      <c r="AJ791" s="1" t="n">
        <v>3</v>
      </c>
      <c r="AK791" s="1" t="n">
        <v>16</v>
      </c>
      <c r="AL791" s="1" t="s">
        <v>2761</v>
      </c>
      <c r="AM791" s="1" t="s">
        <v>1908</v>
      </c>
      <c r="AN791" s="1" t="s">
        <v>2762</v>
      </c>
      <c r="AO791" s="1" t="s">
        <v>14125</v>
      </c>
      <c r="AP791" s="1" t="s">
        <v>14126</v>
      </c>
      <c r="AQ791" s="1"/>
      <c r="AR791" s="1" t="s">
        <v>14127</v>
      </c>
      <c r="AS791" s="1" t="s">
        <v>14128</v>
      </c>
      <c r="AT791" s="1" t="s">
        <v>372</v>
      </c>
      <c r="AU791" s="1" t="n">
        <v>2023</v>
      </c>
      <c r="AV791" s="1" t="n">
        <v>129</v>
      </c>
      <c r="AW791" s="1" t="s">
        <v>14129</v>
      </c>
      <c r="AX791" s="1"/>
      <c r="AY791" s="1"/>
      <c r="AZ791" s="1"/>
      <c r="BA791" s="1"/>
      <c r="BB791" s="1" t="n">
        <v>4869</v>
      </c>
      <c r="BC791" s="1" t="n">
        <v>4882</v>
      </c>
      <c r="BD791" s="1"/>
      <c r="BE791" s="1" t="s">
        <v>14130</v>
      </c>
      <c r="BF791" s="1" t="str">
        <f aca="false">HYPERLINK("http://dx.doi.org/10.1007/s00170-023-12567-8","http://dx.doi.org/10.1007/s00170-023-12567-8")</f>
        <v>http://dx.doi.org/10.1007/s00170-023-12567-8</v>
      </c>
      <c r="BG791" s="1"/>
      <c r="BH791" s="1" t="s">
        <v>3622</v>
      </c>
      <c r="BI791" s="1" t="n">
        <v>14</v>
      </c>
      <c r="BJ791" s="1" t="s">
        <v>14131</v>
      </c>
      <c r="BK791" s="1" t="s">
        <v>204</v>
      </c>
      <c r="BL791" s="1" t="s">
        <v>5239</v>
      </c>
      <c r="BM791" s="1" t="s">
        <v>14132</v>
      </c>
      <c r="BN791" s="1"/>
      <c r="BO791" s="1"/>
      <c r="BP791" s="1"/>
      <c r="BQ791" s="1"/>
      <c r="BR791" s="1" t="s">
        <v>103</v>
      </c>
      <c r="BS791" s="1" t="s">
        <v>14133</v>
      </c>
      <c r="BT791" s="1" t="str">
        <f aca="false">HYPERLINK("https%3A%2F%2Fwww.webofscience.com%2Fwos%2Fwoscc%2Ffull-record%2FWOS:001099851300001","View Full Record in Web of Science")</f>
        <v>View Full Record in Web of Science</v>
      </c>
    </row>
    <row r="792" customFormat="false" ht="12.75" hidden="false" customHeight="false" outlineLevel="0" collapsed="false">
      <c r="A792" s="1" t="s">
        <v>181</v>
      </c>
      <c r="B792" s="1" t="s">
        <v>14134</v>
      </c>
      <c r="C792" s="1"/>
      <c r="D792" s="1"/>
      <c r="E792" s="1"/>
      <c r="F792" s="1" t="s">
        <v>14135</v>
      </c>
      <c r="G792" s="1"/>
      <c r="H792" s="1"/>
      <c r="I792" s="1" t="s">
        <v>14136</v>
      </c>
      <c r="J792" s="1" t="s">
        <v>617</v>
      </c>
      <c r="K792" s="1"/>
      <c r="L792" s="1"/>
      <c r="M792" s="1" t="s">
        <v>78</v>
      </c>
      <c r="N792" s="1" t="s">
        <v>186</v>
      </c>
      <c r="O792" s="1"/>
      <c r="P792" s="1"/>
      <c r="Q792" s="1"/>
      <c r="R792" s="1"/>
      <c r="S792" s="1"/>
      <c r="T792" s="1" t="s">
        <v>14137</v>
      </c>
      <c r="U792" s="1" t="s">
        <v>14138</v>
      </c>
      <c r="V792" s="1" t="s">
        <v>14139</v>
      </c>
      <c r="W792" s="1" t="s">
        <v>14140</v>
      </c>
      <c r="X792" s="1" t="s">
        <v>14141</v>
      </c>
      <c r="Y792" s="1" t="s">
        <v>14142</v>
      </c>
      <c r="Z792" s="1" t="s">
        <v>14143</v>
      </c>
      <c r="AA792" s="1" t="s">
        <v>9842</v>
      </c>
      <c r="AB792" s="1" t="s">
        <v>14144</v>
      </c>
      <c r="AC792" s="1" t="s">
        <v>14145</v>
      </c>
      <c r="AD792" s="1" t="s">
        <v>14145</v>
      </c>
      <c r="AE792" s="1" t="s">
        <v>14146</v>
      </c>
      <c r="AF792" s="1"/>
      <c r="AG792" s="1" t="n">
        <v>74</v>
      </c>
      <c r="AH792" s="1" t="n">
        <v>8</v>
      </c>
      <c r="AI792" s="1" t="n">
        <v>8</v>
      </c>
      <c r="AJ792" s="1" t="n">
        <v>1</v>
      </c>
      <c r="AK792" s="1" t="n">
        <v>21</v>
      </c>
      <c r="AL792" s="1" t="s">
        <v>630</v>
      </c>
      <c r="AM792" s="1" t="s">
        <v>95</v>
      </c>
      <c r="AN792" s="1" t="s">
        <v>8860</v>
      </c>
      <c r="AO792" s="1" t="s">
        <v>633</v>
      </c>
      <c r="AP792" s="1"/>
      <c r="AQ792" s="1"/>
      <c r="AR792" s="1" t="s">
        <v>634</v>
      </c>
      <c r="AS792" s="1" t="s">
        <v>635</v>
      </c>
      <c r="AT792" s="1" t="s">
        <v>14147</v>
      </c>
      <c r="AU792" s="1" t="n">
        <v>2022</v>
      </c>
      <c r="AV792" s="1" t="n">
        <v>8</v>
      </c>
      <c r="AW792" s="1"/>
      <c r="AX792" s="1"/>
      <c r="AY792" s="1"/>
      <c r="AZ792" s="1"/>
      <c r="BA792" s="1"/>
      <c r="BB792" s="1"/>
      <c r="BC792" s="1"/>
      <c r="BD792" s="1" t="s">
        <v>14148</v>
      </c>
      <c r="BE792" s="1" t="s">
        <v>14149</v>
      </c>
      <c r="BF792" s="1" t="str">
        <f aca="false">HYPERLINK("http://dx.doi.org/10.1017/dsj.2022.9","http://dx.doi.org/10.1017/dsj.2022.9")</f>
        <v>http://dx.doi.org/10.1017/dsj.2022.9</v>
      </c>
      <c r="BG792" s="1"/>
      <c r="BH792" s="1"/>
      <c r="BI792" s="1" t="n">
        <v>37</v>
      </c>
      <c r="BJ792" s="1" t="s">
        <v>639</v>
      </c>
      <c r="BK792" s="1" t="s">
        <v>253</v>
      </c>
      <c r="BL792" s="1" t="s">
        <v>640</v>
      </c>
      <c r="BM792" s="1" t="s">
        <v>14150</v>
      </c>
      <c r="BN792" s="1"/>
      <c r="BO792" s="1" t="s">
        <v>401</v>
      </c>
      <c r="BP792" s="1"/>
      <c r="BQ792" s="1"/>
      <c r="BR792" s="1" t="s">
        <v>103</v>
      </c>
      <c r="BS792" s="1" t="s">
        <v>14151</v>
      </c>
      <c r="BT792" s="1" t="str">
        <f aca="false">HYPERLINK("https%3A%2F%2Fwww.webofscience.com%2Fwos%2Fwoscc%2Ffull-record%2FWOS:000770354700001","View Full Record in Web of Science")</f>
        <v>View Full Record in Web of Science</v>
      </c>
    </row>
    <row r="793" customFormat="false" ht="12.75" hidden="false" customHeight="false" outlineLevel="0" collapsed="false">
      <c r="A793" s="1" t="s">
        <v>181</v>
      </c>
      <c r="B793" s="1" t="s">
        <v>14152</v>
      </c>
      <c r="C793" s="1"/>
      <c r="D793" s="1"/>
      <c r="E793" s="1"/>
      <c r="F793" s="1" t="s">
        <v>14153</v>
      </c>
      <c r="G793" s="1"/>
      <c r="H793" s="1"/>
      <c r="I793" s="1" t="s">
        <v>14154</v>
      </c>
      <c r="J793" s="1" t="s">
        <v>11785</v>
      </c>
      <c r="K793" s="1"/>
      <c r="L793" s="1"/>
      <c r="M793" s="1" t="s">
        <v>78</v>
      </c>
      <c r="N793" s="1" t="s">
        <v>1996</v>
      </c>
      <c r="O793" s="1"/>
      <c r="P793" s="1"/>
      <c r="Q793" s="1"/>
      <c r="R793" s="1"/>
      <c r="S793" s="1"/>
      <c r="T793" s="1" t="s">
        <v>14155</v>
      </c>
      <c r="U793" s="1"/>
      <c r="V793" s="1" t="s">
        <v>14156</v>
      </c>
      <c r="W793" s="1" t="s">
        <v>14157</v>
      </c>
      <c r="X793" s="1" t="s">
        <v>14158</v>
      </c>
      <c r="Y793" s="1" t="s">
        <v>14159</v>
      </c>
      <c r="Z793" s="1" t="s">
        <v>14160</v>
      </c>
      <c r="AA793" s="1" t="s">
        <v>5956</v>
      </c>
      <c r="AB793" s="1" t="s">
        <v>5957</v>
      </c>
      <c r="AC793" s="1" t="s">
        <v>14161</v>
      </c>
      <c r="AD793" s="1" t="s">
        <v>14162</v>
      </c>
      <c r="AE793" s="1" t="s">
        <v>14163</v>
      </c>
      <c r="AF793" s="1"/>
      <c r="AG793" s="1" t="n">
        <v>19</v>
      </c>
      <c r="AH793" s="1" t="n">
        <v>4</v>
      </c>
      <c r="AI793" s="1" t="n">
        <v>4</v>
      </c>
      <c r="AJ793" s="1" t="n">
        <v>10</v>
      </c>
      <c r="AK793" s="1" t="n">
        <v>37</v>
      </c>
      <c r="AL793" s="1" t="s">
        <v>11593</v>
      </c>
      <c r="AM793" s="1" t="s">
        <v>11594</v>
      </c>
      <c r="AN793" s="1" t="s">
        <v>11595</v>
      </c>
      <c r="AO793" s="1" t="s">
        <v>11795</v>
      </c>
      <c r="AP793" s="1"/>
      <c r="AQ793" s="1"/>
      <c r="AR793" s="1" t="s">
        <v>11796</v>
      </c>
      <c r="AS793" s="1" t="s">
        <v>11797</v>
      </c>
      <c r="AT793" s="1"/>
      <c r="AU793" s="1" t="n">
        <v>2022</v>
      </c>
      <c r="AV793" s="1" t="n">
        <v>7</v>
      </c>
      <c r="AW793" s="1" t="n">
        <v>4</v>
      </c>
      <c r="AX793" s="1"/>
      <c r="AY793" s="1"/>
      <c r="AZ793" s="1"/>
      <c r="BA793" s="1"/>
      <c r="BB793" s="1" t="n">
        <v>377</v>
      </c>
      <c r="BC793" s="1" t="n">
        <v>380</v>
      </c>
      <c r="BD793" s="1"/>
      <c r="BE793" s="1" t="s">
        <v>14164</v>
      </c>
      <c r="BF793" s="1" t="str">
        <f aca="false">HYPERLINK("http://dx.doi.org/10.17645/up.v7i4.6526","http://dx.doi.org/10.17645/up.v7i4.6526")</f>
        <v>http://dx.doi.org/10.17645/up.v7i4.6526</v>
      </c>
      <c r="BG793" s="1"/>
      <c r="BH793" s="1"/>
      <c r="BI793" s="1" t="n">
        <v>4</v>
      </c>
      <c r="BJ793" s="1" t="s">
        <v>11799</v>
      </c>
      <c r="BK793" s="1" t="s">
        <v>253</v>
      </c>
      <c r="BL793" s="1" t="s">
        <v>11799</v>
      </c>
      <c r="BM793" s="1" t="s">
        <v>14165</v>
      </c>
      <c r="BN793" s="1"/>
      <c r="BO793" s="1" t="s">
        <v>401</v>
      </c>
      <c r="BP793" s="1"/>
      <c r="BQ793" s="1"/>
      <c r="BR793" s="1" t="s">
        <v>103</v>
      </c>
      <c r="BS793" s="1" t="s">
        <v>14166</v>
      </c>
      <c r="BT793" s="1" t="str">
        <f aca="false">HYPERLINK("https%3A%2F%2Fwww.webofscience.com%2Fwos%2Fwoscc%2Ffull-record%2FWOS:000905291000001","View Full Record in Web of Science")</f>
        <v>View Full Record in Web of Science</v>
      </c>
    </row>
    <row r="794" customFormat="false" ht="12.75" hidden="false" customHeight="false" outlineLevel="0" collapsed="false">
      <c r="A794" s="1" t="s">
        <v>181</v>
      </c>
      <c r="B794" s="1" t="s">
        <v>14167</v>
      </c>
      <c r="C794" s="1"/>
      <c r="D794" s="1"/>
      <c r="E794" s="1"/>
      <c r="F794" s="1" t="s">
        <v>14168</v>
      </c>
      <c r="G794" s="1"/>
      <c r="H794" s="1"/>
      <c r="I794" s="1" t="s">
        <v>14169</v>
      </c>
      <c r="J794" s="1" t="s">
        <v>523</v>
      </c>
      <c r="K794" s="1"/>
      <c r="L794" s="1"/>
      <c r="M794" s="1" t="s">
        <v>78</v>
      </c>
      <c r="N794" s="1" t="s">
        <v>186</v>
      </c>
      <c r="O794" s="1"/>
      <c r="P794" s="1"/>
      <c r="Q794" s="1"/>
      <c r="R794" s="1"/>
      <c r="S794" s="1"/>
      <c r="T794" s="1" t="s">
        <v>14170</v>
      </c>
      <c r="U794" s="1" t="s">
        <v>14171</v>
      </c>
      <c r="V794" s="1" t="s">
        <v>14172</v>
      </c>
      <c r="W794" s="1" t="s">
        <v>14173</v>
      </c>
      <c r="X794" s="1" t="s">
        <v>14174</v>
      </c>
      <c r="Y794" s="1" t="s">
        <v>7871</v>
      </c>
      <c r="Z794" s="1" t="s">
        <v>14175</v>
      </c>
      <c r="AA794" s="1" t="s">
        <v>14176</v>
      </c>
      <c r="AB794" s="1" t="s">
        <v>14177</v>
      </c>
      <c r="AC794" s="1" t="s">
        <v>7875</v>
      </c>
      <c r="AD794" s="1" t="s">
        <v>7875</v>
      </c>
      <c r="AE794" s="1" t="s">
        <v>7876</v>
      </c>
      <c r="AF794" s="1"/>
      <c r="AG794" s="1" t="n">
        <v>59</v>
      </c>
      <c r="AH794" s="1" t="n">
        <v>4</v>
      </c>
      <c r="AI794" s="1" t="n">
        <v>4</v>
      </c>
      <c r="AJ794" s="1" t="n">
        <v>4</v>
      </c>
      <c r="AK794" s="1" t="n">
        <v>21</v>
      </c>
      <c r="AL794" s="1" t="s">
        <v>367</v>
      </c>
      <c r="AM794" s="1" t="s">
        <v>368</v>
      </c>
      <c r="AN794" s="1" t="s">
        <v>369</v>
      </c>
      <c r="AO794" s="1"/>
      <c r="AP794" s="1" t="s">
        <v>534</v>
      </c>
      <c r="AQ794" s="1"/>
      <c r="AR794" s="1" t="s">
        <v>535</v>
      </c>
      <c r="AS794" s="1" t="s">
        <v>536</v>
      </c>
      <c r="AT794" s="1" t="s">
        <v>277</v>
      </c>
      <c r="AU794" s="1" t="n">
        <v>2021</v>
      </c>
      <c r="AV794" s="1" t="n">
        <v>11</v>
      </c>
      <c r="AW794" s="1" t="n">
        <v>5</v>
      </c>
      <c r="AX794" s="1"/>
      <c r="AY794" s="1"/>
      <c r="AZ794" s="1"/>
      <c r="BA794" s="1"/>
      <c r="BB794" s="1"/>
      <c r="BC794" s="1"/>
      <c r="BD794" s="1" t="n">
        <v>2043</v>
      </c>
      <c r="BE794" s="1" t="s">
        <v>14178</v>
      </c>
      <c r="BF794" s="1" t="str">
        <f aca="false">HYPERLINK("http://dx.doi.org/10.3390/app11052043","http://dx.doi.org/10.3390/app11052043")</f>
        <v>http://dx.doi.org/10.3390/app11052043</v>
      </c>
      <c r="BG794" s="1"/>
      <c r="BH794" s="1"/>
      <c r="BI794" s="1" t="n">
        <v>11</v>
      </c>
      <c r="BJ794" s="1" t="s">
        <v>539</v>
      </c>
      <c r="BK794" s="1" t="s">
        <v>398</v>
      </c>
      <c r="BL794" s="1" t="s">
        <v>540</v>
      </c>
      <c r="BM794" s="1" t="s">
        <v>14179</v>
      </c>
      <c r="BN794" s="1"/>
      <c r="BO794" s="1" t="s">
        <v>542</v>
      </c>
      <c r="BP794" s="1"/>
      <c r="BQ794" s="1"/>
      <c r="BR794" s="1" t="s">
        <v>103</v>
      </c>
      <c r="BS794" s="1" t="s">
        <v>14180</v>
      </c>
      <c r="BT794" s="1" t="str">
        <f aca="false">HYPERLINK("https%3A%2F%2Fwww.webofscience.com%2Fwos%2Fwoscc%2Ffull-record%2FWOS:000627950500001","View Full Record in Web of Science")</f>
        <v>View Full Record in Web of Science</v>
      </c>
    </row>
    <row r="795" customFormat="false" ht="12.75" hidden="false" customHeight="false" outlineLevel="0" collapsed="false">
      <c r="A795" s="1" t="s">
        <v>181</v>
      </c>
      <c r="B795" s="1" t="s">
        <v>14181</v>
      </c>
      <c r="C795" s="1"/>
      <c r="D795" s="1"/>
      <c r="E795" s="1"/>
      <c r="F795" s="1" t="s">
        <v>14182</v>
      </c>
      <c r="G795" s="1"/>
      <c r="H795" s="1"/>
      <c r="I795" s="1" t="s">
        <v>14183</v>
      </c>
      <c r="J795" s="1" t="s">
        <v>14184</v>
      </c>
      <c r="K795" s="1"/>
      <c r="L795" s="1"/>
      <c r="M795" s="1" t="s">
        <v>78</v>
      </c>
      <c r="N795" s="1" t="s">
        <v>186</v>
      </c>
      <c r="O795" s="1"/>
      <c r="P795" s="1"/>
      <c r="Q795" s="1"/>
      <c r="R795" s="1"/>
      <c r="S795" s="1"/>
      <c r="T795" s="1" t="s">
        <v>14185</v>
      </c>
      <c r="U795" s="1" t="s">
        <v>14186</v>
      </c>
      <c r="V795" s="1" t="s">
        <v>14187</v>
      </c>
      <c r="W795" s="1" t="s">
        <v>14188</v>
      </c>
      <c r="X795" s="1" t="s">
        <v>14189</v>
      </c>
      <c r="Y795" s="1" t="s">
        <v>14190</v>
      </c>
      <c r="Z795" s="1" t="s">
        <v>14191</v>
      </c>
      <c r="AA795" s="1" t="s">
        <v>14192</v>
      </c>
      <c r="AB795" s="1" t="s">
        <v>14193</v>
      </c>
      <c r="AC795" s="1" t="s">
        <v>12655</v>
      </c>
      <c r="AD795" s="1" t="s">
        <v>12655</v>
      </c>
      <c r="AE795" s="1" t="s">
        <v>12656</v>
      </c>
      <c r="AF795" s="1"/>
      <c r="AG795" s="1" t="n">
        <v>74</v>
      </c>
      <c r="AH795" s="1" t="n">
        <v>2</v>
      </c>
      <c r="AI795" s="1" t="n">
        <v>2</v>
      </c>
      <c r="AJ795" s="1" t="n">
        <v>4</v>
      </c>
      <c r="AK795" s="1" t="n">
        <v>20</v>
      </c>
      <c r="AL795" s="1" t="s">
        <v>679</v>
      </c>
      <c r="AM795" s="1" t="s">
        <v>680</v>
      </c>
      <c r="AN795" s="1" t="s">
        <v>681</v>
      </c>
      <c r="AO795" s="1" t="s">
        <v>14194</v>
      </c>
      <c r="AP795" s="1" t="s">
        <v>14195</v>
      </c>
      <c r="AQ795" s="1"/>
      <c r="AR795" s="1" t="s">
        <v>14196</v>
      </c>
      <c r="AS795" s="1" t="s">
        <v>14197</v>
      </c>
      <c r="AT795" s="1" t="s">
        <v>1391</v>
      </c>
      <c r="AU795" s="1" t="n">
        <v>2020</v>
      </c>
      <c r="AV795" s="1" t="n">
        <v>57</v>
      </c>
      <c r="AW795" s="1" t="n">
        <v>3</v>
      </c>
      <c r="AX795" s="1"/>
      <c r="AY795" s="1"/>
      <c r="AZ795" s="1" t="s">
        <v>1698</v>
      </c>
      <c r="BA795" s="1"/>
      <c r="BB795" s="1" t="n">
        <v>537</v>
      </c>
      <c r="BC795" s="1" t="n">
        <v>558</v>
      </c>
      <c r="BD795" s="1"/>
      <c r="BE795" s="1" t="s">
        <v>14198</v>
      </c>
      <c r="BF795" s="1" t="str">
        <f aca="false">HYPERLINK("http://dx.doi.org/10.1007/s11151-020-09787-7","http://dx.doi.org/10.1007/s11151-020-09787-7")</f>
        <v>http://dx.doi.org/10.1007/s11151-020-09787-7</v>
      </c>
      <c r="BG795" s="1"/>
      <c r="BH795" s="1" t="s">
        <v>1455</v>
      </c>
      <c r="BI795" s="1" t="n">
        <v>22</v>
      </c>
      <c r="BJ795" s="1" t="s">
        <v>14199</v>
      </c>
      <c r="BK795" s="1" t="s">
        <v>610</v>
      </c>
      <c r="BL795" s="1" t="s">
        <v>715</v>
      </c>
      <c r="BM795" s="1" t="s">
        <v>14200</v>
      </c>
      <c r="BN795" s="1"/>
      <c r="BO795" s="1" t="s">
        <v>282</v>
      </c>
      <c r="BP795" s="1"/>
      <c r="BQ795" s="1"/>
      <c r="BR795" s="1" t="s">
        <v>103</v>
      </c>
      <c r="BS795" s="1" t="s">
        <v>14201</v>
      </c>
      <c r="BT795" s="1" t="str">
        <f aca="false">HYPERLINK("https%3A%2F%2Fwww.webofscience.com%2Fwos%2Fwoscc%2Ffull-record%2FWOS:000572836500001","View Full Record in Web of Science")</f>
        <v>View Full Record in Web of Science</v>
      </c>
    </row>
    <row r="796" customFormat="false" ht="12.75" hidden="false" customHeight="false" outlineLevel="0" collapsed="false">
      <c r="A796" s="1" t="s">
        <v>181</v>
      </c>
      <c r="B796" s="1" t="s">
        <v>14202</v>
      </c>
      <c r="C796" s="1"/>
      <c r="D796" s="1"/>
      <c r="E796" s="1"/>
      <c r="F796" s="1" t="s">
        <v>14203</v>
      </c>
      <c r="G796" s="1"/>
      <c r="H796" s="1"/>
      <c r="I796" s="1" t="s">
        <v>14204</v>
      </c>
      <c r="J796" s="1" t="s">
        <v>4201</v>
      </c>
      <c r="K796" s="1"/>
      <c r="L796" s="1"/>
      <c r="M796" s="1" t="s">
        <v>78</v>
      </c>
      <c r="N796" s="1" t="s">
        <v>186</v>
      </c>
      <c r="O796" s="1"/>
      <c r="P796" s="1"/>
      <c r="Q796" s="1"/>
      <c r="R796" s="1"/>
      <c r="S796" s="1"/>
      <c r="T796" s="1" t="s">
        <v>14205</v>
      </c>
      <c r="U796" s="1" t="s">
        <v>14206</v>
      </c>
      <c r="V796" s="1" t="s">
        <v>14207</v>
      </c>
      <c r="W796" s="1" t="s">
        <v>14208</v>
      </c>
      <c r="X796" s="1" t="s">
        <v>14209</v>
      </c>
      <c r="Y796" s="1" t="s">
        <v>14210</v>
      </c>
      <c r="Z796" s="1" t="s">
        <v>14211</v>
      </c>
      <c r="AA796" s="1" t="s">
        <v>14212</v>
      </c>
      <c r="AB796" s="1" t="s">
        <v>14213</v>
      </c>
      <c r="AC796" s="1" t="s">
        <v>14214</v>
      </c>
      <c r="AD796" s="1" t="s">
        <v>14215</v>
      </c>
      <c r="AE796" s="1" t="s">
        <v>14216</v>
      </c>
      <c r="AF796" s="1"/>
      <c r="AG796" s="1" t="n">
        <v>70</v>
      </c>
      <c r="AH796" s="1" t="n">
        <v>0</v>
      </c>
      <c r="AI796" s="1" t="n">
        <v>0</v>
      </c>
      <c r="AJ796" s="1" t="n">
        <v>2</v>
      </c>
      <c r="AK796" s="1" t="n">
        <v>6</v>
      </c>
      <c r="AL796" s="1" t="s">
        <v>367</v>
      </c>
      <c r="AM796" s="1" t="s">
        <v>368</v>
      </c>
      <c r="AN796" s="1" t="s">
        <v>8771</v>
      </c>
      <c r="AO796" s="1" t="s">
        <v>4209</v>
      </c>
      <c r="AP796" s="1"/>
      <c r="AQ796" s="1"/>
      <c r="AR796" s="1" t="s">
        <v>4201</v>
      </c>
      <c r="AS796" s="1" t="s">
        <v>4210</v>
      </c>
      <c r="AT796" s="1" t="s">
        <v>421</v>
      </c>
      <c r="AU796" s="1" t="n">
        <v>2024</v>
      </c>
      <c r="AV796" s="1" t="n">
        <v>16</v>
      </c>
      <c r="AW796" s="1" t="n">
        <v>4</v>
      </c>
      <c r="AX796" s="1"/>
      <c r="AY796" s="1"/>
      <c r="AZ796" s="1"/>
      <c r="BA796" s="1"/>
      <c r="BB796" s="1"/>
      <c r="BC796" s="1"/>
      <c r="BD796" s="1" t="n">
        <v>134</v>
      </c>
      <c r="BE796" s="1" t="s">
        <v>14217</v>
      </c>
      <c r="BF796" s="1" t="str">
        <f aca="false">HYPERLINK("http://dx.doi.org/10.3390/fi16040134","http://dx.doi.org/10.3390/fi16040134")</f>
        <v>http://dx.doi.org/10.3390/fi16040134</v>
      </c>
      <c r="BG796" s="1"/>
      <c r="BH796" s="1"/>
      <c r="BI796" s="1" t="n">
        <v>19</v>
      </c>
      <c r="BJ796" s="1" t="s">
        <v>4212</v>
      </c>
      <c r="BK796" s="1" t="s">
        <v>253</v>
      </c>
      <c r="BL796" s="1" t="s">
        <v>101</v>
      </c>
      <c r="BM796" s="1" t="s">
        <v>14218</v>
      </c>
      <c r="BN796" s="1"/>
      <c r="BO796" s="1" t="s">
        <v>401</v>
      </c>
      <c r="BP796" s="1"/>
      <c r="BQ796" s="1"/>
      <c r="BR796" s="1" t="s">
        <v>103</v>
      </c>
      <c r="BS796" s="1" t="s">
        <v>14219</v>
      </c>
      <c r="BT796" s="1" t="str">
        <f aca="false">HYPERLINK("https%3A%2F%2Fwww.webofscience.com%2Fwos%2Fwoscc%2Ffull-record%2FWOS:001210241000001","View Full Record in Web of Science")</f>
        <v>View Full Record in Web of Science</v>
      </c>
    </row>
    <row r="797" customFormat="false" ht="12.75" hidden="false" customHeight="false" outlineLevel="0" collapsed="false">
      <c r="A797" s="1" t="s">
        <v>72</v>
      </c>
      <c r="B797" s="1" t="s">
        <v>14220</v>
      </c>
      <c r="C797" s="1"/>
      <c r="D797" s="1" t="s">
        <v>14221</v>
      </c>
      <c r="E797" s="1"/>
      <c r="F797" s="1" t="s">
        <v>14222</v>
      </c>
      <c r="G797" s="1"/>
      <c r="H797" s="1"/>
      <c r="I797" s="1" t="s">
        <v>14223</v>
      </c>
      <c r="J797" s="1" t="s">
        <v>14224</v>
      </c>
      <c r="K797" s="1" t="s">
        <v>4307</v>
      </c>
      <c r="L797" s="1"/>
      <c r="M797" s="1" t="s">
        <v>78</v>
      </c>
      <c r="N797" s="1" t="s">
        <v>79</v>
      </c>
      <c r="O797" s="1" t="s">
        <v>14225</v>
      </c>
      <c r="P797" s="1" t="s">
        <v>14226</v>
      </c>
      <c r="Q797" s="1" t="s">
        <v>571</v>
      </c>
      <c r="R797" s="1" t="s">
        <v>14227</v>
      </c>
      <c r="S797" s="1"/>
      <c r="T797" s="1" t="s">
        <v>14228</v>
      </c>
      <c r="U797" s="1"/>
      <c r="V797" s="1" t="s">
        <v>14229</v>
      </c>
      <c r="W797" s="1" t="s">
        <v>14230</v>
      </c>
      <c r="X797" s="1" t="s">
        <v>14231</v>
      </c>
      <c r="Y797" s="1" t="s">
        <v>11899</v>
      </c>
      <c r="Z797" s="1" t="s">
        <v>1110</v>
      </c>
      <c r="AA797" s="1" t="s">
        <v>14232</v>
      </c>
      <c r="AB797" s="1"/>
      <c r="AC797" s="1" t="s">
        <v>14233</v>
      </c>
      <c r="AD797" s="1"/>
      <c r="AE797" s="1" t="s">
        <v>14234</v>
      </c>
      <c r="AF797" s="1"/>
      <c r="AG797" s="1" t="n">
        <v>25</v>
      </c>
      <c r="AH797" s="1" t="n">
        <v>0</v>
      </c>
      <c r="AI797" s="1" t="n">
        <v>0</v>
      </c>
      <c r="AJ797" s="1" t="n">
        <v>0</v>
      </c>
      <c r="AK797" s="1" t="n">
        <v>0</v>
      </c>
      <c r="AL797" s="1" t="s">
        <v>14235</v>
      </c>
      <c r="AM797" s="1" t="s">
        <v>705</v>
      </c>
      <c r="AN797" s="1" t="s">
        <v>14236</v>
      </c>
      <c r="AO797" s="1" t="s">
        <v>4316</v>
      </c>
      <c r="AP797" s="1" t="s">
        <v>4317</v>
      </c>
      <c r="AQ797" s="1" t="s">
        <v>14237</v>
      </c>
      <c r="AR797" s="1" t="s">
        <v>4319</v>
      </c>
      <c r="AS797" s="1"/>
      <c r="AT797" s="1"/>
      <c r="AU797" s="1" t="n">
        <v>2024</v>
      </c>
      <c r="AV797" s="1" t="n">
        <v>1013</v>
      </c>
      <c r="AW797" s="1"/>
      <c r="AX797" s="1"/>
      <c r="AY797" s="1"/>
      <c r="AZ797" s="1"/>
      <c r="BA797" s="1"/>
      <c r="BB797" s="1" t="n">
        <v>215</v>
      </c>
      <c r="BC797" s="1" t="n">
        <v>227</v>
      </c>
      <c r="BD797" s="1"/>
      <c r="BE797" s="1" t="s">
        <v>14238</v>
      </c>
      <c r="BF797" s="1" t="str">
        <f aca="false">HYPERLINK("http://dx.doi.org/10.1007/978-981-97-3559-4_17","http://dx.doi.org/10.1007/978-981-97-3559-4_17")</f>
        <v>http://dx.doi.org/10.1007/978-981-97-3559-4_17</v>
      </c>
      <c r="BG797" s="1"/>
      <c r="BH797" s="1"/>
      <c r="BI797" s="1" t="n">
        <v>13</v>
      </c>
      <c r="BJ797" s="1" t="s">
        <v>14239</v>
      </c>
      <c r="BK797" s="1" t="s">
        <v>100</v>
      </c>
      <c r="BL797" s="1" t="s">
        <v>311</v>
      </c>
      <c r="BM797" s="1" t="s">
        <v>14240</v>
      </c>
      <c r="BN797" s="1"/>
      <c r="BO797" s="1"/>
      <c r="BP797" s="1"/>
      <c r="BQ797" s="1"/>
      <c r="BR797" s="1" t="s">
        <v>103</v>
      </c>
      <c r="BS797" s="1" t="s">
        <v>14241</v>
      </c>
      <c r="BT797" s="1" t="str">
        <f aca="false">HYPERLINK("https%3A%2F%2Fwww.webofscience.com%2Fwos%2Fwoscc%2Ffull-record%2FWOS:001326996900017","View Full Record in Web of Science")</f>
        <v>View Full Record in Web of Science</v>
      </c>
    </row>
    <row r="798" customFormat="false" ht="12.75" hidden="false" customHeight="false" outlineLevel="0" collapsed="false">
      <c r="A798" s="1" t="s">
        <v>72</v>
      </c>
      <c r="B798" s="1" t="s">
        <v>14242</v>
      </c>
      <c r="C798" s="1"/>
      <c r="D798" s="1" t="s">
        <v>3194</v>
      </c>
      <c r="E798" s="1"/>
      <c r="F798" s="1" t="s">
        <v>14243</v>
      </c>
      <c r="G798" s="1"/>
      <c r="H798" s="1"/>
      <c r="I798" s="1" t="s">
        <v>14244</v>
      </c>
      <c r="J798" s="1" t="s">
        <v>3197</v>
      </c>
      <c r="K798" s="1"/>
      <c r="L798" s="1"/>
      <c r="M798" s="1" t="s">
        <v>78</v>
      </c>
      <c r="N798" s="1" t="s">
        <v>79</v>
      </c>
      <c r="O798" s="1" t="s">
        <v>3198</v>
      </c>
      <c r="P798" s="1" t="s">
        <v>3199</v>
      </c>
      <c r="Q798" s="1" t="s">
        <v>3200</v>
      </c>
      <c r="R798" s="1" t="s">
        <v>3201</v>
      </c>
      <c r="S798" s="1"/>
      <c r="T798" s="1" t="s">
        <v>14245</v>
      </c>
      <c r="U798" s="1" t="s">
        <v>1241</v>
      </c>
      <c r="V798" s="1" t="s">
        <v>14246</v>
      </c>
      <c r="W798" s="1" t="s">
        <v>14247</v>
      </c>
      <c r="X798" s="1" t="s">
        <v>14248</v>
      </c>
      <c r="Y798" s="1" t="s">
        <v>14249</v>
      </c>
      <c r="Z798" s="1" t="s">
        <v>14250</v>
      </c>
      <c r="AA798" s="1" t="s">
        <v>14251</v>
      </c>
      <c r="AB798" s="1" t="s">
        <v>14252</v>
      </c>
      <c r="AC798" s="1" t="s">
        <v>14253</v>
      </c>
      <c r="AD798" s="1" t="s">
        <v>14254</v>
      </c>
      <c r="AE798" s="1" t="s">
        <v>14255</v>
      </c>
      <c r="AF798" s="1"/>
      <c r="AG798" s="1" t="n">
        <v>22</v>
      </c>
      <c r="AH798" s="1" t="n">
        <v>2</v>
      </c>
      <c r="AI798" s="1" t="n">
        <v>2</v>
      </c>
      <c r="AJ798" s="1" t="n">
        <v>1</v>
      </c>
      <c r="AK798" s="1" t="n">
        <v>1</v>
      </c>
      <c r="AL798" s="1" t="s">
        <v>106</v>
      </c>
      <c r="AM798" s="1" t="s">
        <v>95</v>
      </c>
      <c r="AN798" s="1" t="s">
        <v>122</v>
      </c>
      <c r="AO798" s="1"/>
      <c r="AP798" s="1"/>
      <c r="AQ798" s="1" t="s">
        <v>3211</v>
      </c>
      <c r="AR798" s="1"/>
      <c r="AS798" s="1"/>
      <c r="AT798" s="1"/>
      <c r="AU798" s="1" t="n">
        <v>2023</v>
      </c>
      <c r="AV798" s="1"/>
      <c r="AW798" s="1"/>
      <c r="AX798" s="1"/>
      <c r="AY798" s="1"/>
      <c r="AZ798" s="1"/>
      <c r="BA798" s="1"/>
      <c r="BB798" s="1" t="n">
        <v>270</v>
      </c>
      <c r="BC798" s="1" t="n">
        <v>275</v>
      </c>
      <c r="BD798" s="1"/>
      <c r="BE798" s="1" t="s">
        <v>14256</v>
      </c>
      <c r="BF798" s="1" t="str">
        <f aca="false">HYPERLINK("http://dx.doi.org/10.1109/FMEC59375.2023.10306036","http://dx.doi.org/10.1109/FMEC59375.2023.10306036")</f>
        <v>http://dx.doi.org/10.1109/FMEC59375.2023.10306036</v>
      </c>
      <c r="BG798" s="1"/>
      <c r="BH798" s="1"/>
      <c r="BI798" s="1" t="n">
        <v>6</v>
      </c>
      <c r="BJ798" s="1" t="s">
        <v>2136</v>
      </c>
      <c r="BK798" s="1" t="s">
        <v>100</v>
      </c>
      <c r="BL798" s="1" t="s">
        <v>101</v>
      </c>
      <c r="BM798" s="1" t="s">
        <v>3213</v>
      </c>
      <c r="BN798" s="1"/>
      <c r="BO798" s="1" t="s">
        <v>179</v>
      </c>
      <c r="BP798" s="1"/>
      <c r="BQ798" s="1"/>
      <c r="BR798" s="1" t="s">
        <v>103</v>
      </c>
      <c r="BS798" s="1" t="s">
        <v>14257</v>
      </c>
      <c r="BT798" s="1" t="str">
        <f aca="false">HYPERLINK("https%3A%2F%2Fwww.webofscience.com%2Fwos%2Fwoscc%2Ffull-record%2FWOS:001103180200036","View Full Record in Web of Science")</f>
        <v>View Full Record in Web of Science</v>
      </c>
    </row>
    <row r="799" customFormat="false" ht="12.75" hidden="false" customHeight="false" outlineLevel="0" collapsed="false">
      <c r="A799" s="1" t="s">
        <v>181</v>
      </c>
      <c r="B799" s="1" t="s">
        <v>14258</v>
      </c>
      <c r="C799" s="1"/>
      <c r="D799" s="1"/>
      <c r="E799" s="1"/>
      <c r="F799" s="1" t="s">
        <v>14259</v>
      </c>
      <c r="G799" s="1"/>
      <c r="H799" s="1"/>
      <c r="I799" s="1" t="s">
        <v>14260</v>
      </c>
      <c r="J799" s="1" t="s">
        <v>8723</v>
      </c>
      <c r="K799" s="1"/>
      <c r="L799" s="1"/>
      <c r="M799" s="1" t="s">
        <v>78</v>
      </c>
      <c r="N799" s="1" t="s">
        <v>186</v>
      </c>
      <c r="O799" s="1"/>
      <c r="P799" s="1"/>
      <c r="Q799" s="1"/>
      <c r="R799" s="1"/>
      <c r="S799" s="1"/>
      <c r="T799" s="1" t="s">
        <v>14261</v>
      </c>
      <c r="U799" s="1"/>
      <c r="V799" s="1" t="s">
        <v>14262</v>
      </c>
      <c r="W799" s="1" t="s">
        <v>14263</v>
      </c>
      <c r="X799" s="1" t="s">
        <v>14264</v>
      </c>
      <c r="Y799" s="1" t="s">
        <v>14265</v>
      </c>
      <c r="Z799" s="1" t="s">
        <v>14266</v>
      </c>
      <c r="AA799" s="1" t="s">
        <v>14108</v>
      </c>
      <c r="AB799" s="1" t="s">
        <v>14267</v>
      </c>
      <c r="AC799" s="1" t="s">
        <v>14268</v>
      </c>
      <c r="AD799" s="1" t="s">
        <v>14269</v>
      </c>
      <c r="AE799" s="1" t="s">
        <v>14270</v>
      </c>
      <c r="AF799" s="1"/>
      <c r="AG799" s="1" t="n">
        <v>27</v>
      </c>
      <c r="AH799" s="1" t="n">
        <v>13</v>
      </c>
      <c r="AI799" s="1" t="n">
        <v>13</v>
      </c>
      <c r="AJ799" s="1" t="n">
        <v>1</v>
      </c>
      <c r="AK799" s="1" t="n">
        <v>8</v>
      </c>
      <c r="AL799" s="1" t="s">
        <v>195</v>
      </c>
      <c r="AM799" s="1" t="s">
        <v>196</v>
      </c>
      <c r="AN799" s="1" t="s">
        <v>197</v>
      </c>
      <c r="AO799" s="1" t="s">
        <v>8736</v>
      </c>
      <c r="AP799" s="1" t="s">
        <v>8737</v>
      </c>
      <c r="AQ799" s="1"/>
      <c r="AR799" s="1" t="s">
        <v>8738</v>
      </c>
      <c r="AS799" s="1" t="s">
        <v>8739</v>
      </c>
      <c r="AT799" s="1"/>
      <c r="AU799" s="1" t="n">
        <v>2020</v>
      </c>
      <c r="AV799" s="1" t="n">
        <v>13</v>
      </c>
      <c r="AW799" s="1"/>
      <c r="AX799" s="1"/>
      <c r="AY799" s="1"/>
      <c r="AZ799" s="1"/>
      <c r="BA799" s="1"/>
      <c r="BB799" s="1" t="n">
        <v>5560</v>
      </c>
      <c r="BC799" s="1" t="n">
        <v>5568</v>
      </c>
      <c r="BD799" s="1"/>
      <c r="BE799" s="1" t="s">
        <v>14271</v>
      </c>
      <c r="BF799" s="1" t="str">
        <f aca="false">HYPERLINK("http://dx.doi.org/10.1109/JSTARS.2020.3025089","http://dx.doi.org/10.1109/JSTARS.2020.3025089")</f>
        <v>http://dx.doi.org/10.1109/JSTARS.2020.3025089</v>
      </c>
      <c r="BG799" s="1"/>
      <c r="BH799" s="1"/>
      <c r="BI799" s="1" t="n">
        <v>9</v>
      </c>
      <c r="BJ799" s="1" t="s">
        <v>8741</v>
      </c>
      <c r="BK799" s="1" t="s">
        <v>204</v>
      </c>
      <c r="BL799" s="1" t="s">
        <v>8742</v>
      </c>
      <c r="BM799" s="1" t="s">
        <v>14272</v>
      </c>
      <c r="BN799" s="1"/>
      <c r="BO799" s="1" t="s">
        <v>542</v>
      </c>
      <c r="BP799" s="1"/>
      <c r="BQ799" s="1"/>
      <c r="BR799" s="1" t="s">
        <v>103</v>
      </c>
      <c r="BS799" s="1" t="s">
        <v>14273</v>
      </c>
      <c r="BT799" s="1" t="str">
        <f aca="false">HYPERLINK("https%3A%2F%2Fwww.webofscience.com%2Fwos%2Fwoscc%2Ffull-record%2FWOS:000574738600004","View Full Record in Web of Science")</f>
        <v>View Full Record in Web of Science</v>
      </c>
    </row>
    <row r="800" customFormat="false" ht="12.75" hidden="false" customHeight="false" outlineLevel="0" collapsed="false">
      <c r="A800" s="1" t="s">
        <v>72</v>
      </c>
      <c r="B800" s="1" t="s">
        <v>14274</v>
      </c>
      <c r="C800" s="1"/>
      <c r="D800" s="1"/>
      <c r="E800" s="1" t="s">
        <v>6634</v>
      </c>
      <c r="F800" s="1" t="s">
        <v>14275</v>
      </c>
      <c r="G800" s="1"/>
      <c r="H800" s="1"/>
      <c r="I800" s="1" t="s">
        <v>14276</v>
      </c>
      <c r="J800" s="1" t="s">
        <v>7319</v>
      </c>
      <c r="K800" s="1"/>
      <c r="L800" s="1"/>
      <c r="M800" s="1" t="s">
        <v>78</v>
      </c>
      <c r="N800" s="1" t="s">
        <v>79</v>
      </c>
      <c r="O800" s="1" t="s">
        <v>7320</v>
      </c>
      <c r="P800" s="1" t="s">
        <v>7321</v>
      </c>
      <c r="Q800" s="1" t="s">
        <v>320</v>
      </c>
      <c r="R800" s="1" t="s">
        <v>7322</v>
      </c>
      <c r="S800" s="1"/>
      <c r="T800" s="1" t="s">
        <v>14277</v>
      </c>
      <c r="U800" s="1"/>
      <c r="V800" s="1" t="s">
        <v>14278</v>
      </c>
      <c r="W800" s="1" t="s">
        <v>14279</v>
      </c>
      <c r="X800" s="1" t="s">
        <v>14280</v>
      </c>
      <c r="Y800" s="1" t="s">
        <v>14281</v>
      </c>
      <c r="Z800" s="1"/>
      <c r="AA800" s="1" t="s">
        <v>5339</v>
      </c>
      <c r="AB800" s="1"/>
      <c r="AC800" s="1" t="s">
        <v>2493</v>
      </c>
      <c r="AD800" s="1" t="s">
        <v>2493</v>
      </c>
      <c r="AE800" s="1" t="s">
        <v>14282</v>
      </c>
      <c r="AF800" s="1"/>
      <c r="AG800" s="1" t="n">
        <v>28</v>
      </c>
      <c r="AH800" s="1" t="n">
        <v>15</v>
      </c>
      <c r="AI800" s="1" t="n">
        <v>15</v>
      </c>
      <c r="AJ800" s="1" t="n">
        <v>0</v>
      </c>
      <c r="AK800" s="1" t="n">
        <v>5</v>
      </c>
      <c r="AL800" s="1" t="s">
        <v>172</v>
      </c>
      <c r="AM800" s="1" t="s">
        <v>173</v>
      </c>
      <c r="AN800" s="1" t="s">
        <v>174</v>
      </c>
      <c r="AO800" s="1"/>
      <c r="AP800" s="1"/>
      <c r="AQ800" s="1" t="s">
        <v>7329</v>
      </c>
      <c r="AR800" s="1"/>
      <c r="AS800" s="1"/>
      <c r="AT800" s="1"/>
      <c r="AU800" s="1" t="n">
        <v>2021</v>
      </c>
      <c r="AV800" s="1"/>
      <c r="AW800" s="1"/>
      <c r="AX800" s="1"/>
      <c r="AY800" s="1"/>
      <c r="AZ800" s="1"/>
      <c r="BA800" s="1"/>
      <c r="BB800" s="1" t="n">
        <v>278</v>
      </c>
      <c r="BC800" s="1" t="n">
        <v>287</v>
      </c>
      <c r="BD800" s="1"/>
      <c r="BE800" s="1" t="s">
        <v>14283</v>
      </c>
      <c r="BF800" s="1" t="str">
        <f aca="false">HYPERLINK("http://dx.doi.org/10.1109/ICSE-SEIP52600.2021.00037","http://dx.doi.org/10.1109/ICSE-SEIP52600.2021.00037")</f>
        <v>http://dx.doi.org/10.1109/ICSE-SEIP52600.2021.00037</v>
      </c>
      <c r="BG800" s="1"/>
      <c r="BH800" s="1"/>
      <c r="BI800" s="1" t="n">
        <v>10</v>
      </c>
      <c r="BJ800" s="1" t="s">
        <v>994</v>
      </c>
      <c r="BK800" s="1" t="s">
        <v>100</v>
      </c>
      <c r="BL800" s="1" t="s">
        <v>101</v>
      </c>
      <c r="BM800" s="1" t="s">
        <v>7331</v>
      </c>
      <c r="BN800" s="1"/>
      <c r="BO800" s="1" t="s">
        <v>227</v>
      </c>
      <c r="BP800" s="1"/>
      <c r="BQ800" s="1"/>
      <c r="BR800" s="1" t="s">
        <v>103</v>
      </c>
      <c r="BS800" s="1" t="s">
        <v>14284</v>
      </c>
      <c r="BT800" s="1" t="str">
        <f aca="false">HYPERLINK("https%3A%2F%2Fwww.webofscience.com%2Fwos%2Fwoscc%2Ffull-record%2FWOS:000684234800029","View Full Record in Web of Science")</f>
        <v>View Full Record in Web of Science</v>
      </c>
    </row>
    <row r="801" customFormat="false" ht="12.75" hidden="false" customHeight="false" outlineLevel="0" collapsed="false">
      <c r="A801" s="1" t="s">
        <v>181</v>
      </c>
      <c r="B801" s="1" t="s">
        <v>14285</v>
      </c>
      <c r="C801" s="1"/>
      <c r="D801" s="1"/>
      <c r="E801" s="1"/>
      <c r="F801" s="1" t="s">
        <v>14286</v>
      </c>
      <c r="G801" s="1"/>
      <c r="H801" s="1"/>
      <c r="I801" s="1" t="s">
        <v>14287</v>
      </c>
      <c r="J801" s="1" t="s">
        <v>14288</v>
      </c>
      <c r="K801" s="1"/>
      <c r="L801" s="1"/>
      <c r="M801" s="1" t="s">
        <v>78</v>
      </c>
      <c r="N801" s="1" t="s">
        <v>186</v>
      </c>
      <c r="O801" s="1"/>
      <c r="P801" s="1"/>
      <c r="Q801" s="1"/>
      <c r="R801" s="1"/>
      <c r="S801" s="1"/>
      <c r="T801" s="1" t="s">
        <v>14289</v>
      </c>
      <c r="U801" s="1" t="s">
        <v>14290</v>
      </c>
      <c r="V801" s="1" t="s">
        <v>14291</v>
      </c>
      <c r="W801" s="1" t="s">
        <v>14292</v>
      </c>
      <c r="X801" s="1" t="s">
        <v>14293</v>
      </c>
      <c r="Y801" s="1" t="s">
        <v>7729</v>
      </c>
      <c r="Z801" s="1" t="s">
        <v>10093</v>
      </c>
      <c r="AA801" s="1" t="s">
        <v>14294</v>
      </c>
      <c r="AB801" s="1" t="s">
        <v>14295</v>
      </c>
      <c r="AC801" s="1" t="s">
        <v>10095</v>
      </c>
      <c r="AD801" s="1" t="s">
        <v>10096</v>
      </c>
      <c r="AE801" s="1" t="s">
        <v>10097</v>
      </c>
      <c r="AF801" s="1"/>
      <c r="AG801" s="1" t="n">
        <v>40</v>
      </c>
      <c r="AH801" s="1" t="n">
        <v>1</v>
      </c>
      <c r="AI801" s="1" t="n">
        <v>1</v>
      </c>
      <c r="AJ801" s="1" t="n">
        <v>9</v>
      </c>
      <c r="AK801" s="1" t="n">
        <v>13</v>
      </c>
      <c r="AL801" s="1" t="s">
        <v>14296</v>
      </c>
      <c r="AM801" s="1" t="s">
        <v>10099</v>
      </c>
      <c r="AN801" s="1" t="s">
        <v>14297</v>
      </c>
      <c r="AO801" s="1" t="s">
        <v>14298</v>
      </c>
      <c r="AP801" s="1" t="s">
        <v>14299</v>
      </c>
      <c r="AQ801" s="1"/>
      <c r="AR801" s="1" t="s">
        <v>14300</v>
      </c>
      <c r="AS801" s="1" t="s">
        <v>14301</v>
      </c>
      <c r="AT801" s="1" t="s">
        <v>1362</v>
      </c>
      <c r="AU801" s="1" t="n">
        <v>2024</v>
      </c>
      <c r="AV801" s="1" t="n">
        <v>25</v>
      </c>
      <c r="AW801" s="1" t="n">
        <v>10</v>
      </c>
      <c r="AX801" s="1"/>
      <c r="AY801" s="1"/>
      <c r="AZ801" s="1"/>
      <c r="BA801" s="1"/>
      <c r="BB801" s="1" t="n">
        <v>2019</v>
      </c>
      <c r="BC801" s="1" t="n">
        <v>2038</v>
      </c>
      <c r="BD801" s="1"/>
      <c r="BE801" s="1" t="s">
        <v>14302</v>
      </c>
      <c r="BF801" s="1" t="str">
        <f aca="false">HYPERLINK("http://dx.doi.org/10.1007/s12541-024-01044-1","http://dx.doi.org/10.1007/s12541-024-01044-1")</f>
        <v>http://dx.doi.org/10.1007/s12541-024-01044-1</v>
      </c>
      <c r="BG801" s="1"/>
      <c r="BH801" s="1" t="s">
        <v>2002</v>
      </c>
      <c r="BI801" s="1" t="n">
        <v>20</v>
      </c>
      <c r="BJ801" s="1" t="s">
        <v>14303</v>
      </c>
      <c r="BK801" s="1" t="s">
        <v>204</v>
      </c>
      <c r="BL801" s="1" t="s">
        <v>640</v>
      </c>
      <c r="BM801" s="1" t="s">
        <v>14304</v>
      </c>
      <c r="BN801" s="1"/>
      <c r="BO801" s="1"/>
      <c r="BP801" s="1"/>
      <c r="BQ801" s="1"/>
      <c r="BR801" s="1" t="s">
        <v>103</v>
      </c>
      <c r="BS801" s="1" t="s">
        <v>14305</v>
      </c>
      <c r="BT801" s="1" t="str">
        <f aca="false">HYPERLINK("https%3A%2F%2Fwww.webofscience.com%2Fwos%2Fwoscc%2Ffull-record%2FWOS:001235496100002","View Full Record in Web of Science")</f>
        <v>View Full Record in Web of Science</v>
      </c>
    </row>
    <row r="802" customFormat="false" ht="12.75" hidden="false" customHeight="false" outlineLevel="0" collapsed="false">
      <c r="A802" s="1" t="s">
        <v>181</v>
      </c>
      <c r="B802" s="1" t="s">
        <v>14306</v>
      </c>
      <c r="C802" s="1"/>
      <c r="D802" s="1"/>
      <c r="E802" s="1"/>
      <c r="F802" s="1" t="s">
        <v>14307</v>
      </c>
      <c r="G802" s="1"/>
      <c r="H802" s="1"/>
      <c r="I802" s="1" t="s">
        <v>14308</v>
      </c>
      <c r="J802" s="1" t="s">
        <v>14309</v>
      </c>
      <c r="K802" s="1"/>
      <c r="L802" s="1"/>
      <c r="M802" s="1" t="s">
        <v>78</v>
      </c>
      <c r="N802" s="1" t="s">
        <v>186</v>
      </c>
      <c r="O802" s="1"/>
      <c r="P802" s="1"/>
      <c r="Q802" s="1"/>
      <c r="R802" s="1"/>
      <c r="S802" s="1"/>
      <c r="T802" s="1" t="s">
        <v>14310</v>
      </c>
      <c r="U802" s="1" t="s">
        <v>14311</v>
      </c>
      <c r="V802" s="1" t="s">
        <v>14312</v>
      </c>
      <c r="W802" s="1" t="s">
        <v>14313</v>
      </c>
      <c r="X802" s="1" t="s">
        <v>14314</v>
      </c>
      <c r="Y802" s="1" t="s">
        <v>14315</v>
      </c>
      <c r="Z802" s="1" t="s">
        <v>14316</v>
      </c>
      <c r="AA802" s="1" t="s">
        <v>14317</v>
      </c>
      <c r="AB802" s="1" t="s">
        <v>14318</v>
      </c>
      <c r="AC802" s="1" t="s">
        <v>14319</v>
      </c>
      <c r="AD802" s="1" t="s">
        <v>14319</v>
      </c>
      <c r="AE802" s="1" t="s">
        <v>14320</v>
      </c>
      <c r="AF802" s="1"/>
      <c r="AG802" s="1" t="n">
        <v>68</v>
      </c>
      <c r="AH802" s="1" t="n">
        <v>15</v>
      </c>
      <c r="AI802" s="1" t="n">
        <v>15</v>
      </c>
      <c r="AJ802" s="1" t="n">
        <v>0</v>
      </c>
      <c r="AK802" s="1" t="n">
        <v>5</v>
      </c>
      <c r="AL802" s="1" t="s">
        <v>367</v>
      </c>
      <c r="AM802" s="1" t="s">
        <v>368</v>
      </c>
      <c r="AN802" s="1" t="s">
        <v>369</v>
      </c>
      <c r="AO802" s="1"/>
      <c r="AP802" s="1" t="s">
        <v>14321</v>
      </c>
      <c r="AQ802" s="1"/>
      <c r="AR802" s="1" t="s">
        <v>14309</v>
      </c>
      <c r="AS802" s="1" t="s">
        <v>14322</v>
      </c>
      <c r="AT802" s="1" t="s">
        <v>808</v>
      </c>
      <c r="AU802" s="1" t="n">
        <v>2022</v>
      </c>
      <c r="AV802" s="1" t="n">
        <v>12</v>
      </c>
      <c r="AW802" s="1" t="n">
        <v>7</v>
      </c>
      <c r="AX802" s="1"/>
      <c r="AY802" s="1"/>
      <c r="AZ802" s="1"/>
      <c r="BA802" s="1"/>
      <c r="BB802" s="1"/>
      <c r="BC802" s="1"/>
      <c r="BD802" s="1" t="n">
        <v>1097</v>
      </c>
      <c r="BE802" s="1" t="s">
        <v>14323</v>
      </c>
      <c r="BF802" s="1" t="str">
        <f aca="false">HYPERLINK("http://dx.doi.org/10.3390/life12071097","http://dx.doi.org/10.3390/life12071097")</f>
        <v>http://dx.doi.org/10.3390/life12071097</v>
      </c>
      <c r="BG802" s="1"/>
      <c r="BH802" s="1"/>
      <c r="BI802" s="1" t="n">
        <v>18</v>
      </c>
      <c r="BJ802" s="1" t="s">
        <v>14324</v>
      </c>
      <c r="BK802" s="1" t="s">
        <v>204</v>
      </c>
      <c r="BL802" s="1" t="s">
        <v>14325</v>
      </c>
      <c r="BM802" s="1" t="s">
        <v>14326</v>
      </c>
      <c r="BN802" s="1" t="n">
        <v>35888188</v>
      </c>
      <c r="BO802" s="1" t="s">
        <v>401</v>
      </c>
      <c r="BP802" s="1"/>
      <c r="BQ802" s="1"/>
      <c r="BR802" s="1" t="s">
        <v>103</v>
      </c>
      <c r="BS802" s="1" t="s">
        <v>14327</v>
      </c>
      <c r="BT802" s="1" t="str">
        <f aca="false">HYPERLINK("https%3A%2F%2Fwww.webofscience.com%2Fwos%2Fwoscc%2Ffull-record%2FWOS:000831806600001","View Full Record in Web of Science")</f>
        <v>View Full Record in Web of Science</v>
      </c>
    </row>
    <row r="803" customFormat="false" ht="12.75" hidden="false" customHeight="false" outlineLevel="0" collapsed="false">
      <c r="A803" s="1" t="s">
        <v>181</v>
      </c>
      <c r="B803" s="1" t="s">
        <v>14328</v>
      </c>
      <c r="C803" s="1"/>
      <c r="D803" s="1"/>
      <c r="E803" s="1"/>
      <c r="F803" s="1" t="s">
        <v>14329</v>
      </c>
      <c r="G803" s="1"/>
      <c r="H803" s="1"/>
      <c r="I803" s="1" t="s">
        <v>14330</v>
      </c>
      <c r="J803" s="1" t="s">
        <v>14331</v>
      </c>
      <c r="K803" s="1"/>
      <c r="L803" s="1"/>
      <c r="M803" s="1" t="s">
        <v>78</v>
      </c>
      <c r="N803" s="1" t="s">
        <v>186</v>
      </c>
      <c r="O803" s="1"/>
      <c r="P803" s="1"/>
      <c r="Q803" s="1"/>
      <c r="R803" s="1"/>
      <c r="S803" s="1"/>
      <c r="T803" s="1"/>
      <c r="U803" s="1"/>
      <c r="V803" s="1" t="s">
        <v>14332</v>
      </c>
      <c r="W803" s="1" t="s">
        <v>14333</v>
      </c>
      <c r="X803" s="1" t="s">
        <v>14334</v>
      </c>
      <c r="Y803" s="1" t="s">
        <v>2218</v>
      </c>
      <c r="Z803" s="1" t="s">
        <v>192</v>
      </c>
      <c r="AA803" s="1" t="s">
        <v>14335</v>
      </c>
      <c r="AB803" s="1" t="s">
        <v>14336</v>
      </c>
      <c r="AC803" s="1"/>
      <c r="AD803" s="1"/>
      <c r="AE803" s="1"/>
      <c r="AF803" s="1"/>
      <c r="AG803" s="1" t="n">
        <v>22</v>
      </c>
      <c r="AH803" s="1" t="n">
        <v>2</v>
      </c>
      <c r="AI803" s="1" t="n">
        <v>2</v>
      </c>
      <c r="AJ803" s="1" t="n">
        <v>0</v>
      </c>
      <c r="AK803" s="1" t="n">
        <v>6</v>
      </c>
      <c r="AL803" s="1" t="s">
        <v>600</v>
      </c>
      <c r="AM803" s="1" t="s">
        <v>601</v>
      </c>
      <c r="AN803" s="1" t="s">
        <v>602</v>
      </c>
      <c r="AO803" s="1" t="s">
        <v>14337</v>
      </c>
      <c r="AP803" s="1" t="s">
        <v>14338</v>
      </c>
      <c r="AQ803" s="1"/>
      <c r="AR803" s="1" t="s">
        <v>14339</v>
      </c>
      <c r="AS803" s="1" t="s">
        <v>14340</v>
      </c>
      <c r="AT803" s="1" t="s">
        <v>711</v>
      </c>
      <c r="AU803" s="1" t="n">
        <v>2021</v>
      </c>
      <c r="AV803" s="1" t="n">
        <v>15</v>
      </c>
      <c r="AW803" s="1" t="n">
        <v>8</v>
      </c>
      <c r="AX803" s="1"/>
      <c r="AY803" s="1"/>
      <c r="AZ803" s="1" t="s">
        <v>1698</v>
      </c>
      <c r="BA803" s="1"/>
      <c r="BB803" s="1" t="n">
        <v>817</v>
      </c>
      <c r="BC803" s="1" t="n">
        <v>826</v>
      </c>
      <c r="BD803" s="1"/>
      <c r="BE803" s="1" t="s">
        <v>14341</v>
      </c>
      <c r="BF803" s="1" t="str">
        <f aca="false">HYPERLINK("http://dx.doi.org/10.1049/rsn2.12058","http://dx.doi.org/10.1049/rsn2.12058")</f>
        <v>http://dx.doi.org/10.1049/rsn2.12058</v>
      </c>
      <c r="BG803" s="1"/>
      <c r="BH803" s="1" t="s">
        <v>8640</v>
      </c>
      <c r="BI803" s="1" t="n">
        <v>10</v>
      </c>
      <c r="BJ803" s="1" t="s">
        <v>153</v>
      </c>
      <c r="BK803" s="1" t="s">
        <v>204</v>
      </c>
      <c r="BL803" s="1" t="s">
        <v>154</v>
      </c>
      <c r="BM803" s="1" t="s">
        <v>14342</v>
      </c>
      <c r="BN803" s="1"/>
      <c r="BO803" s="1" t="s">
        <v>401</v>
      </c>
      <c r="BP803" s="1"/>
      <c r="BQ803" s="1"/>
      <c r="BR803" s="1" t="s">
        <v>103</v>
      </c>
      <c r="BS803" s="1" t="s">
        <v>14343</v>
      </c>
      <c r="BT803" s="1" t="str">
        <f aca="false">HYPERLINK("https%3A%2F%2Fwww.webofscience.com%2Fwos%2Fwoscc%2Ffull-record%2FWOS:000639367200001","View Full Record in Web of Science")</f>
        <v>View Full Record in Web of Science</v>
      </c>
    </row>
    <row r="804" customFormat="false" ht="12.75" hidden="false" customHeight="false" outlineLevel="0" collapsed="false">
      <c r="A804" s="1" t="s">
        <v>181</v>
      </c>
      <c r="B804" s="1" t="s">
        <v>14344</v>
      </c>
      <c r="C804" s="1"/>
      <c r="D804" s="1"/>
      <c r="E804" s="1"/>
      <c r="F804" s="1" t="s">
        <v>14345</v>
      </c>
      <c r="G804" s="1"/>
      <c r="H804" s="1"/>
      <c r="I804" s="1" t="s">
        <v>14346</v>
      </c>
      <c r="J804" s="1" t="s">
        <v>14347</v>
      </c>
      <c r="K804" s="1"/>
      <c r="L804" s="1"/>
      <c r="M804" s="1" t="s">
        <v>78</v>
      </c>
      <c r="N804" s="1" t="s">
        <v>186</v>
      </c>
      <c r="O804" s="1"/>
      <c r="P804" s="1"/>
      <c r="Q804" s="1"/>
      <c r="R804" s="1"/>
      <c r="S804" s="1"/>
      <c r="T804" s="1" t="s">
        <v>14348</v>
      </c>
      <c r="U804" s="1" t="s">
        <v>14349</v>
      </c>
      <c r="V804" s="1" t="s">
        <v>14350</v>
      </c>
      <c r="W804" s="1" t="s">
        <v>14351</v>
      </c>
      <c r="X804" s="1" t="s">
        <v>14352</v>
      </c>
      <c r="Y804" s="1" t="s">
        <v>843</v>
      </c>
      <c r="Z804" s="1" t="s">
        <v>14353</v>
      </c>
      <c r="AA804" s="1" t="s">
        <v>14354</v>
      </c>
      <c r="AB804" s="1" t="s">
        <v>14355</v>
      </c>
      <c r="AC804" s="1" t="s">
        <v>14356</v>
      </c>
      <c r="AD804" s="1" t="s">
        <v>14356</v>
      </c>
      <c r="AE804" s="1" t="s">
        <v>14357</v>
      </c>
      <c r="AF804" s="1"/>
      <c r="AG804" s="1" t="n">
        <v>58</v>
      </c>
      <c r="AH804" s="1" t="n">
        <v>7</v>
      </c>
      <c r="AI804" s="1" t="n">
        <v>9</v>
      </c>
      <c r="AJ804" s="1" t="n">
        <v>0</v>
      </c>
      <c r="AK804" s="1" t="n">
        <v>6</v>
      </c>
      <c r="AL804" s="1" t="s">
        <v>846</v>
      </c>
      <c r="AM804" s="1" t="s">
        <v>847</v>
      </c>
      <c r="AN804" s="1" t="s">
        <v>4588</v>
      </c>
      <c r="AO804" s="1"/>
      <c r="AP804" s="1" t="s">
        <v>14358</v>
      </c>
      <c r="AQ804" s="1"/>
      <c r="AR804" s="1" t="s">
        <v>14359</v>
      </c>
      <c r="AS804" s="1" t="s">
        <v>14360</v>
      </c>
      <c r="AT804" s="1" t="s">
        <v>474</v>
      </c>
      <c r="AU804" s="1" t="n">
        <v>2020</v>
      </c>
      <c r="AV804" s="1" t="n">
        <v>8</v>
      </c>
      <c r="AW804" s="1" t="n">
        <v>9</v>
      </c>
      <c r="AX804" s="1"/>
      <c r="AY804" s="1"/>
      <c r="AZ804" s="1"/>
      <c r="BA804" s="1"/>
      <c r="BB804" s="1"/>
      <c r="BC804" s="1"/>
      <c r="BD804" s="1" t="s">
        <v>14361</v>
      </c>
      <c r="BE804" s="1" t="s">
        <v>14362</v>
      </c>
      <c r="BF804" s="1" t="str">
        <f aca="false">HYPERLINK("http://dx.doi.org/10.2196/18846","http://dx.doi.org/10.2196/18846")</f>
        <v>http://dx.doi.org/10.2196/18846</v>
      </c>
      <c r="BG804" s="1"/>
      <c r="BH804" s="1"/>
      <c r="BI804" s="1" t="n">
        <v>17</v>
      </c>
      <c r="BJ804" s="1" t="s">
        <v>10652</v>
      </c>
      <c r="BK804" s="1" t="s">
        <v>204</v>
      </c>
      <c r="BL804" s="1" t="s">
        <v>10652</v>
      </c>
      <c r="BM804" s="1" t="s">
        <v>14363</v>
      </c>
      <c r="BN804" s="1" t="n">
        <v>32955457</v>
      </c>
      <c r="BO804" s="1" t="s">
        <v>9432</v>
      </c>
      <c r="BP804" s="1"/>
      <c r="BQ804" s="1"/>
      <c r="BR804" s="1" t="s">
        <v>103</v>
      </c>
      <c r="BS804" s="1" t="s">
        <v>14364</v>
      </c>
      <c r="BT804" s="1" t="str">
        <f aca="false">HYPERLINK("https%3A%2F%2Fwww.webofscience.com%2Fwos%2Fwoscc%2Ffull-record%2FWOS:000577388800006","View Full Record in Web of Science")</f>
        <v>View Full Record in Web of Science</v>
      </c>
    </row>
    <row r="805" customFormat="false" ht="12.75" hidden="false" customHeight="false" outlineLevel="0" collapsed="false">
      <c r="A805" s="1" t="s">
        <v>181</v>
      </c>
      <c r="B805" s="1" t="s">
        <v>14365</v>
      </c>
      <c r="C805" s="1"/>
      <c r="D805" s="1"/>
      <c r="E805" s="1"/>
      <c r="F805" s="1" t="s">
        <v>14366</v>
      </c>
      <c r="G805" s="1"/>
      <c r="H805" s="1"/>
      <c r="I805" s="1" t="s">
        <v>14367</v>
      </c>
      <c r="J805" s="1" t="s">
        <v>14368</v>
      </c>
      <c r="K805" s="1"/>
      <c r="L805" s="1"/>
      <c r="M805" s="1" t="s">
        <v>78</v>
      </c>
      <c r="N805" s="1" t="s">
        <v>186</v>
      </c>
      <c r="O805" s="1"/>
      <c r="P805" s="1"/>
      <c r="Q805" s="1"/>
      <c r="R805" s="1"/>
      <c r="S805" s="1"/>
      <c r="T805" s="1" t="s">
        <v>14369</v>
      </c>
      <c r="U805" s="1" t="s">
        <v>14370</v>
      </c>
      <c r="V805" s="1" t="s">
        <v>14371</v>
      </c>
      <c r="W805" s="1" t="s">
        <v>14372</v>
      </c>
      <c r="X805" s="1" t="s">
        <v>14373</v>
      </c>
      <c r="Y805" s="1" t="s">
        <v>14374</v>
      </c>
      <c r="Z805" s="1" t="s">
        <v>14375</v>
      </c>
      <c r="AA805" s="1" t="s">
        <v>14376</v>
      </c>
      <c r="AB805" s="1" t="s">
        <v>14377</v>
      </c>
      <c r="AC805" s="1"/>
      <c r="AD805" s="1"/>
      <c r="AE805" s="1"/>
      <c r="AF805" s="1"/>
      <c r="AG805" s="1" t="n">
        <v>33</v>
      </c>
      <c r="AH805" s="1" t="n">
        <v>0</v>
      </c>
      <c r="AI805" s="1" t="n">
        <v>0</v>
      </c>
      <c r="AJ805" s="1" t="n">
        <v>0</v>
      </c>
      <c r="AK805" s="1" t="n">
        <v>5</v>
      </c>
      <c r="AL805" s="1" t="s">
        <v>600</v>
      </c>
      <c r="AM805" s="1" t="s">
        <v>601</v>
      </c>
      <c r="AN805" s="1" t="s">
        <v>602</v>
      </c>
      <c r="AO805" s="1" t="s">
        <v>14378</v>
      </c>
      <c r="AP805" s="1" t="s">
        <v>14379</v>
      </c>
      <c r="AQ805" s="1"/>
      <c r="AR805" s="1" t="s">
        <v>14380</v>
      </c>
      <c r="AS805" s="1" t="s">
        <v>14381</v>
      </c>
      <c r="AT805" s="1" t="s">
        <v>711</v>
      </c>
      <c r="AU805" s="1" t="n">
        <v>2021</v>
      </c>
      <c r="AV805" s="1" t="n">
        <v>110</v>
      </c>
      <c r="AW805" s="1" t="n">
        <v>8</v>
      </c>
      <c r="AX805" s="1"/>
      <c r="AY805" s="1"/>
      <c r="AZ805" s="1"/>
      <c r="BA805" s="1"/>
      <c r="BB805" s="1" t="n">
        <v>2415</v>
      </c>
      <c r="BC805" s="1" t="n">
        <v>2423</v>
      </c>
      <c r="BD805" s="1"/>
      <c r="BE805" s="1" t="s">
        <v>14382</v>
      </c>
      <c r="BF805" s="1" t="str">
        <f aca="false">HYPERLINK("http://dx.doi.org/10.1111/apa.15876","http://dx.doi.org/10.1111/apa.15876")</f>
        <v>http://dx.doi.org/10.1111/apa.15876</v>
      </c>
      <c r="BG805" s="1"/>
      <c r="BH805" s="1" t="s">
        <v>1970</v>
      </c>
      <c r="BI805" s="1" t="n">
        <v>9</v>
      </c>
      <c r="BJ805" s="1" t="s">
        <v>14383</v>
      </c>
      <c r="BK805" s="1" t="s">
        <v>398</v>
      </c>
      <c r="BL805" s="1" t="s">
        <v>14383</v>
      </c>
      <c r="BM805" s="1" t="s">
        <v>14384</v>
      </c>
      <c r="BN805" s="1" t="n">
        <v>33851425</v>
      </c>
      <c r="BO805" s="1" t="s">
        <v>612</v>
      </c>
      <c r="BP805" s="1"/>
      <c r="BQ805" s="1"/>
      <c r="BR805" s="1" t="s">
        <v>103</v>
      </c>
      <c r="BS805" s="1" t="s">
        <v>14385</v>
      </c>
      <c r="BT805" s="1" t="str">
        <f aca="false">HYPERLINK("https%3A%2F%2Fwww.webofscience.com%2Fwos%2Fwoscc%2Ffull-record%2FWOS:000647938300001","View Full Record in Web of Science")</f>
        <v>View Full Record in Web of Science</v>
      </c>
    </row>
    <row r="806" customFormat="false" ht="12.75" hidden="false" customHeight="false" outlineLevel="0" collapsed="false">
      <c r="A806" s="1" t="s">
        <v>181</v>
      </c>
      <c r="B806" s="1" t="s">
        <v>14386</v>
      </c>
      <c r="C806" s="1"/>
      <c r="D806" s="1"/>
      <c r="E806" s="1"/>
      <c r="F806" s="1" t="s">
        <v>14387</v>
      </c>
      <c r="G806" s="1"/>
      <c r="H806" s="1"/>
      <c r="I806" s="1" t="s">
        <v>14388</v>
      </c>
      <c r="J806" s="1" t="s">
        <v>743</v>
      </c>
      <c r="K806" s="1"/>
      <c r="L806" s="1"/>
      <c r="M806" s="1" t="s">
        <v>78</v>
      </c>
      <c r="N806" s="1" t="s">
        <v>618</v>
      </c>
      <c r="O806" s="1"/>
      <c r="P806" s="1"/>
      <c r="Q806" s="1"/>
      <c r="R806" s="1"/>
      <c r="S806" s="1"/>
      <c r="T806" s="1" t="s">
        <v>14389</v>
      </c>
      <c r="U806" s="1" t="s">
        <v>14390</v>
      </c>
      <c r="V806" s="1" t="s">
        <v>14391</v>
      </c>
      <c r="W806" s="1" t="s">
        <v>14392</v>
      </c>
      <c r="X806" s="1" t="s">
        <v>14393</v>
      </c>
      <c r="Y806" s="1" t="s">
        <v>6959</v>
      </c>
      <c r="Z806" s="1" t="s">
        <v>14394</v>
      </c>
      <c r="AA806" s="1" t="s">
        <v>14395</v>
      </c>
      <c r="AB806" s="1" t="s">
        <v>14396</v>
      </c>
      <c r="AC806" s="1"/>
      <c r="AD806" s="1"/>
      <c r="AE806" s="1"/>
      <c r="AF806" s="1"/>
      <c r="AG806" s="1" t="n">
        <v>284</v>
      </c>
      <c r="AH806" s="1" t="n">
        <v>3</v>
      </c>
      <c r="AI806" s="1" t="n">
        <v>3</v>
      </c>
      <c r="AJ806" s="1" t="n">
        <v>21</v>
      </c>
      <c r="AK806" s="1" t="n">
        <v>21</v>
      </c>
      <c r="AL806" s="1" t="s">
        <v>367</v>
      </c>
      <c r="AM806" s="1" t="s">
        <v>368</v>
      </c>
      <c r="AN806" s="1" t="s">
        <v>8771</v>
      </c>
      <c r="AO806" s="1" t="s">
        <v>751</v>
      </c>
      <c r="AP806" s="1"/>
      <c r="AQ806" s="1"/>
      <c r="AR806" s="1" t="s">
        <v>752</v>
      </c>
      <c r="AS806" s="1" t="s">
        <v>753</v>
      </c>
      <c r="AT806" s="1" t="s">
        <v>372</v>
      </c>
      <c r="AU806" s="1" t="n">
        <v>2024</v>
      </c>
      <c r="AV806" s="1" t="n">
        <v>13</v>
      </c>
      <c r="AW806" s="1" t="n">
        <v>24</v>
      </c>
      <c r="AX806" s="1"/>
      <c r="AY806" s="1"/>
      <c r="AZ806" s="1"/>
      <c r="BA806" s="1"/>
      <c r="BB806" s="1"/>
      <c r="BC806" s="1"/>
      <c r="BD806" s="1" t="n">
        <v>4874</v>
      </c>
      <c r="BE806" s="1" t="s">
        <v>14397</v>
      </c>
      <c r="BF806" s="1" t="str">
        <f aca="false">HYPERLINK("http://dx.doi.org/10.3390/electronics13244874","http://dx.doi.org/10.3390/electronics13244874")</f>
        <v>http://dx.doi.org/10.3390/electronics13244874</v>
      </c>
      <c r="BG806" s="1"/>
      <c r="BH806" s="1"/>
      <c r="BI806" s="1" t="n">
        <v>44</v>
      </c>
      <c r="BJ806" s="1" t="s">
        <v>756</v>
      </c>
      <c r="BK806" s="1" t="s">
        <v>204</v>
      </c>
      <c r="BL806" s="1" t="s">
        <v>757</v>
      </c>
      <c r="BM806" s="1" t="s">
        <v>14398</v>
      </c>
      <c r="BN806" s="1"/>
      <c r="BO806" s="1" t="s">
        <v>642</v>
      </c>
      <c r="BP806" s="1"/>
      <c r="BQ806" s="1"/>
      <c r="BR806" s="1" t="s">
        <v>103</v>
      </c>
      <c r="BS806" s="1" t="s">
        <v>14399</v>
      </c>
      <c r="BT806" s="1" t="str">
        <f aca="false">HYPERLINK("https%3A%2F%2Fwww.webofscience.com%2Fwos%2Fwoscc%2Ffull-record%2FWOS:001386778700001","View Full Record in Web of Science")</f>
        <v>View Full Record in Web of Science</v>
      </c>
    </row>
    <row r="807" customFormat="false" ht="12.75" hidden="false" customHeight="false" outlineLevel="0" collapsed="false">
      <c r="A807" s="1" t="s">
        <v>181</v>
      </c>
      <c r="B807" s="1" t="s">
        <v>14400</v>
      </c>
      <c r="C807" s="1"/>
      <c r="D807" s="1"/>
      <c r="E807" s="1"/>
      <c r="F807" s="1" t="s">
        <v>14401</v>
      </c>
      <c r="G807" s="1"/>
      <c r="H807" s="1"/>
      <c r="I807" s="1" t="s">
        <v>14402</v>
      </c>
      <c r="J807" s="1" t="s">
        <v>14403</v>
      </c>
      <c r="K807" s="1"/>
      <c r="L807" s="1"/>
      <c r="M807" s="1" t="s">
        <v>78</v>
      </c>
      <c r="N807" s="1" t="s">
        <v>186</v>
      </c>
      <c r="O807" s="1"/>
      <c r="P807" s="1"/>
      <c r="Q807" s="1"/>
      <c r="R807" s="1"/>
      <c r="S807" s="1"/>
      <c r="T807" s="1" t="s">
        <v>14404</v>
      </c>
      <c r="U807" s="1" t="s">
        <v>14405</v>
      </c>
      <c r="V807" s="1" t="s">
        <v>14406</v>
      </c>
      <c r="W807" s="1" t="s">
        <v>14407</v>
      </c>
      <c r="X807" s="1" t="s">
        <v>14408</v>
      </c>
      <c r="Y807" s="1" t="s">
        <v>7729</v>
      </c>
      <c r="Z807" s="1" t="s">
        <v>10093</v>
      </c>
      <c r="AA807" s="1" t="s">
        <v>14409</v>
      </c>
      <c r="AB807" s="1"/>
      <c r="AC807" s="1" t="s">
        <v>14410</v>
      </c>
      <c r="AD807" s="1" t="s">
        <v>14411</v>
      </c>
      <c r="AE807" s="1" t="s">
        <v>14412</v>
      </c>
      <c r="AF807" s="1"/>
      <c r="AG807" s="1" t="n">
        <v>34</v>
      </c>
      <c r="AH807" s="1" t="n">
        <v>0</v>
      </c>
      <c r="AI807" s="1" t="n">
        <v>0</v>
      </c>
      <c r="AJ807" s="1" t="n">
        <v>7</v>
      </c>
      <c r="AK807" s="1" t="n">
        <v>13</v>
      </c>
      <c r="AL807" s="1" t="s">
        <v>3711</v>
      </c>
      <c r="AM807" s="1" t="s">
        <v>95</v>
      </c>
      <c r="AN807" s="1" t="s">
        <v>3712</v>
      </c>
      <c r="AO807" s="1" t="s">
        <v>14413</v>
      </c>
      <c r="AP807" s="1" t="s">
        <v>14414</v>
      </c>
      <c r="AQ807" s="1"/>
      <c r="AR807" s="1" t="s">
        <v>14415</v>
      </c>
      <c r="AS807" s="1" t="s">
        <v>14416</v>
      </c>
      <c r="AT807" s="1" t="s">
        <v>711</v>
      </c>
      <c r="AU807" s="1" t="n">
        <v>2024</v>
      </c>
      <c r="AV807" s="1" t="n">
        <v>214</v>
      </c>
      <c r="AW807" s="1"/>
      <c r="AX807" s="1"/>
      <c r="AY807" s="1"/>
      <c r="AZ807" s="1"/>
      <c r="BA807" s="1"/>
      <c r="BB807" s="1"/>
      <c r="BC807" s="1"/>
      <c r="BD807" s="1" t="n">
        <v>114063</v>
      </c>
      <c r="BE807" s="1" t="s">
        <v>14417</v>
      </c>
      <c r="BF807" s="1" t="str">
        <f aca="false">HYPERLINK("http://dx.doi.org/10.1016/j.matchar.2024.114063","http://dx.doi.org/10.1016/j.matchar.2024.114063")</f>
        <v>http://dx.doi.org/10.1016/j.matchar.2024.114063</v>
      </c>
      <c r="BG807" s="1"/>
      <c r="BH807" s="1" t="s">
        <v>1658</v>
      </c>
      <c r="BI807" s="1" t="n">
        <v>11</v>
      </c>
      <c r="BJ807" s="1" t="s">
        <v>14418</v>
      </c>
      <c r="BK807" s="1" t="s">
        <v>204</v>
      </c>
      <c r="BL807" s="1" t="s">
        <v>7778</v>
      </c>
      <c r="BM807" s="1" t="s">
        <v>14419</v>
      </c>
      <c r="BN807" s="1"/>
      <c r="BO807" s="1"/>
      <c r="BP807" s="1"/>
      <c r="BQ807" s="1"/>
      <c r="BR807" s="1" t="s">
        <v>103</v>
      </c>
      <c r="BS807" s="1" t="s">
        <v>14420</v>
      </c>
      <c r="BT807" s="1" t="str">
        <f aca="false">HYPERLINK("https%3A%2F%2Fwww.webofscience.com%2Fwos%2Fwoscc%2Ffull-record%2FWOS:001257620800001","View Full Record in Web of Science")</f>
        <v>View Full Record in Web of Science</v>
      </c>
    </row>
    <row r="808" customFormat="false" ht="12.75" hidden="false" customHeight="false" outlineLevel="0" collapsed="false">
      <c r="A808" s="1" t="s">
        <v>181</v>
      </c>
      <c r="B808" s="1" t="s">
        <v>14421</v>
      </c>
      <c r="C808" s="1"/>
      <c r="D808" s="1"/>
      <c r="E808" s="1"/>
      <c r="F808" s="1" t="s">
        <v>14422</v>
      </c>
      <c r="G808" s="1"/>
      <c r="H808" s="1"/>
      <c r="I808" s="1" t="s">
        <v>14423</v>
      </c>
      <c r="J808" s="1" t="s">
        <v>14424</v>
      </c>
      <c r="K808" s="1"/>
      <c r="L808" s="1"/>
      <c r="M808" s="1" t="s">
        <v>78</v>
      </c>
      <c r="N808" s="1" t="s">
        <v>186</v>
      </c>
      <c r="O808" s="1"/>
      <c r="P808" s="1"/>
      <c r="Q808" s="1"/>
      <c r="R808" s="1"/>
      <c r="S808" s="1"/>
      <c r="T808" s="1" t="s">
        <v>14425</v>
      </c>
      <c r="U808" s="1" t="s">
        <v>14426</v>
      </c>
      <c r="V808" s="1" t="s">
        <v>14427</v>
      </c>
      <c r="W808" s="1" t="s">
        <v>14428</v>
      </c>
      <c r="X808" s="1" t="s">
        <v>14429</v>
      </c>
      <c r="Y808" s="1" t="s">
        <v>14430</v>
      </c>
      <c r="Z808" s="1" t="s">
        <v>14431</v>
      </c>
      <c r="AA808" s="1" t="s">
        <v>14432</v>
      </c>
      <c r="AB808" s="1" t="s">
        <v>14433</v>
      </c>
      <c r="AC808" s="1" t="s">
        <v>14434</v>
      </c>
      <c r="AD808" s="1" t="s">
        <v>14435</v>
      </c>
      <c r="AE808" s="1" t="s">
        <v>14436</v>
      </c>
      <c r="AF808" s="1"/>
      <c r="AG808" s="1" t="n">
        <v>78</v>
      </c>
      <c r="AH808" s="1" t="n">
        <v>15</v>
      </c>
      <c r="AI808" s="1" t="n">
        <v>16</v>
      </c>
      <c r="AJ808" s="1" t="n">
        <v>4</v>
      </c>
      <c r="AK808" s="1" t="n">
        <v>17</v>
      </c>
      <c r="AL808" s="1" t="s">
        <v>1651</v>
      </c>
      <c r="AM808" s="1" t="s">
        <v>1026</v>
      </c>
      <c r="AN808" s="1" t="s">
        <v>1652</v>
      </c>
      <c r="AO808" s="1" t="s">
        <v>14437</v>
      </c>
      <c r="AP808" s="1" t="s">
        <v>14438</v>
      </c>
      <c r="AQ808" s="1"/>
      <c r="AR808" s="1" t="s">
        <v>14439</v>
      </c>
      <c r="AS808" s="1" t="s">
        <v>14440</v>
      </c>
      <c r="AT808" s="1" t="s">
        <v>14441</v>
      </c>
      <c r="AU808" s="1" t="n">
        <v>2022</v>
      </c>
      <c r="AV808" s="1" t="n">
        <v>230</v>
      </c>
      <c r="AW808" s="1"/>
      <c r="AX808" s="1"/>
      <c r="AY808" s="1"/>
      <c r="AZ808" s="1"/>
      <c r="BA808" s="1"/>
      <c r="BB808" s="1"/>
      <c r="BC808" s="1"/>
      <c r="BD808" s="1" t="n">
        <v>107549</v>
      </c>
      <c r="BE808" s="1" t="s">
        <v>14442</v>
      </c>
      <c r="BF808" s="1" t="str">
        <f aca="false">HYPERLINK("http://dx.doi.org/10.1016/j.ijmecsci.2022.107549","http://dx.doi.org/10.1016/j.ijmecsci.2022.107549")</f>
        <v>http://dx.doi.org/10.1016/j.ijmecsci.2022.107549</v>
      </c>
      <c r="BG808" s="1"/>
      <c r="BH808" s="1" t="s">
        <v>967</v>
      </c>
      <c r="BI808" s="1" t="n">
        <v>17</v>
      </c>
      <c r="BJ808" s="1" t="s">
        <v>14443</v>
      </c>
      <c r="BK808" s="1" t="s">
        <v>204</v>
      </c>
      <c r="BL808" s="1" t="s">
        <v>7742</v>
      </c>
      <c r="BM808" s="1" t="s">
        <v>14444</v>
      </c>
      <c r="BN808" s="1"/>
      <c r="BO808" s="1"/>
      <c r="BP808" s="1"/>
      <c r="BQ808" s="1"/>
      <c r="BR808" s="1" t="s">
        <v>103</v>
      </c>
      <c r="BS808" s="1" t="s">
        <v>14445</v>
      </c>
      <c r="BT808" s="1" t="str">
        <f aca="false">HYPERLINK("https%3A%2F%2Fwww.webofscience.com%2Fwos%2Fwoscc%2Ffull-record%2FWOS:000891311600001","View Full Record in Web of Science")</f>
        <v>View Full Record in Web of Science</v>
      </c>
    </row>
    <row r="809" customFormat="false" ht="12.75" hidden="false" customHeight="false" outlineLevel="0" collapsed="false">
      <c r="A809" s="1" t="s">
        <v>181</v>
      </c>
      <c r="B809" s="1" t="s">
        <v>14446</v>
      </c>
      <c r="C809" s="1"/>
      <c r="D809" s="1"/>
      <c r="E809" s="1"/>
      <c r="F809" s="1" t="s">
        <v>14447</v>
      </c>
      <c r="G809" s="1"/>
      <c r="H809" s="1"/>
      <c r="I809" s="1" t="s">
        <v>14448</v>
      </c>
      <c r="J809" s="1" t="s">
        <v>14449</v>
      </c>
      <c r="K809" s="1"/>
      <c r="L809" s="1"/>
      <c r="M809" s="1" t="s">
        <v>78</v>
      </c>
      <c r="N809" s="1" t="s">
        <v>186</v>
      </c>
      <c r="O809" s="1"/>
      <c r="P809" s="1"/>
      <c r="Q809" s="1"/>
      <c r="R809" s="1"/>
      <c r="S809" s="1"/>
      <c r="T809" s="1" t="s">
        <v>14450</v>
      </c>
      <c r="U809" s="1" t="s">
        <v>14451</v>
      </c>
      <c r="V809" s="1" t="s">
        <v>14452</v>
      </c>
      <c r="W809" s="1" t="s">
        <v>14453</v>
      </c>
      <c r="X809" s="1" t="s">
        <v>14454</v>
      </c>
      <c r="Y809" s="1" t="s">
        <v>14455</v>
      </c>
      <c r="Z809" s="1" t="s">
        <v>14456</v>
      </c>
      <c r="AA809" s="1"/>
      <c r="AB809" s="1" t="s">
        <v>14457</v>
      </c>
      <c r="AC809" s="1"/>
      <c r="AD809" s="1"/>
      <c r="AE809" s="1"/>
      <c r="AF809" s="1"/>
      <c r="AG809" s="1" t="n">
        <v>38</v>
      </c>
      <c r="AH809" s="1" t="n">
        <v>6</v>
      </c>
      <c r="AI809" s="1" t="n">
        <v>6</v>
      </c>
      <c r="AJ809" s="1" t="n">
        <v>2</v>
      </c>
      <c r="AK809" s="1" t="n">
        <v>9</v>
      </c>
      <c r="AL809" s="1" t="s">
        <v>14458</v>
      </c>
      <c r="AM809" s="1" t="s">
        <v>7465</v>
      </c>
      <c r="AN809" s="1" t="s">
        <v>14459</v>
      </c>
      <c r="AO809" s="1" t="s">
        <v>14460</v>
      </c>
      <c r="AP809" s="1" t="s">
        <v>14461</v>
      </c>
      <c r="AQ809" s="1"/>
      <c r="AR809" s="1" t="s">
        <v>14449</v>
      </c>
      <c r="AS809" s="1" t="s">
        <v>14462</v>
      </c>
      <c r="AT809" s="1" t="s">
        <v>1391</v>
      </c>
      <c r="AU809" s="1" t="n">
        <v>2023</v>
      </c>
      <c r="AV809" s="1" t="n">
        <v>42</v>
      </c>
      <c r="AW809" s="1" t="n">
        <v>11</v>
      </c>
      <c r="AX809" s="1"/>
      <c r="AY809" s="1"/>
      <c r="AZ809" s="1"/>
      <c r="BA809" s="1"/>
      <c r="BB809" s="1" t="n">
        <v>3780</v>
      </c>
      <c r="BC809" s="1" t="n">
        <v>3786</v>
      </c>
      <c r="BD809" s="1"/>
      <c r="BE809" s="1" t="s">
        <v>14463</v>
      </c>
      <c r="BF809" s="1" t="str">
        <f aca="false">HYPERLINK("http://dx.doi.org/10.1007/s12598-019-01290-7","http://dx.doi.org/10.1007/s12598-019-01290-7")</f>
        <v>http://dx.doi.org/10.1007/s12598-019-01290-7</v>
      </c>
      <c r="BG809" s="1"/>
      <c r="BH809" s="1"/>
      <c r="BI809" s="1" t="n">
        <v>7</v>
      </c>
      <c r="BJ809" s="1" t="s">
        <v>7777</v>
      </c>
      <c r="BK809" s="1" t="s">
        <v>204</v>
      </c>
      <c r="BL809" s="1" t="s">
        <v>7778</v>
      </c>
      <c r="BM809" s="1" t="s">
        <v>14464</v>
      </c>
      <c r="BN809" s="1"/>
      <c r="BO809" s="1"/>
      <c r="BP809" s="1"/>
      <c r="BQ809" s="1"/>
      <c r="BR809" s="1" t="s">
        <v>103</v>
      </c>
      <c r="BS809" s="1" t="s">
        <v>14465</v>
      </c>
      <c r="BT809" s="1" t="str">
        <f aca="false">HYPERLINK("https%3A%2F%2Fwww.webofscience.com%2Fwos%2Fwoscc%2Ffull-record%2FWOS:001091451800020","View Full Record in Web of Science")</f>
        <v>View Full Record in Web of Science</v>
      </c>
    </row>
    <row r="810" customFormat="false" ht="12.75" hidden="false" customHeight="false" outlineLevel="0" collapsed="false">
      <c r="A810" s="1" t="s">
        <v>181</v>
      </c>
      <c r="B810" s="1" t="s">
        <v>14466</v>
      </c>
      <c r="C810" s="1"/>
      <c r="D810" s="1"/>
      <c r="E810" s="1"/>
      <c r="F810" s="1" t="s">
        <v>14467</v>
      </c>
      <c r="G810" s="1"/>
      <c r="H810" s="1"/>
      <c r="I810" s="1" t="s">
        <v>14468</v>
      </c>
      <c r="J810" s="1" t="s">
        <v>1378</v>
      </c>
      <c r="K810" s="1"/>
      <c r="L810" s="1"/>
      <c r="M810" s="1" t="s">
        <v>78</v>
      </c>
      <c r="N810" s="1" t="s">
        <v>186</v>
      </c>
      <c r="O810" s="1"/>
      <c r="P810" s="1"/>
      <c r="Q810" s="1"/>
      <c r="R810" s="1"/>
      <c r="S810" s="1"/>
      <c r="T810" s="1" t="s">
        <v>14469</v>
      </c>
      <c r="U810" s="1" t="s">
        <v>14470</v>
      </c>
      <c r="V810" s="1" t="s">
        <v>14471</v>
      </c>
      <c r="W810" s="1" t="s">
        <v>14472</v>
      </c>
      <c r="X810" s="1" t="s">
        <v>14473</v>
      </c>
      <c r="Y810" s="1" t="s">
        <v>14474</v>
      </c>
      <c r="Z810" s="1" t="s">
        <v>14475</v>
      </c>
      <c r="AA810" s="1" t="s">
        <v>14476</v>
      </c>
      <c r="AB810" s="1" t="s">
        <v>11063</v>
      </c>
      <c r="AC810" s="1"/>
      <c r="AD810" s="1"/>
      <c r="AE810" s="1"/>
      <c r="AF810" s="1"/>
      <c r="AG810" s="1" t="n">
        <v>45</v>
      </c>
      <c r="AH810" s="1" t="n">
        <v>2</v>
      </c>
      <c r="AI810" s="1" t="n">
        <v>2</v>
      </c>
      <c r="AJ810" s="1" t="n">
        <v>0</v>
      </c>
      <c r="AK810" s="1" t="n">
        <v>5</v>
      </c>
      <c r="AL810" s="1" t="s">
        <v>893</v>
      </c>
      <c r="AM810" s="1" t="s">
        <v>894</v>
      </c>
      <c r="AN810" s="1" t="s">
        <v>895</v>
      </c>
      <c r="AO810" s="1" t="s">
        <v>1387</v>
      </c>
      <c r="AP810" s="1" t="s">
        <v>1388</v>
      </c>
      <c r="AQ810" s="1"/>
      <c r="AR810" s="1" t="s">
        <v>1389</v>
      </c>
      <c r="AS810" s="1" t="s">
        <v>1390</v>
      </c>
      <c r="AT810" s="1" t="s">
        <v>754</v>
      </c>
      <c r="AU810" s="1" t="n">
        <v>2020</v>
      </c>
      <c r="AV810" s="1" t="n">
        <v>121</v>
      </c>
      <c r="AW810" s="1"/>
      <c r="AX810" s="1"/>
      <c r="AY810" s="1"/>
      <c r="AZ810" s="1"/>
      <c r="BA810" s="1"/>
      <c r="BB810" s="1"/>
      <c r="BC810" s="1"/>
      <c r="BD810" s="1" t="n">
        <v>106253</v>
      </c>
      <c r="BE810" s="1" t="s">
        <v>14477</v>
      </c>
      <c r="BF810" s="1" t="str">
        <f aca="false">HYPERLINK("http://dx.doi.org/10.1016/j.infsof.2019.106253","http://dx.doi.org/10.1016/j.infsof.2019.106253")</f>
        <v>http://dx.doi.org/10.1016/j.infsof.2019.106253</v>
      </c>
      <c r="BG810" s="1"/>
      <c r="BH810" s="1"/>
      <c r="BI810" s="1" t="n">
        <v>15</v>
      </c>
      <c r="BJ810" s="1" t="s">
        <v>1394</v>
      </c>
      <c r="BK810" s="1" t="s">
        <v>204</v>
      </c>
      <c r="BL810" s="1" t="s">
        <v>101</v>
      </c>
      <c r="BM810" s="1" t="s">
        <v>14478</v>
      </c>
      <c r="BN810" s="1"/>
      <c r="BO810" s="1" t="s">
        <v>227</v>
      </c>
      <c r="BP810" s="1"/>
      <c r="BQ810" s="1"/>
      <c r="BR810" s="1" t="s">
        <v>103</v>
      </c>
      <c r="BS810" s="1" t="s">
        <v>14479</v>
      </c>
      <c r="BT810" s="1" t="str">
        <f aca="false">HYPERLINK("https%3A%2F%2Fwww.webofscience.com%2Fwos%2Fwoscc%2Ffull-record%2FWOS:000518706200005","View Full Record in Web of Science")</f>
        <v>View Full Record in Web of Science</v>
      </c>
    </row>
    <row r="811" customFormat="false" ht="12.75" hidden="false" customHeight="false" outlineLevel="0" collapsed="false">
      <c r="A811" s="1" t="s">
        <v>181</v>
      </c>
      <c r="B811" s="1" t="s">
        <v>12169</v>
      </c>
      <c r="C811" s="1"/>
      <c r="D811" s="1"/>
      <c r="E811" s="1"/>
      <c r="F811" s="1" t="s">
        <v>12170</v>
      </c>
      <c r="G811" s="1"/>
      <c r="H811" s="1"/>
      <c r="I811" s="1" t="s">
        <v>14480</v>
      </c>
      <c r="J811" s="1" t="s">
        <v>14481</v>
      </c>
      <c r="K811" s="1"/>
      <c r="L811" s="1"/>
      <c r="M811" s="1" t="s">
        <v>78</v>
      </c>
      <c r="N811" s="1" t="s">
        <v>186</v>
      </c>
      <c r="O811" s="1"/>
      <c r="P811" s="1"/>
      <c r="Q811" s="1"/>
      <c r="R811" s="1"/>
      <c r="S811" s="1"/>
      <c r="T811" s="1" t="s">
        <v>14482</v>
      </c>
      <c r="U811" s="1" t="s">
        <v>14483</v>
      </c>
      <c r="V811" s="1" t="s">
        <v>14484</v>
      </c>
      <c r="W811" s="1" t="s">
        <v>14485</v>
      </c>
      <c r="X811" s="1" t="s">
        <v>14486</v>
      </c>
      <c r="Y811" s="1" t="s">
        <v>14487</v>
      </c>
      <c r="Z811" s="1" t="s">
        <v>14488</v>
      </c>
      <c r="AA811" s="1" t="s">
        <v>14489</v>
      </c>
      <c r="AB811" s="1" t="s">
        <v>14490</v>
      </c>
      <c r="AC811" s="1"/>
      <c r="AD811" s="1"/>
      <c r="AE811" s="1"/>
      <c r="AF811" s="1"/>
      <c r="AG811" s="1" t="n">
        <v>64</v>
      </c>
      <c r="AH811" s="1" t="n">
        <v>2</v>
      </c>
      <c r="AI811" s="1" t="n">
        <v>2</v>
      </c>
      <c r="AJ811" s="1" t="n">
        <v>7</v>
      </c>
      <c r="AK811" s="1" t="n">
        <v>24</v>
      </c>
      <c r="AL811" s="1" t="s">
        <v>1220</v>
      </c>
      <c r="AM811" s="1" t="s">
        <v>1221</v>
      </c>
      <c r="AN811" s="1" t="s">
        <v>1222</v>
      </c>
      <c r="AO811" s="1" t="s">
        <v>14491</v>
      </c>
      <c r="AP811" s="1" t="s">
        <v>14492</v>
      </c>
      <c r="AQ811" s="1"/>
      <c r="AR811" s="1" t="s">
        <v>14493</v>
      </c>
      <c r="AS811" s="1" t="s">
        <v>14494</v>
      </c>
      <c r="AT811" s="1" t="s">
        <v>2554</v>
      </c>
      <c r="AU811" s="1" t="n">
        <v>2023</v>
      </c>
      <c r="AV811" s="1" t="n">
        <v>30</v>
      </c>
      <c r="AW811" s="1" t="n">
        <v>1</v>
      </c>
      <c r="AX811" s="1"/>
      <c r="AY811" s="1"/>
      <c r="AZ811" s="1" t="s">
        <v>1698</v>
      </c>
      <c r="BA811" s="1"/>
      <c r="BB811" s="1" t="n">
        <v>17</v>
      </c>
      <c r="BC811" s="1" t="n">
        <v>41</v>
      </c>
      <c r="BD811" s="1"/>
      <c r="BE811" s="1" t="s">
        <v>14495</v>
      </c>
      <c r="BF811" s="1" t="str">
        <f aca="false">HYPERLINK("http://dx.doi.org/10.1080/13662716.2022.2112396","http://dx.doi.org/10.1080/13662716.2022.2112396")</f>
        <v>http://dx.doi.org/10.1080/13662716.2022.2112396</v>
      </c>
      <c r="BG811" s="1"/>
      <c r="BH811" s="1" t="s">
        <v>967</v>
      </c>
      <c r="BI811" s="1" t="n">
        <v>25</v>
      </c>
      <c r="BJ811" s="1" t="s">
        <v>14199</v>
      </c>
      <c r="BK811" s="1" t="s">
        <v>610</v>
      </c>
      <c r="BL811" s="1" t="s">
        <v>715</v>
      </c>
      <c r="BM811" s="1" t="s">
        <v>14496</v>
      </c>
      <c r="BN811" s="1"/>
      <c r="BO811" s="1" t="s">
        <v>612</v>
      </c>
      <c r="BP811" s="1"/>
      <c r="BQ811" s="1"/>
      <c r="BR811" s="1" t="s">
        <v>103</v>
      </c>
      <c r="BS811" s="1" t="s">
        <v>14497</v>
      </c>
      <c r="BT811" s="1" t="str">
        <f aca="false">HYPERLINK("https%3A%2F%2Fwww.webofscience.com%2Fwos%2Fwoscc%2Ffull-record%2FWOS:000844982300001","View Full Record in Web of Science")</f>
        <v>View Full Record in Web of Science</v>
      </c>
    </row>
    <row r="812" customFormat="false" ht="12.75" hidden="false" customHeight="false" outlineLevel="0" collapsed="false">
      <c r="A812" s="1" t="s">
        <v>181</v>
      </c>
      <c r="B812" s="1" t="s">
        <v>14498</v>
      </c>
      <c r="C812" s="1"/>
      <c r="D812" s="1"/>
      <c r="E812" s="1"/>
      <c r="F812" s="1" t="s">
        <v>14499</v>
      </c>
      <c r="G812" s="1"/>
      <c r="H812" s="1"/>
      <c r="I812" s="1" t="s">
        <v>14500</v>
      </c>
      <c r="J812" s="1" t="s">
        <v>14501</v>
      </c>
      <c r="K812" s="1"/>
      <c r="L812" s="1"/>
      <c r="M812" s="1" t="s">
        <v>78</v>
      </c>
      <c r="N812" s="1" t="s">
        <v>52</v>
      </c>
      <c r="O812" s="1" t="s">
        <v>14502</v>
      </c>
      <c r="P812" s="1" t="s">
        <v>14503</v>
      </c>
      <c r="Q812" s="1" t="s">
        <v>320</v>
      </c>
      <c r="R812" s="1" t="s">
        <v>14504</v>
      </c>
      <c r="S812" s="1"/>
      <c r="T812" s="1"/>
      <c r="U812" s="1"/>
      <c r="V812" s="1"/>
      <c r="W812" s="1" t="s">
        <v>14505</v>
      </c>
      <c r="X812" s="1" t="s">
        <v>14506</v>
      </c>
      <c r="Y812" s="1"/>
      <c r="Z812" s="1"/>
      <c r="AA812" s="1" t="s">
        <v>11232</v>
      </c>
      <c r="AB812" s="1"/>
      <c r="AC812" s="1"/>
      <c r="AD812" s="1"/>
      <c r="AE812" s="1"/>
      <c r="AF812" s="1"/>
      <c r="AG812" s="1" t="n">
        <v>0</v>
      </c>
      <c r="AH812" s="1" t="n">
        <v>0</v>
      </c>
      <c r="AI812" s="1" t="n">
        <v>0</v>
      </c>
      <c r="AJ812" s="1" t="n">
        <v>0</v>
      </c>
      <c r="AK812" s="1" t="n">
        <v>2</v>
      </c>
      <c r="AL812" s="1" t="s">
        <v>2569</v>
      </c>
      <c r="AM812" s="1" t="s">
        <v>2382</v>
      </c>
      <c r="AN812" s="1" t="s">
        <v>2570</v>
      </c>
      <c r="AO812" s="1" t="s">
        <v>14507</v>
      </c>
      <c r="AP812" s="1" t="s">
        <v>14508</v>
      </c>
      <c r="AQ812" s="1"/>
      <c r="AR812" s="1" t="s">
        <v>14509</v>
      </c>
      <c r="AS812" s="1" t="s">
        <v>14510</v>
      </c>
      <c r="AT812" s="1" t="s">
        <v>12291</v>
      </c>
      <c r="AU812" s="1" t="n">
        <v>2022</v>
      </c>
      <c r="AV812" s="1" t="n">
        <v>40</v>
      </c>
      <c r="AW812" s="1" t="n">
        <v>16</v>
      </c>
      <c r="AX812" s="1"/>
      <c r="AY812" s="1" t="s">
        <v>14511</v>
      </c>
      <c r="AZ812" s="1"/>
      <c r="BA812" s="1" t="s">
        <v>14512</v>
      </c>
      <c r="BB812" s="1"/>
      <c r="BC812" s="1"/>
      <c r="BD812" s="1"/>
      <c r="BE812" s="1"/>
      <c r="BF812" s="1"/>
      <c r="BG812" s="1"/>
      <c r="BH812" s="1"/>
      <c r="BI812" s="1" t="n">
        <v>1</v>
      </c>
      <c r="BJ812" s="1" t="s">
        <v>14513</v>
      </c>
      <c r="BK812" s="1" t="s">
        <v>10469</v>
      </c>
      <c r="BL812" s="1" t="s">
        <v>14513</v>
      </c>
      <c r="BM812" s="1" t="s">
        <v>14514</v>
      </c>
      <c r="BN812" s="1"/>
      <c r="BO812" s="1"/>
      <c r="BP812" s="1"/>
      <c r="BQ812" s="1"/>
      <c r="BR812" s="1" t="s">
        <v>103</v>
      </c>
      <c r="BS812" s="1" t="s">
        <v>14515</v>
      </c>
      <c r="BT812" s="1" t="str">
        <f aca="false">HYPERLINK("https%3A%2F%2Fwww.webofscience.com%2Fwos%2Fwoscc%2Ffull-record%2FWOS:000863680302697","View Full Record in Web of Science")</f>
        <v>View Full Record in Web of Science</v>
      </c>
    </row>
    <row r="813" customFormat="false" ht="12.75" hidden="false" customHeight="false" outlineLevel="0" collapsed="false">
      <c r="A813" s="1" t="s">
        <v>181</v>
      </c>
      <c r="B813" s="1" t="s">
        <v>14516</v>
      </c>
      <c r="C813" s="1"/>
      <c r="D813" s="1"/>
      <c r="E813" s="1"/>
      <c r="F813" s="1" t="s">
        <v>14517</v>
      </c>
      <c r="G813" s="1"/>
      <c r="H813" s="1"/>
      <c r="I813" s="1" t="s">
        <v>14518</v>
      </c>
      <c r="J813" s="1" t="s">
        <v>14519</v>
      </c>
      <c r="K813" s="1"/>
      <c r="L813" s="1"/>
      <c r="M813" s="1" t="s">
        <v>78</v>
      </c>
      <c r="N813" s="1" t="s">
        <v>186</v>
      </c>
      <c r="O813" s="1"/>
      <c r="P813" s="1"/>
      <c r="Q813" s="1"/>
      <c r="R813" s="1"/>
      <c r="S813" s="1"/>
      <c r="T813" s="1" t="s">
        <v>14520</v>
      </c>
      <c r="U813" s="1" t="s">
        <v>14521</v>
      </c>
      <c r="V813" s="1" t="s">
        <v>14522</v>
      </c>
      <c r="W813" s="1" t="s">
        <v>14523</v>
      </c>
      <c r="X813" s="1" t="s">
        <v>14524</v>
      </c>
      <c r="Y813" s="1" t="s">
        <v>14525</v>
      </c>
      <c r="Z813" s="1" t="s">
        <v>14526</v>
      </c>
      <c r="AA813" s="1" t="s">
        <v>6855</v>
      </c>
      <c r="AB813" s="1"/>
      <c r="AC813" s="1"/>
      <c r="AD813" s="1"/>
      <c r="AE813" s="1"/>
      <c r="AF813" s="1"/>
      <c r="AG813" s="1" t="n">
        <v>46</v>
      </c>
      <c r="AH813" s="1" t="n">
        <v>3</v>
      </c>
      <c r="AI813" s="1" t="n">
        <v>3</v>
      </c>
      <c r="AJ813" s="1" t="n">
        <v>0</v>
      </c>
      <c r="AK813" s="1" t="n">
        <v>5</v>
      </c>
      <c r="AL813" s="1" t="s">
        <v>2710</v>
      </c>
      <c r="AM813" s="1" t="s">
        <v>1221</v>
      </c>
      <c r="AN813" s="1" t="s">
        <v>2711</v>
      </c>
      <c r="AO813" s="1" t="s">
        <v>14527</v>
      </c>
      <c r="AP813" s="1" t="s">
        <v>14528</v>
      </c>
      <c r="AQ813" s="1"/>
      <c r="AR813" s="1" t="s">
        <v>14529</v>
      </c>
      <c r="AS813" s="1" t="s">
        <v>14530</v>
      </c>
      <c r="AT813" s="1" t="s">
        <v>2988</v>
      </c>
      <c r="AU813" s="1" t="n">
        <v>2020</v>
      </c>
      <c r="AV813" s="1" t="n">
        <v>27</v>
      </c>
      <c r="AW813" s="1" t="n">
        <v>6</v>
      </c>
      <c r="AX813" s="1"/>
      <c r="AY813" s="1"/>
      <c r="AZ813" s="1"/>
      <c r="BA813" s="1"/>
      <c r="BB813" s="1" t="n">
        <v>418</v>
      </c>
      <c r="BC813" s="1" t="n">
        <v>430</v>
      </c>
      <c r="BD813" s="1"/>
      <c r="BE813" s="1" t="s">
        <v>14531</v>
      </c>
      <c r="BF813" s="1" t="str">
        <f aca="false">HYPERLINK("http://dx.doi.org/10.1080/11038128.2018.1554087","http://dx.doi.org/10.1080/11038128.2018.1554087")</f>
        <v>http://dx.doi.org/10.1080/11038128.2018.1554087</v>
      </c>
      <c r="BG813" s="1"/>
      <c r="BH813" s="1"/>
      <c r="BI813" s="1" t="n">
        <v>13</v>
      </c>
      <c r="BJ813" s="1" t="s">
        <v>10562</v>
      </c>
      <c r="BK813" s="1" t="s">
        <v>398</v>
      </c>
      <c r="BL813" s="1" t="s">
        <v>10562</v>
      </c>
      <c r="BM813" s="1" t="s">
        <v>14532</v>
      </c>
      <c r="BN813" s="1" t="n">
        <v>30661438</v>
      </c>
      <c r="BO813" s="1" t="s">
        <v>612</v>
      </c>
      <c r="BP813" s="1"/>
      <c r="BQ813" s="1"/>
      <c r="BR813" s="1" t="s">
        <v>103</v>
      </c>
      <c r="BS813" s="1" t="s">
        <v>14533</v>
      </c>
      <c r="BT813" s="1" t="str">
        <f aca="false">HYPERLINK("https%3A%2F%2Fwww.webofscience.com%2Fwos%2Fwoscc%2Ffull-record%2FWOS:000555097700003","View Full Record in Web of Science")</f>
        <v>View Full Record in Web of Science</v>
      </c>
    </row>
    <row r="814" customFormat="false" ht="12.75" hidden="false" customHeight="false" outlineLevel="0" collapsed="false">
      <c r="A814" s="1" t="s">
        <v>181</v>
      </c>
      <c r="B814" s="1" t="s">
        <v>14534</v>
      </c>
      <c r="C814" s="1"/>
      <c r="D814" s="1"/>
      <c r="E814" s="1"/>
      <c r="F814" s="1" t="s">
        <v>14535</v>
      </c>
      <c r="G814" s="1"/>
      <c r="H814" s="1"/>
      <c r="I814" s="1" t="s">
        <v>14536</v>
      </c>
      <c r="J814" s="1" t="s">
        <v>1104</v>
      </c>
      <c r="K814" s="1"/>
      <c r="L814" s="1"/>
      <c r="M814" s="1" t="s">
        <v>78</v>
      </c>
      <c r="N814" s="1" t="s">
        <v>186</v>
      </c>
      <c r="O814" s="1"/>
      <c r="P814" s="1"/>
      <c r="Q814" s="1"/>
      <c r="R814" s="1"/>
      <c r="S814" s="1"/>
      <c r="T814" s="1" t="s">
        <v>14537</v>
      </c>
      <c r="U814" s="1" t="s">
        <v>14538</v>
      </c>
      <c r="V814" s="1" t="s">
        <v>14539</v>
      </c>
      <c r="W814" s="1" t="s">
        <v>14540</v>
      </c>
      <c r="X814" s="1" t="s">
        <v>14541</v>
      </c>
      <c r="Y814" s="1" t="s">
        <v>14542</v>
      </c>
      <c r="Z814" s="1" t="s">
        <v>14543</v>
      </c>
      <c r="AA814" s="1" t="s">
        <v>14544</v>
      </c>
      <c r="AB814" s="1" t="s">
        <v>14545</v>
      </c>
      <c r="AC814" s="1" t="s">
        <v>14546</v>
      </c>
      <c r="AD814" s="1" t="s">
        <v>14546</v>
      </c>
      <c r="AE814" s="1" t="s">
        <v>916</v>
      </c>
      <c r="AF814" s="1"/>
      <c r="AG814" s="1" t="n">
        <v>138</v>
      </c>
      <c r="AH814" s="1" t="n">
        <v>2</v>
      </c>
      <c r="AI814" s="1" t="n">
        <v>2</v>
      </c>
      <c r="AJ814" s="1" t="n">
        <v>13</v>
      </c>
      <c r="AK814" s="1" t="n">
        <v>25</v>
      </c>
      <c r="AL814" s="1" t="s">
        <v>195</v>
      </c>
      <c r="AM814" s="1" t="s">
        <v>196</v>
      </c>
      <c r="AN814" s="1" t="s">
        <v>197</v>
      </c>
      <c r="AO814" s="1" t="s">
        <v>1114</v>
      </c>
      <c r="AP814" s="1"/>
      <c r="AQ814" s="1"/>
      <c r="AR814" s="1" t="s">
        <v>1104</v>
      </c>
      <c r="AS814" s="1" t="s">
        <v>1115</v>
      </c>
      <c r="AT814" s="1"/>
      <c r="AU814" s="1" t="n">
        <v>2024</v>
      </c>
      <c r="AV814" s="1" t="n">
        <v>12</v>
      </c>
      <c r="AW814" s="1"/>
      <c r="AX814" s="1"/>
      <c r="AY814" s="1"/>
      <c r="AZ814" s="1"/>
      <c r="BA814" s="1"/>
      <c r="BB814" s="1" t="n">
        <v>28273</v>
      </c>
      <c r="BC814" s="1" t="n">
        <v>28296</v>
      </c>
      <c r="BD814" s="1"/>
      <c r="BE814" s="1" t="s">
        <v>14547</v>
      </c>
      <c r="BF814" s="1" t="str">
        <f aca="false">HYPERLINK("http://dx.doi.org/10.1109/ACCESS.2024.3365828","http://dx.doi.org/10.1109/ACCESS.2024.3365828")</f>
        <v>http://dx.doi.org/10.1109/ACCESS.2024.3365828</v>
      </c>
      <c r="BG814" s="1"/>
      <c r="BH814" s="1"/>
      <c r="BI814" s="1" t="n">
        <v>24</v>
      </c>
      <c r="BJ814" s="1" t="s">
        <v>1117</v>
      </c>
      <c r="BK814" s="1" t="s">
        <v>204</v>
      </c>
      <c r="BL814" s="1" t="s">
        <v>1118</v>
      </c>
      <c r="BM814" s="1" t="s">
        <v>14548</v>
      </c>
      <c r="BN814" s="1"/>
      <c r="BO814" s="1" t="s">
        <v>1209</v>
      </c>
      <c r="BP814" s="1"/>
      <c r="BQ814" s="1"/>
      <c r="BR814" s="1" t="s">
        <v>103</v>
      </c>
      <c r="BS814" s="1" t="s">
        <v>14549</v>
      </c>
      <c r="BT814" s="1" t="str">
        <f aca="false">HYPERLINK("https%3A%2F%2Fwww.webofscience.com%2Fwos%2Fwoscc%2Ffull-record%2FWOS:001174345100001","View Full Record in Web of Science")</f>
        <v>View Full Record in Web of Science</v>
      </c>
    </row>
    <row r="815" customFormat="false" ht="12.75" hidden="false" customHeight="false" outlineLevel="0" collapsed="false">
      <c r="A815" s="1" t="s">
        <v>72</v>
      </c>
      <c r="B815" s="1" t="s">
        <v>14550</v>
      </c>
      <c r="C815" s="1"/>
      <c r="D815" s="1"/>
      <c r="E815" s="1" t="s">
        <v>106</v>
      </c>
      <c r="F815" s="1" t="s">
        <v>14551</v>
      </c>
      <c r="G815" s="1"/>
      <c r="H815" s="1"/>
      <c r="I815" s="1" t="s">
        <v>14552</v>
      </c>
      <c r="J815" s="1" t="s">
        <v>7348</v>
      </c>
      <c r="K815" s="1" t="s">
        <v>7349</v>
      </c>
      <c r="L815" s="1"/>
      <c r="M815" s="1" t="s">
        <v>78</v>
      </c>
      <c r="N815" s="1" t="s">
        <v>79</v>
      </c>
      <c r="O815" s="1" t="s">
        <v>7350</v>
      </c>
      <c r="P815" s="1" t="s">
        <v>7351</v>
      </c>
      <c r="Q815" s="1" t="s">
        <v>7352</v>
      </c>
      <c r="R815" s="1" t="s">
        <v>7353</v>
      </c>
      <c r="S815" s="1" t="s">
        <v>7354</v>
      </c>
      <c r="T815" s="1"/>
      <c r="U815" s="1" t="s">
        <v>2545</v>
      </c>
      <c r="V815" s="1" t="s">
        <v>14553</v>
      </c>
      <c r="W815" s="1" t="s">
        <v>14554</v>
      </c>
      <c r="X815" s="1" t="s">
        <v>14555</v>
      </c>
      <c r="Y815" s="1" t="s">
        <v>14556</v>
      </c>
      <c r="Z815" s="1" t="s">
        <v>14557</v>
      </c>
      <c r="AA815" s="1" t="s">
        <v>14558</v>
      </c>
      <c r="AB815" s="1" t="s">
        <v>14559</v>
      </c>
      <c r="AC815" s="1" t="s">
        <v>14560</v>
      </c>
      <c r="AD815" s="1" t="s">
        <v>14561</v>
      </c>
      <c r="AE815" s="1" t="s">
        <v>14562</v>
      </c>
      <c r="AF815" s="1"/>
      <c r="AG815" s="1" t="n">
        <v>9</v>
      </c>
      <c r="AH815" s="1" t="n">
        <v>0</v>
      </c>
      <c r="AI815" s="1" t="n">
        <v>0</v>
      </c>
      <c r="AJ815" s="1" t="n">
        <v>0</v>
      </c>
      <c r="AK815" s="1" t="n">
        <v>3</v>
      </c>
      <c r="AL815" s="1" t="s">
        <v>106</v>
      </c>
      <c r="AM815" s="1" t="s">
        <v>95</v>
      </c>
      <c r="AN815" s="1" t="s">
        <v>122</v>
      </c>
      <c r="AO815" s="1" t="s">
        <v>7360</v>
      </c>
      <c r="AP815" s="1"/>
      <c r="AQ815" s="1" t="s">
        <v>7361</v>
      </c>
      <c r="AR815" s="1" t="s">
        <v>7362</v>
      </c>
      <c r="AS815" s="1"/>
      <c r="AT815" s="1"/>
      <c r="AU815" s="1" t="n">
        <v>2023</v>
      </c>
      <c r="AV815" s="1"/>
      <c r="AW815" s="1"/>
      <c r="AX815" s="1"/>
      <c r="AY815" s="1"/>
      <c r="AZ815" s="1"/>
      <c r="BA815" s="1"/>
      <c r="BB815" s="1" t="n">
        <v>100</v>
      </c>
      <c r="BC815" s="1" t="n">
        <v>104</v>
      </c>
      <c r="BD815" s="1"/>
      <c r="BE815" s="1" t="s">
        <v>14563</v>
      </c>
      <c r="BF815" s="1" t="str">
        <f aca="false">HYPERLINK("http://dx.doi.org/10.1109/SSP53291.2023.10208078","http://dx.doi.org/10.1109/SSP53291.2023.10208078")</f>
        <v>http://dx.doi.org/10.1109/SSP53291.2023.10208078</v>
      </c>
      <c r="BG815" s="1"/>
      <c r="BH815" s="1"/>
      <c r="BI815" s="1" t="n">
        <v>5</v>
      </c>
      <c r="BJ815" s="1" t="s">
        <v>3284</v>
      </c>
      <c r="BK815" s="1" t="s">
        <v>100</v>
      </c>
      <c r="BL815" s="1" t="s">
        <v>1255</v>
      </c>
      <c r="BM815" s="1" t="s">
        <v>7364</v>
      </c>
      <c r="BN815" s="1"/>
      <c r="BO815" s="1"/>
      <c r="BP815" s="1"/>
      <c r="BQ815" s="1"/>
      <c r="BR815" s="1" t="s">
        <v>103</v>
      </c>
      <c r="BS815" s="1" t="s">
        <v>14564</v>
      </c>
      <c r="BT815" s="1" t="str">
        <f aca="false">HYPERLINK("https%3A%2F%2Fwww.webofscience.com%2Fwos%2Fwoscc%2Ffull-record%2FWOS:001051091700021","View Full Record in Web of Science")</f>
        <v>View Full Record in Web of Science</v>
      </c>
    </row>
    <row r="816" customFormat="false" ht="12.75" hidden="false" customHeight="false" outlineLevel="0" collapsed="false">
      <c r="A816" s="1" t="s">
        <v>72</v>
      </c>
      <c r="B816" s="1" t="s">
        <v>14565</v>
      </c>
      <c r="C816" s="1"/>
      <c r="D816" s="1" t="s">
        <v>11840</v>
      </c>
      <c r="E816" s="1"/>
      <c r="F816" s="1" t="s">
        <v>14566</v>
      </c>
      <c r="G816" s="1"/>
      <c r="H816" s="1"/>
      <c r="I816" s="1" t="s">
        <v>14567</v>
      </c>
      <c r="J816" s="1" t="s">
        <v>11843</v>
      </c>
      <c r="K816" s="1"/>
      <c r="L816" s="1"/>
      <c r="M816" s="1" t="s">
        <v>78</v>
      </c>
      <c r="N816" s="1" t="s">
        <v>79</v>
      </c>
      <c r="O816" s="1" t="s">
        <v>6495</v>
      </c>
      <c r="P816" s="1" t="s">
        <v>6496</v>
      </c>
      <c r="Q816" s="1" t="s">
        <v>320</v>
      </c>
      <c r="R816" s="1" t="s">
        <v>1086</v>
      </c>
      <c r="S816" s="1"/>
      <c r="T816" s="1"/>
      <c r="U816" s="1"/>
      <c r="V816" s="1" t="s">
        <v>14568</v>
      </c>
      <c r="W816" s="1" t="s">
        <v>14569</v>
      </c>
      <c r="X816" s="1" t="s">
        <v>14570</v>
      </c>
      <c r="Y816" s="1" t="s">
        <v>13037</v>
      </c>
      <c r="Z816" s="1" t="s">
        <v>14571</v>
      </c>
      <c r="AA816" s="1" t="s">
        <v>5339</v>
      </c>
      <c r="AB816" s="1" t="s">
        <v>11849</v>
      </c>
      <c r="AC816" s="1"/>
      <c r="AD816" s="1"/>
      <c r="AE816" s="1"/>
      <c r="AF816" s="1"/>
      <c r="AG816" s="1" t="n">
        <v>29</v>
      </c>
      <c r="AH816" s="1" t="n">
        <v>4</v>
      </c>
      <c r="AI816" s="1" t="n">
        <v>6</v>
      </c>
      <c r="AJ816" s="1" t="n">
        <v>0</v>
      </c>
      <c r="AK816" s="1" t="n">
        <v>5</v>
      </c>
      <c r="AL816" s="1" t="s">
        <v>172</v>
      </c>
      <c r="AM816" s="1" t="s">
        <v>173</v>
      </c>
      <c r="AN816" s="1" t="s">
        <v>174</v>
      </c>
      <c r="AO816" s="1"/>
      <c r="AP816" s="1"/>
      <c r="AQ816" s="1" t="s">
        <v>11850</v>
      </c>
      <c r="AR816" s="1"/>
      <c r="AS816" s="1"/>
      <c r="AT816" s="1"/>
      <c r="AU816" s="1" t="n">
        <v>2021</v>
      </c>
      <c r="AV816" s="1"/>
      <c r="AW816" s="1"/>
      <c r="AX816" s="1"/>
      <c r="AY816" s="1"/>
      <c r="AZ816" s="1"/>
      <c r="BA816" s="1"/>
      <c r="BB816" s="1" t="n">
        <v>60</v>
      </c>
      <c r="BC816" s="1" t="n">
        <v>69</v>
      </c>
      <c r="BD816" s="1"/>
      <c r="BE816" s="1" t="s">
        <v>14572</v>
      </c>
      <c r="BF816" s="1" t="str">
        <f aca="false">HYPERLINK("http://dx.doi.org/10.1109/REW53955.2021.00016","http://dx.doi.org/10.1109/REW53955.2021.00016")</f>
        <v>http://dx.doi.org/10.1109/REW53955.2021.00016</v>
      </c>
      <c r="BG816" s="1"/>
      <c r="BH816" s="1"/>
      <c r="BI816" s="1" t="n">
        <v>10</v>
      </c>
      <c r="BJ816" s="1" t="s">
        <v>994</v>
      </c>
      <c r="BK816" s="1" t="s">
        <v>100</v>
      </c>
      <c r="BL816" s="1" t="s">
        <v>101</v>
      </c>
      <c r="BM816" s="1" t="s">
        <v>11852</v>
      </c>
      <c r="BN816" s="1"/>
      <c r="BO816" s="1" t="s">
        <v>227</v>
      </c>
      <c r="BP816" s="1"/>
      <c r="BQ816" s="1"/>
      <c r="BR816" s="1" t="s">
        <v>103</v>
      </c>
      <c r="BS816" s="1" t="s">
        <v>14573</v>
      </c>
      <c r="BT816" s="1" t="str">
        <f aca="false">HYPERLINK("https%3A%2F%2Fwww.webofscience.com%2Fwos%2Fwoscc%2Ffull-record%2FWOS:000788547300008","View Full Record in Web of Science")</f>
        <v>View Full Record in Web of Science</v>
      </c>
    </row>
    <row r="817" customFormat="false" ht="12.75" hidden="false" customHeight="false" outlineLevel="0" collapsed="false">
      <c r="A817" s="1" t="s">
        <v>72</v>
      </c>
      <c r="B817" s="1" t="s">
        <v>14574</v>
      </c>
      <c r="C817" s="1"/>
      <c r="D817" s="1" t="s">
        <v>14575</v>
      </c>
      <c r="E817" s="1"/>
      <c r="F817" s="1" t="s">
        <v>14576</v>
      </c>
      <c r="G817" s="1"/>
      <c r="H817" s="1"/>
      <c r="I817" s="1" t="s">
        <v>14577</v>
      </c>
      <c r="J817" s="1" t="s">
        <v>14578</v>
      </c>
      <c r="K817" s="1"/>
      <c r="L817" s="1"/>
      <c r="M817" s="1" t="s">
        <v>78</v>
      </c>
      <c r="N817" s="1" t="s">
        <v>79</v>
      </c>
      <c r="O817" s="1" t="s">
        <v>14579</v>
      </c>
      <c r="P817" s="1" t="s">
        <v>14580</v>
      </c>
      <c r="Q817" s="1" t="s">
        <v>320</v>
      </c>
      <c r="R817" s="1" t="s">
        <v>14581</v>
      </c>
      <c r="S817" s="1"/>
      <c r="T817" s="1"/>
      <c r="U817" s="1" t="s">
        <v>981</v>
      </c>
      <c r="V817" s="1" t="s">
        <v>14582</v>
      </c>
      <c r="W817" s="1" t="s">
        <v>14583</v>
      </c>
      <c r="X817" s="1" t="s">
        <v>14584</v>
      </c>
      <c r="Y817" s="1" t="s">
        <v>14585</v>
      </c>
      <c r="Z817" s="1" t="s">
        <v>14586</v>
      </c>
      <c r="AA817" s="1" t="s">
        <v>14587</v>
      </c>
      <c r="AB817" s="1" t="s">
        <v>14588</v>
      </c>
      <c r="AC817" s="1" t="s">
        <v>14589</v>
      </c>
      <c r="AD817" s="1" t="s">
        <v>14590</v>
      </c>
      <c r="AE817" s="1" t="s">
        <v>14591</v>
      </c>
      <c r="AF817" s="1"/>
      <c r="AG817" s="1" t="n">
        <v>15</v>
      </c>
      <c r="AH817" s="1" t="n">
        <v>16</v>
      </c>
      <c r="AI817" s="1" t="n">
        <v>16</v>
      </c>
      <c r="AJ817" s="1" t="n">
        <v>0</v>
      </c>
      <c r="AK817" s="1" t="n">
        <v>3</v>
      </c>
      <c r="AL817" s="1" t="s">
        <v>106</v>
      </c>
      <c r="AM817" s="1" t="s">
        <v>95</v>
      </c>
      <c r="AN817" s="1" t="s">
        <v>122</v>
      </c>
      <c r="AO817" s="1"/>
      <c r="AP817" s="1"/>
      <c r="AQ817" s="1" t="s">
        <v>14592</v>
      </c>
      <c r="AR817" s="1"/>
      <c r="AS817" s="1"/>
      <c r="AT817" s="1"/>
      <c r="AU817" s="1" t="n">
        <v>2020</v>
      </c>
      <c r="AV817" s="1"/>
      <c r="AW817" s="1"/>
      <c r="AX817" s="1"/>
      <c r="AY817" s="1"/>
      <c r="AZ817" s="1"/>
      <c r="BA817" s="1"/>
      <c r="BB817" s="1" t="n">
        <v>51</v>
      </c>
      <c r="BC817" s="1" t="n">
        <v>56</v>
      </c>
      <c r="BD817" s="1"/>
      <c r="BE817" s="1"/>
      <c r="BF817" s="1"/>
      <c r="BG817" s="1"/>
      <c r="BH817" s="1"/>
      <c r="BI817" s="1" t="n">
        <v>6</v>
      </c>
      <c r="BJ817" s="1" t="s">
        <v>14593</v>
      </c>
      <c r="BK817" s="1" t="s">
        <v>100</v>
      </c>
      <c r="BL817" s="1" t="s">
        <v>311</v>
      </c>
      <c r="BM817" s="1" t="s">
        <v>14594</v>
      </c>
      <c r="BN817" s="1"/>
      <c r="BO817" s="1" t="s">
        <v>227</v>
      </c>
      <c r="BP817" s="1"/>
      <c r="BQ817" s="1"/>
      <c r="BR817" s="1" t="s">
        <v>103</v>
      </c>
      <c r="BS817" s="1" t="s">
        <v>14595</v>
      </c>
      <c r="BT817" s="1" t="str">
        <f aca="false">HYPERLINK("https%3A%2F%2Fwww.webofscience.com%2Fwos%2Fwoscc%2Ffull-record%2FWOS:000623436400008","View Full Record in Web of Science")</f>
        <v>View Full Record in Web of Science</v>
      </c>
    </row>
    <row r="818" customFormat="false" ht="12.75" hidden="false" customHeight="false" outlineLevel="0" collapsed="false">
      <c r="A818" s="1" t="s">
        <v>181</v>
      </c>
      <c r="B818" s="1" t="s">
        <v>14596</v>
      </c>
      <c r="C818" s="1"/>
      <c r="D818" s="1"/>
      <c r="E818" s="1"/>
      <c r="F818" s="1" t="s">
        <v>14597</v>
      </c>
      <c r="G818" s="1"/>
      <c r="H818" s="1"/>
      <c r="I818" s="1" t="s">
        <v>14598</v>
      </c>
      <c r="J818" s="1" t="s">
        <v>14599</v>
      </c>
      <c r="K818" s="1"/>
      <c r="L818" s="1"/>
      <c r="M818" s="1" t="s">
        <v>78</v>
      </c>
      <c r="N818" s="1" t="s">
        <v>186</v>
      </c>
      <c r="O818" s="1"/>
      <c r="P818" s="1"/>
      <c r="Q818" s="1"/>
      <c r="R818" s="1"/>
      <c r="S818" s="1"/>
      <c r="T818" s="1"/>
      <c r="U818" s="1" t="s">
        <v>14600</v>
      </c>
      <c r="V818" s="1" t="s">
        <v>14601</v>
      </c>
      <c r="W818" s="1" t="s">
        <v>14602</v>
      </c>
      <c r="X818" s="1" t="s">
        <v>14603</v>
      </c>
      <c r="Y818" s="1" t="s">
        <v>14604</v>
      </c>
      <c r="Z818" s="1" t="s">
        <v>14605</v>
      </c>
      <c r="AA818" s="1" t="s">
        <v>7028</v>
      </c>
      <c r="AB818" s="1" t="s">
        <v>14606</v>
      </c>
      <c r="AC818" s="1"/>
      <c r="AD818" s="1"/>
      <c r="AE818" s="1"/>
      <c r="AF818" s="1"/>
      <c r="AG818" s="1" t="n">
        <v>49</v>
      </c>
      <c r="AH818" s="1" t="n">
        <v>5</v>
      </c>
      <c r="AI818" s="1" t="n">
        <v>5</v>
      </c>
      <c r="AJ818" s="1" t="n">
        <v>3</v>
      </c>
      <c r="AK818" s="1" t="n">
        <v>54</v>
      </c>
      <c r="AL818" s="1" t="s">
        <v>9736</v>
      </c>
      <c r="AM818" s="1" t="s">
        <v>1908</v>
      </c>
      <c r="AN818" s="1" t="s">
        <v>9737</v>
      </c>
      <c r="AO818" s="1" t="s">
        <v>14607</v>
      </c>
      <c r="AP818" s="1" t="s">
        <v>14608</v>
      </c>
      <c r="AQ818" s="1"/>
      <c r="AR818" s="1" t="s">
        <v>14599</v>
      </c>
      <c r="AS818" s="1" t="s">
        <v>14609</v>
      </c>
      <c r="AT818" s="1" t="s">
        <v>14610</v>
      </c>
      <c r="AU818" s="1" t="n">
        <v>2021</v>
      </c>
      <c r="AV818" s="1" t="n">
        <v>2021</v>
      </c>
      <c r="AW818" s="1"/>
      <c r="AX818" s="1"/>
      <c r="AY818" s="1"/>
      <c r="AZ818" s="1"/>
      <c r="BA818" s="1"/>
      <c r="BB818" s="1"/>
      <c r="BC818" s="1"/>
      <c r="BD818" s="1" t="n">
        <v>5558668</v>
      </c>
      <c r="BE818" s="1" t="s">
        <v>14611</v>
      </c>
      <c r="BF818" s="1" t="str">
        <f aca="false">HYPERLINK("http://dx.doi.org/10.1155/2021/5558668","http://dx.doi.org/10.1155/2021/5558668")</f>
        <v>http://dx.doi.org/10.1155/2021/5558668</v>
      </c>
      <c r="BG818" s="1"/>
      <c r="BH818" s="1"/>
      <c r="BI818" s="1" t="n">
        <v>13</v>
      </c>
      <c r="BJ818" s="1" t="s">
        <v>14612</v>
      </c>
      <c r="BK818" s="1" t="s">
        <v>204</v>
      </c>
      <c r="BL818" s="1" t="s">
        <v>14612</v>
      </c>
      <c r="BM818" s="1" t="s">
        <v>14613</v>
      </c>
      <c r="BN818" s="1" t="n">
        <v>34471443</v>
      </c>
      <c r="BO818" s="1" t="s">
        <v>401</v>
      </c>
      <c r="BP818" s="1"/>
      <c r="BQ818" s="1"/>
      <c r="BR818" s="1" t="s">
        <v>103</v>
      </c>
      <c r="BS818" s="1" t="s">
        <v>14614</v>
      </c>
      <c r="BT818" s="1" t="str">
        <f aca="false">HYPERLINK("https%3A%2F%2Fwww.webofscience.com%2Fwos%2Fwoscc%2Ffull-record%2FWOS:000687437800001","View Full Record in Web of Science")</f>
        <v>View Full Record in Web of Science</v>
      </c>
    </row>
    <row r="819" customFormat="false" ht="12.75" hidden="false" customHeight="false" outlineLevel="0" collapsed="false">
      <c r="A819" s="1" t="s">
        <v>181</v>
      </c>
      <c r="B819" s="1" t="s">
        <v>14615</v>
      </c>
      <c r="C819" s="1"/>
      <c r="D819" s="1"/>
      <c r="E819" s="1"/>
      <c r="F819" s="1" t="s">
        <v>14616</v>
      </c>
      <c r="G819" s="1"/>
      <c r="H819" s="1"/>
      <c r="I819" s="1" t="s">
        <v>14617</v>
      </c>
      <c r="J819" s="1" t="s">
        <v>14618</v>
      </c>
      <c r="K819" s="1"/>
      <c r="L819" s="1"/>
      <c r="M819" s="1" t="s">
        <v>78</v>
      </c>
      <c r="N819" s="1" t="s">
        <v>186</v>
      </c>
      <c r="O819" s="1"/>
      <c r="P819" s="1"/>
      <c r="Q819" s="1"/>
      <c r="R819" s="1"/>
      <c r="S819" s="1"/>
      <c r="T819" s="1" t="s">
        <v>14619</v>
      </c>
      <c r="U819" s="1"/>
      <c r="V819" s="1" t="s">
        <v>14620</v>
      </c>
      <c r="W819" s="1" t="s">
        <v>14621</v>
      </c>
      <c r="X819" s="1" t="s">
        <v>14622</v>
      </c>
      <c r="Y819" s="1" t="s">
        <v>14623</v>
      </c>
      <c r="Z819" s="1" t="s">
        <v>14624</v>
      </c>
      <c r="AA819" s="1" t="s">
        <v>13847</v>
      </c>
      <c r="AB819" s="1" t="s">
        <v>10094</v>
      </c>
      <c r="AC819" s="1" t="s">
        <v>14625</v>
      </c>
      <c r="AD819" s="1" t="s">
        <v>14626</v>
      </c>
      <c r="AE819" s="1" t="s">
        <v>14627</v>
      </c>
      <c r="AF819" s="1"/>
      <c r="AG819" s="1" t="n">
        <v>45</v>
      </c>
      <c r="AH819" s="1" t="n">
        <v>0</v>
      </c>
      <c r="AI819" s="1" t="n">
        <v>0</v>
      </c>
      <c r="AJ819" s="1" t="n">
        <v>6</v>
      </c>
      <c r="AK819" s="1" t="n">
        <v>6</v>
      </c>
      <c r="AL819" s="1" t="s">
        <v>14628</v>
      </c>
      <c r="AM819" s="1" t="s">
        <v>7204</v>
      </c>
      <c r="AN819" s="1" t="s">
        <v>14629</v>
      </c>
      <c r="AO819" s="1" t="s">
        <v>14630</v>
      </c>
      <c r="AP819" s="1"/>
      <c r="AQ819" s="1"/>
      <c r="AR819" s="1" t="s">
        <v>14631</v>
      </c>
      <c r="AS819" s="1" t="s">
        <v>14632</v>
      </c>
      <c r="AT819" s="1" t="s">
        <v>372</v>
      </c>
      <c r="AU819" s="1" t="n">
        <v>2024</v>
      </c>
      <c r="AV819" s="1" t="n">
        <v>60</v>
      </c>
      <c r="AW819" s="1"/>
      <c r="AX819" s="1"/>
      <c r="AY819" s="1"/>
      <c r="AZ819" s="1"/>
      <c r="BA819" s="1"/>
      <c r="BB819" s="1"/>
      <c r="BC819" s="1"/>
      <c r="BD819" s="1" t="n">
        <v>101896</v>
      </c>
      <c r="BE819" s="1" t="s">
        <v>14633</v>
      </c>
      <c r="BF819" s="1" t="str">
        <f aca="false">HYPERLINK("http://dx.doi.org/10.1016/j.jestch.2024.101896","http://dx.doi.org/10.1016/j.jestch.2024.101896")</f>
        <v>http://dx.doi.org/10.1016/j.jestch.2024.101896</v>
      </c>
      <c r="BG819" s="1"/>
      <c r="BH819" s="1" t="s">
        <v>4047</v>
      </c>
      <c r="BI819" s="1" t="n">
        <v>13</v>
      </c>
      <c r="BJ819" s="1" t="s">
        <v>13856</v>
      </c>
      <c r="BK819" s="1" t="s">
        <v>204</v>
      </c>
      <c r="BL819" s="1" t="s">
        <v>640</v>
      </c>
      <c r="BM819" s="1" t="s">
        <v>14634</v>
      </c>
      <c r="BN819" s="1"/>
      <c r="BO819" s="1" t="s">
        <v>642</v>
      </c>
      <c r="BP819" s="1"/>
      <c r="BQ819" s="1"/>
      <c r="BR819" s="1" t="s">
        <v>103</v>
      </c>
      <c r="BS819" s="1" t="s">
        <v>14635</v>
      </c>
      <c r="BT819" s="1" t="str">
        <f aca="false">HYPERLINK("https%3A%2F%2Fwww.webofscience.com%2Fwos%2Fwoscc%2Ffull-record%2FWOS:001363741500001","View Full Record in Web of Science")</f>
        <v>View Full Record in Web of Science</v>
      </c>
    </row>
    <row r="820" customFormat="false" ht="12.75" hidden="false" customHeight="false" outlineLevel="0" collapsed="false">
      <c r="A820" s="1" t="s">
        <v>181</v>
      </c>
      <c r="B820" s="1" t="s">
        <v>14636</v>
      </c>
      <c r="C820" s="1"/>
      <c r="D820" s="1"/>
      <c r="E820" s="1"/>
      <c r="F820" s="1" t="s">
        <v>14637</v>
      </c>
      <c r="G820" s="1"/>
      <c r="H820" s="1"/>
      <c r="I820" s="1" t="s">
        <v>14638</v>
      </c>
      <c r="J820" s="1" t="s">
        <v>743</v>
      </c>
      <c r="K820" s="1"/>
      <c r="L820" s="1"/>
      <c r="M820" s="1" t="s">
        <v>78</v>
      </c>
      <c r="N820" s="1" t="s">
        <v>186</v>
      </c>
      <c r="O820" s="1"/>
      <c r="P820" s="1"/>
      <c r="Q820" s="1"/>
      <c r="R820" s="1"/>
      <c r="S820" s="1"/>
      <c r="T820" s="1" t="s">
        <v>14639</v>
      </c>
      <c r="U820" s="1"/>
      <c r="V820" s="1" t="s">
        <v>14640</v>
      </c>
      <c r="W820" s="1" t="s">
        <v>14641</v>
      </c>
      <c r="X820" s="1" t="s">
        <v>14642</v>
      </c>
      <c r="Y820" s="1" t="s">
        <v>14643</v>
      </c>
      <c r="Z820" s="1" t="s">
        <v>14644</v>
      </c>
      <c r="AA820" s="1" t="s">
        <v>14645</v>
      </c>
      <c r="AB820" s="1" t="s">
        <v>14646</v>
      </c>
      <c r="AC820" s="1" t="s">
        <v>8876</v>
      </c>
      <c r="AD820" s="1" t="s">
        <v>8876</v>
      </c>
      <c r="AE820" s="1" t="s">
        <v>8877</v>
      </c>
      <c r="AF820" s="1"/>
      <c r="AG820" s="1" t="n">
        <v>56</v>
      </c>
      <c r="AH820" s="1" t="n">
        <v>1</v>
      </c>
      <c r="AI820" s="1" t="n">
        <v>1</v>
      </c>
      <c r="AJ820" s="1" t="n">
        <v>1</v>
      </c>
      <c r="AK820" s="1" t="n">
        <v>9</v>
      </c>
      <c r="AL820" s="1" t="s">
        <v>367</v>
      </c>
      <c r="AM820" s="1" t="s">
        <v>368</v>
      </c>
      <c r="AN820" s="1" t="s">
        <v>369</v>
      </c>
      <c r="AO820" s="1"/>
      <c r="AP820" s="1" t="s">
        <v>751</v>
      </c>
      <c r="AQ820" s="1"/>
      <c r="AR820" s="1" t="s">
        <v>752</v>
      </c>
      <c r="AS820" s="1" t="s">
        <v>753</v>
      </c>
      <c r="AT820" s="1" t="s">
        <v>754</v>
      </c>
      <c r="AU820" s="1" t="n">
        <v>2022</v>
      </c>
      <c r="AV820" s="1" t="n">
        <v>11</v>
      </c>
      <c r="AW820" s="1" t="n">
        <v>9</v>
      </c>
      <c r="AX820" s="1"/>
      <c r="AY820" s="1"/>
      <c r="AZ820" s="1"/>
      <c r="BA820" s="1"/>
      <c r="BB820" s="1"/>
      <c r="BC820" s="1"/>
      <c r="BD820" s="1" t="n">
        <v>1468</v>
      </c>
      <c r="BE820" s="1" t="s">
        <v>14647</v>
      </c>
      <c r="BF820" s="1" t="str">
        <f aca="false">HYPERLINK("http://dx.doi.org/10.3390/electronics11091468","http://dx.doi.org/10.3390/electronics11091468")</f>
        <v>http://dx.doi.org/10.3390/electronics11091468</v>
      </c>
      <c r="BG820" s="1"/>
      <c r="BH820" s="1"/>
      <c r="BI820" s="1" t="n">
        <v>22</v>
      </c>
      <c r="BJ820" s="1" t="s">
        <v>756</v>
      </c>
      <c r="BK820" s="1" t="s">
        <v>204</v>
      </c>
      <c r="BL820" s="1" t="s">
        <v>757</v>
      </c>
      <c r="BM820" s="1" t="s">
        <v>14648</v>
      </c>
      <c r="BN820" s="1"/>
      <c r="BO820" s="1" t="s">
        <v>542</v>
      </c>
      <c r="BP820" s="1"/>
      <c r="BQ820" s="1"/>
      <c r="BR820" s="1" t="s">
        <v>103</v>
      </c>
      <c r="BS820" s="1" t="s">
        <v>14649</v>
      </c>
      <c r="BT820" s="1" t="str">
        <f aca="false">HYPERLINK("https%3A%2F%2Fwww.webofscience.com%2Fwos%2Fwoscc%2Ffull-record%2FWOS:000795263600001","View Full Record in Web of Science")</f>
        <v>View Full Record in Web of Science</v>
      </c>
    </row>
    <row r="821" customFormat="false" ht="12.75" hidden="false" customHeight="false" outlineLevel="0" collapsed="false">
      <c r="A821" s="1" t="s">
        <v>181</v>
      </c>
      <c r="B821" s="1" t="s">
        <v>14650</v>
      </c>
      <c r="C821" s="1"/>
      <c r="D821" s="1"/>
      <c r="E821" s="1"/>
      <c r="F821" s="1" t="s">
        <v>14651</v>
      </c>
      <c r="G821" s="1"/>
      <c r="H821" s="1"/>
      <c r="I821" s="1" t="s">
        <v>14652</v>
      </c>
      <c r="J821" s="1" t="s">
        <v>14653</v>
      </c>
      <c r="K821" s="1"/>
      <c r="L821" s="1"/>
      <c r="M821" s="1" t="s">
        <v>78</v>
      </c>
      <c r="N821" s="1" t="s">
        <v>186</v>
      </c>
      <c r="O821" s="1"/>
      <c r="P821" s="1"/>
      <c r="Q821" s="1"/>
      <c r="R821" s="1"/>
      <c r="S821" s="1"/>
      <c r="T821" s="1" t="s">
        <v>14654</v>
      </c>
      <c r="U821" s="1" t="s">
        <v>14655</v>
      </c>
      <c r="V821" s="1" t="s">
        <v>14656</v>
      </c>
      <c r="W821" s="1" t="s">
        <v>14657</v>
      </c>
      <c r="X821" s="1" t="s">
        <v>14658</v>
      </c>
      <c r="Y821" s="1" t="s">
        <v>14659</v>
      </c>
      <c r="Z821" s="1" t="s">
        <v>14660</v>
      </c>
      <c r="AA821" s="1" t="s">
        <v>14192</v>
      </c>
      <c r="AB821" s="1" t="s">
        <v>14193</v>
      </c>
      <c r="AC821" s="1" t="s">
        <v>14661</v>
      </c>
      <c r="AD821" s="1" t="s">
        <v>14662</v>
      </c>
      <c r="AE821" s="1" t="s">
        <v>14663</v>
      </c>
      <c r="AF821" s="1"/>
      <c r="AG821" s="1" t="n">
        <v>61</v>
      </c>
      <c r="AH821" s="1" t="n">
        <v>5</v>
      </c>
      <c r="AI821" s="1" t="n">
        <v>5</v>
      </c>
      <c r="AJ821" s="1" t="n">
        <v>1</v>
      </c>
      <c r="AK821" s="1" t="n">
        <v>15</v>
      </c>
      <c r="AL821" s="1" t="s">
        <v>679</v>
      </c>
      <c r="AM821" s="1" t="s">
        <v>95</v>
      </c>
      <c r="AN821" s="1" t="s">
        <v>803</v>
      </c>
      <c r="AO821" s="1" t="s">
        <v>14664</v>
      </c>
      <c r="AP821" s="1" t="s">
        <v>14665</v>
      </c>
      <c r="AQ821" s="1"/>
      <c r="AR821" s="1" t="s">
        <v>14666</v>
      </c>
      <c r="AS821" s="1" t="s">
        <v>14667</v>
      </c>
      <c r="AT821" s="1" t="s">
        <v>808</v>
      </c>
      <c r="AU821" s="1" t="n">
        <v>2022</v>
      </c>
      <c r="AV821" s="1" t="n">
        <v>32</v>
      </c>
      <c r="AW821" s="1" t="n">
        <v>3</v>
      </c>
      <c r="AX821" s="1"/>
      <c r="AY821" s="1"/>
      <c r="AZ821" s="1"/>
      <c r="BA821" s="1"/>
      <c r="BB821" s="1" t="n">
        <v>827</v>
      </c>
      <c r="BC821" s="1" t="n">
        <v>865</v>
      </c>
      <c r="BD821" s="1"/>
      <c r="BE821" s="1" t="s">
        <v>14668</v>
      </c>
      <c r="BF821" s="1" t="str">
        <f aca="false">HYPERLINK("http://dx.doi.org/10.1007/s00191-022-00770-x","http://dx.doi.org/10.1007/s00191-022-00770-x")</f>
        <v>http://dx.doi.org/10.1007/s00191-022-00770-x</v>
      </c>
      <c r="BG821" s="1"/>
      <c r="BH821" s="1" t="s">
        <v>1934</v>
      </c>
      <c r="BI821" s="1" t="n">
        <v>39</v>
      </c>
      <c r="BJ821" s="1" t="s">
        <v>3680</v>
      </c>
      <c r="BK821" s="1" t="s">
        <v>610</v>
      </c>
      <c r="BL821" s="1" t="s">
        <v>715</v>
      </c>
      <c r="BM821" s="1" t="s">
        <v>14669</v>
      </c>
      <c r="BN821" s="1"/>
      <c r="BO821" s="1" t="s">
        <v>282</v>
      </c>
      <c r="BP821" s="1"/>
      <c r="BQ821" s="1"/>
      <c r="BR821" s="1" t="s">
        <v>103</v>
      </c>
      <c r="BS821" s="1" t="s">
        <v>14670</v>
      </c>
      <c r="BT821" s="1" t="str">
        <f aca="false">HYPERLINK("https%3A%2F%2Fwww.webofscience.com%2Fwos%2Fwoscc%2Ffull-record%2FWOS:000786305200001","View Full Record in Web of Science")</f>
        <v>View Full Record in Web of Science</v>
      </c>
    </row>
    <row r="822" customFormat="false" ht="12.75" hidden="false" customHeight="false" outlineLevel="0" collapsed="false">
      <c r="A822" s="1" t="s">
        <v>181</v>
      </c>
      <c r="B822" s="1" t="s">
        <v>14671</v>
      </c>
      <c r="C822" s="1"/>
      <c r="D822" s="1"/>
      <c r="E822" s="1"/>
      <c r="F822" s="1" t="s">
        <v>14672</v>
      </c>
      <c r="G822" s="1"/>
      <c r="H822" s="1"/>
      <c r="I822" s="1" t="s">
        <v>14673</v>
      </c>
      <c r="J822" s="1" t="s">
        <v>8347</v>
      </c>
      <c r="K822" s="1"/>
      <c r="L822" s="1"/>
      <c r="M822" s="1" t="s">
        <v>78</v>
      </c>
      <c r="N822" s="1" t="s">
        <v>186</v>
      </c>
      <c r="O822" s="1"/>
      <c r="P822" s="1"/>
      <c r="Q822" s="1"/>
      <c r="R822" s="1"/>
      <c r="S822" s="1"/>
      <c r="T822" s="1" t="s">
        <v>14674</v>
      </c>
      <c r="U822" s="1" t="s">
        <v>14675</v>
      </c>
      <c r="V822" s="1" t="s">
        <v>14676</v>
      </c>
      <c r="W822" s="1" t="s">
        <v>14677</v>
      </c>
      <c r="X822" s="1" t="s">
        <v>14678</v>
      </c>
      <c r="Y822" s="1" t="s">
        <v>14679</v>
      </c>
      <c r="Z822" s="1" t="s">
        <v>14680</v>
      </c>
      <c r="AA822" s="1" t="s">
        <v>14681</v>
      </c>
      <c r="AB822" s="1" t="s">
        <v>14682</v>
      </c>
      <c r="AC822" s="1" t="s">
        <v>13471</v>
      </c>
      <c r="AD822" s="1" t="s">
        <v>13472</v>
      </c>
      <c r="AE822" s="1" t="s">
        <v>14683</v>
      </c>
      <c r="AF822" s="1"/>
      <c r="AG822" s="1" t="n">
        <v>50</v>
      </c>
      <c r="AH822" s="1" t="n">
        <v>33</v>
      </c>
      <c r="AI822" s="1" t="n">
        <v>35</v>
      </c>
      <c r="AJ822" s="1" t="n">
        <v>1</v>
      </c>
      <c r="AK822" s="1" t="n">
        <v>25</v>
      </c>
      <c r="AL822" s="1" t="s">
        <v>846</v>
      </c>
      <c r="AM822" s="1" t="s">
        <v>847</v>
      </c>
      <c r="AN822" s="1" t="s">
        <v>848</v>
      </c>
      <c r="AO822" s="1" t="s">
        <v>8354</v>
      </c>
      <c r="AP822" s="1"/>
      <c r="AQ822" s="1"/>
      <c r="AR822" s="1" t="s">
        <v>8355</v>
      </c>
      <c r="AS822" s="1" t="s">
        <v>8356</v>
      </c>
      <c r="AT822" s="1" t="s">
        <v>12291</v>
      </c>
      <c r="AU822" s="1" t="n">
        <v>2020</v>
      </c>
      <c r="AV822" s="1" t="n">
        <v>22</v>
      </c>
      <c r="AW822" s="1" t="n">
        <v>6</v>
      </c>
      <c r="AX822" s="1"/>
      <c r="AY822" s="1"/>
      <c r="AZ822" s="1"/>
      <c r="BA822" s="1"/>
      <c r="BB822" s="1"/>
      <c r="BC822" s="1"/>
      <c r="BD822" s="1" t="s">
        <v>14684</v>
      </c>
      <c r="BE822" s="1" t="s">
        <v>14685</v>
      </c>
      <c r="BF822" s="1" t="str">
        <f aca="false">HYPERLINK("http://dx.doi.org/10.2196/17253","http://dx.doi.org/10.2196/17253")</f>
        <v>http://dx.doi.org/10.2196/17253</v>
      </c>
      <c r="BG822" s="1"/>
      <c r="BH822" s="1"/>
      <c r="BI822" s="1" t="n">
        <v>15</v>
      </c>
      <c r="BJ822" s="1" t="s">
        <v>854</v>
      </c>
      <c r="BK822" s="1" t="s">
        <v>398</v>
      </c>
      <c r="BL822" s="1" t="s">
        <v>854</v>
      </c>
      <c r="BM822" s="1" t="s">
        <v>14686</v>
      </c>
      <c r="BN822" s="1" t="n">
        <v>32442136</v>
      </c>
      <c r="BO822" s="1" t="s">
        <v>9432</v>
      </c>
      <c r="BP822" s="1"/>
      <c r="BQ822" s="1"/>
      <c r="BR822" s="1" t="s">
        <v>103</v>
      </c>
      <c r="BS822" s="1" t="s">
        <v>14687</v>
      </c>
      <c r="BT822" s="1" t="str">
        <f aca="false">HYPERLINK("https%3A%2F%2Fwww.webofscience.com%2Fwos%2Fwoscc%2Ffull-record%2FWOS:000537035500001","View Full Record in Web of Science")</f>
        <v>View Full Record in Web of Science</v>
      </c>
    </row>
    <row r="823" customFormat="false" ht="12.75" hidden="false" customHeight="false" outlineLevel="0" collapsed="false">
      <c r="A823" s="1" t="s">
        <v>72</v>
      </c>
      <c r="B823" s="1" t="s">
        <v>14688</v>
      </c>
      <c r="C823" s="1"/>
      <c r="D823" s="1" t="s">
        <v>14689</v>
      </c>
      <c r="E823" s="1"/>
      <c r="F823" s="1" t="s">
        <v>14690</v>
      </c>
      <c r="G823" s="1"/>
      <c r="H823" s="1"/>
      <c r="I823" s="1" t="s">
        <v>14691</v>
      </c>
      <c r="J823" s="1" t="s">
        <v>14692</v>
      </c>
      <c r="K823" s="1" t="s">
        <v>976</v>
      </c>
      <c r="L823" s="1"/>
      <c r="M823" s="1" t="s">
        <v>78</v>
      </c>
      <c r="N823" s="1" t="s">
        <v>79</v>
      </c>
      <c r="O823" s="1" t="s">
        <v>14693</v>
      </c>
      <c r="P823" s="1" t="s">
        <v>14694</v>
      </c>
      <c r="Q823" s="1" t="s">
        <v>13803</v>
      </c>
      <c r="R823" s="1"/>
      <c r="S823" s="1"/>
      <c r="T823" s="1" t="s">
        <v>14695</v>
      </c>
      <c r="U823" s="1"/>
      <c r="V823" s="1" t="s">
        <v>14696</v>
      </c>
      <c r="W823" s="1" t="s">
        <v>14697</v>
      </c>
      <c r="X823" s="1" t="s">
        <v>14541</v>
      </c>
      <c r="Y823" s="1" t="s">
        <v>14698</v>
      </c>
      <c r="Z823" s="1" t="s">
        <v>14543</v>
      </c>
      <c r="AA823" s="1" t="s">
        <v>14544</v>
      </c>
      <c r="AB823" s="1" t="s">
        <v>14699</v>
      </c>
      <c r="AC823" s="1"/>
      <c r="AD823" s="1"/>
      <c r="AE823" s="1"/>
      <c r="AF823" s="1"/>
      <c r="AG823" s="1" t="n">
        <v>11</v>
      </c>
      <c r="AH823" s="1" t="n">
        <v>0</v>
      </c>
      <c r="AI823" s="1" t="n">
        <v>0</v>
      </c>
      <c r="AJ823" s="1" t="n">
        <v>2</v>
      </c>
      <c r="AK823" s="1" t="n">
        <v>2</v>
      </c>
      <c r="AL823" s="1" t="s">
        <v>302</v>
      </c>
      <c r="AM823" s="1" t="s">
        <v>303</v>
      </c>
      <c r="AN823" s="1" t="s">
        <v>304</v>
      </c>
      <c r="AO823" s="1" t="s">
        <v>989</v>
      </c>
      <c r="AP823" s="1" t="s">
        <v>990</v>
      </c>
      <c r="AQ823" s="1" t="s">
        <v>14700</v>
      </c>
      <c r="AR823" s="1" t="s">
        <v>992</v>
      </c>
      <c r="AS823" s="1"/>
      <c r="AT823" s="1"/>
      <c r="AU823" s="1" t="n">
        <v>2024</v>
      </c>
      <c r="AV823" s="1" t="n">
        <v>14629</v>
      </c>
      <c r="AW823" s="1"/>
      <c r="AX823" s="1"/>
      <c r="AY823" s="1"/>
      <c r="AZ823" s="1"/>
      <c r="BA823" s="1"/>
      <c r="BB823" s="1" t="n">
        <v>435</v>
      </c>
      <c r="BC823" s="1" t="n">
        <v>440</v>
      </c>
      <c r="BD823" s="1"/>
      <c r="BE823" s="1" t="s">
        <v>14701</v>
      </c>
      <c r="BF823" s="1" t="str">
        <f aca="false">HYPERLINK("http://dx.doi.org/10.1007/978-3-031-62362-2_40","http://dx.doi.org/10.1007/978-3-031-62362-2_40")</f>
        <v>http://dx.doi.org/10.1007/978-3-031-62362-2_40</v>
      </c>
      <c r="BG823" s="1"/>
      <c r="BH823" s="1"/>
      <c r="BI823" s="1" t="n">
        <v>6</v>
      </c>
      <c r="BJ823" s="1" t="s">
        <v>14702</v>
      </c>
      <c r="BK823" s="1" t="s">
        <v>100</v>
      </c>
      <c r="BL823" s="1" t="s">
        <v>311</v>
      </c>
      <c r="BM823" s="1" t="s">
        <v>14703</v>
      </c>
      <c r="BN823" s="1"/>
      <c r="BO823" s="1"/>
      <c r="BP823" s="1"/>
      <c r="BQ823" s="1"/>
      <c r="BR823" s="1" t="s">
        <v>103</v>
      </c>
      <c r="BS823" s="1" t="s">
        <v>14704</v>
      </c>
      <c r="BT823" s="1" t="str">
        <f aca="false">HYPERLINK("https%3A%2F%2Fwww.webofscience.com%2Fwos%2Fwoscc%2Ffull-record%2FWOS:001280356300040","View Full Record in Web of Science")</f>
        <v>View Full Record in Web of Science</v>
      </c>
    </row>
    <row r="824" customFormat="false" ht="12.75" hidden="false" customHeight="false" outlineLevel="0" collapsed="false">
      <c r="A824" s="1" t="s">
        <v>181</v>
      </c>
      <c r="B824" s="1" t="s">
        <v>14705</v>
      </c>
      <c r="C824" s="1"/>
      <c r="D824" s="1"/>
      <c r="E824" s="1"/>
      <c r="F824" s="1" t="s">
        <v>14706</v>
      </c>
      <c r="G824" s="1"/>
      <c r="H824" s="1"/>
      <c r="I824" s="1" t="s">
        <v>14707</v>
      </c>
      <c r="J824" s="1" t="s">
        <v>1378</v>
      </c>
      <c r="K824" s="1"/>
      <c r="L824" s="1"/>
      <c r="M824" s="1" t="s">
        <v>78</v>
      </c>
      <c r="N824" s="1" t="s">
        <v>186</v>
      </c>
      <c r="O824" s="1"/>
      <c r="P824" s="1"/>
      <c r="Q824" s="1"/>
      <c r="R824" s="1"/>
      <c r="S824" s="1"/>
      <c r="T824" s="1" t="s">
        <v>14708</v>
      </c>
      <c r="U824" s="1" t="s">
        <v>14709</v>
      </c>
      <c r="V824" s="1" t="s">
        <v>14710</v>
      </c>
      <c r="W824" s="1" t="s">
        <v>14711</v>
      </c>
      <c r="X824" s="1" t="s">
        <v>14712</v>
      </c>
      <c r="Y824" s="1" t="s">
        <v>14713</v>
      </c>
      <c r="Z824" s="1" t="s">
        <v>14714</v>
      </c>
      <c r="AA824" s="1" t="s">
        <v>14715</v>
      </c>
      <c r="AB824" s="1" t="s">
        <v>14716</v>
      </c>
      <c r="AC824" s="1"/>
      <c r="AD824" s="1"/>
      <c r="AE824" s="1"/>
      <c r="AF824" s="1"/>
      <c r="AG824" s="1" t="n">
        <v>70</v>
      </c>
      <c r="AH824" s="1" t="n">
        <v>11</v>
      </c>
      <c r="AI824" s="1" t="n">
        <v>11</v>
      </c>
      <c r="AJ824" s="1" t="n">
        <v>2</v>
      </c>
      <c r="AK824" s="1" t="n">
        <v>11</v>
      </c>
      <c r="AL824" s="1" t="s">
        <v>893</v>
      </c>
      <c r="AM824" s="1" t="s">
        <v>894</v>
      </c>
      <c r="AN824" s="1" t="s">
        <v>895</v>
      </c>
      <c r="AO824" s="1" t="s">
        <v>1387</v>
      </c>
      <c r="AP824" s="1" t="s">
        <v>1388</v>
      </c>
      <c r="AQ824" s="1"/>
      <c r="AR824" s="1" t="s">
        <v>1389</v>
      </c>
      <c r="AS824" s="1" t="s">
        <v>1390</v>
      </c>
      <c r="AT824" s="1" t="s">
        <v>711</v>
      </c>
      <c r="AU824" s="1" t="n">
        <v>2021</v>
      </c>
      <c r="AV824" s="1" t="n">
        <v>136</v>
      </c>
      <c r="AW824" s="1"/>
      <c r="AX824" s="1"/>
      <c r="AY824" s="1"/>
      <c r="AZ824" s="1"/>
      <c r="BA824" s="1"/>
      <c r="BB824" s="1"/>
      <c r="BC824" s="1"/>
      <c r="BD824" s="1" t="n">
        <v>106586</v>
      </c>
      <c r="BE824" s="1" t="s">
        <v>14717</v>
      </c>
      <c r="BF824" s="1" t="str">
        <f aca="false">HYPERLINK("http://dx.doi.org/10.1016/j.infsof.2021.106586","http://dx.doi.org/10.1016/j.infsof.2021.106586")</f>
        <v>http://dx.doi.org/10.1016/j.infsof.2021.106586</v>
      </c>
      <c r="BG824" s="1"/>
      <c r="BH824" s="1" t="s">
        <v>8640</v>
      </c>
      <c r="BI824" s="1" t="n">
        <v>15</v>
      </c>
      <c r="BJ824" s="1" t="s">
        <v>1394</v>
      </c>
      <c r="BK824" s="1" t="s">
        <v>398</v>
      </c>
      <c r="BL824" s="1" t="s">
        <v>101</v>
      </c>
      <c r="BM824" s="1" t="s">
        <v>14718</v>
      </c>
      <c r="BN824" s="1"/>
      <c r="BO824" s="1" t="s">
        <v>7573</v>
      </c>
      <c r="BP824" s="1"/>
      <c r="BQ824" s="1"/>
      <c r="BR824" s="1" t="s">
        <v>103</v>
      </c>
      <c r="BS824" s="1" t="s">
        <v>14719</v>
      </c>
      <c r="BT824" s="1" t="str">
        <f aca="false">HYPERLINK("https%3A%2F%2Fwww.webofscience.com%2Fwos%2Fwoscc%2Ffull-record%2FWOS:000655363900007","View Full Record in Web of Science")</f>
        <v>View Full Record in Web of Science</v>
      </c>
    </row>
    <row r="825" customFormat="false" ht="12.75" hidden="false" customHeight="false" outlineLevel="0" collapsed="false">
      <c r="A825" s="1" t="s">
        <v>181</v>
      </c>
      <c r="B825" s="1" t="s">
        <v>14720</v>
      </c>
      <c r="C825" s="1"/>
      <c r="D825" s="1"/>
      <c r="E825" s="1"/>
      <c r="F825" s="1" t="s">
        <v>14721</v>
      </c>
      <c r="G825" s="1"/>
      <c r="H825" s="1"/>
      <c r="I825" s="1" t="s">
        <v>14722</v>
      </c>
      <c r="J825" s="1" t="s">
        <v>14723</v>
      </c>
      <c r="K825" s="1"/>
      <c r="L825" s="1"/>
      <c r="M825" s="1" t="s">
        <v>78</v>
      </c>
      <c r="N825" s="1" t="s">
        <v>186</v>
      </c>
      <c r="O825" s="1"/>
      <c r="P825" s="1"/>
      <c r="Q825" s="1"/>
      <c r="R825" s="1"/>
      <c r="S825" s="1"/>
      <c r="T825" s="1" t="s">
        <v>14724</v>
      </c>
      <c r="U825" s="1" t="s">
        <v>14725</v>
      </c>
      <c r="V825" s="1" t="s">
        <v>14726</v>
      </c>
      <c r="W825" s="1" t="s">
        <v>14727</v>
      </c>
      <c r="X825" s="1" t="s">
        <v>14728</v>
      </c>
      <c r="Y825" s="1" t="s">
        <v>14729</v>
      </c>
      <c r="Z825" s="1" t="s">
        <v>14730</v>
      </c>
      <c r="AA825" s="1" t="s">
        <v>14731</v>
      </c>
      <c r="AB825" s="1" t="s">
        <v>14732</v>
      </c>
      <c r="AC825" s="1" t="s">
        <v>14733</v>
      </c>
      <c r="AD825" s="1" t="s">
        <v>14734</v>
      </c>
      <c r="AE825" s="1" t="s">
        <v>14735</v>
      </c>
      <c r="AF825" s="1"/>
      <c r="AG825" s="1" t="n">
        <v>57</v>
      </c>
      <c r="AH825" s="1" t="n">
        <v>32</v>
      </c>
      <c r="AI825" s="1" t="n">
        <v>32</v>
      </c>
      <c r="AJ825" s="1" t="n">
        <v>2</v>
      </c>
      <c r="AK825" s="1" t="n">
        <v>46</v>
      </c>
      <c r="AL825" s="1" t="s">
        <v>14736</v>
      </c>
      <c r="AM825" s="1" t="s">
        <v>1908</v>
      </c>
      <c r="AN825" s="1" t="s">
        <v>14737</v>
      </c>
      <c r="AO825" s="1" t="s">
        <v>14738</v>
      </c>
      <c r="AP825" s="1" t="s">
        <v>14739</v>
      </c>
      <c r="AQ825" s="1"/>
      <c r="AR825" s="1" t="s">
        <v>14740</v>
      </c>
      <c r="AS825" s="1" t="s">
        <v>14741</v>
      </c>
      <c r="AT825" s="1" t="s">
        <v>14441</v>
      </c>
      <c r="AU825" s="1" t="n">
        <v>2020</v>
      </c>
      <c r="AV825" s="1" t="n">
        <v>270</v>
      </c>
      <c r="AW825" s="1"/>
      <c r="AX825" s="1"/>
      <c r="AY825" s="1"/>
      <c r="AZ825" s="1"/>
      <c r="BA825" s="1"/>
      <c r="BB825" s="1"/>
      <c r="BC825" s="1"/>
      <c r="BD825" s="1" t="n">
        <v>110864</v>
      </c>
      <c r="BE825" s="1" t="s">
        <v>14742</v>
      </c>
      <c r="BF825" s="1" t="str">
        <f aca="false">HYPERLINK("http://dx.doi.org/10.1016/j.jenvman.2020.110864","http://dx.doi.org/10.1016/j.jenvman.2020.110864")</f>
        <v>http://dx.doi.org/10.1016/j.jenvman.2020.110864</v>
      </c>
      <c r="BG825" s="1"/>
      <c r="BH825" s="1"/>
      <c r="BI825" s="1" t="n">
        <v>11</v>
      </c>
      <c r="BJ825" s="1" t="s">
        <v>664</v>
      </c>
      <c r="BK825" s="1" t="s">
        <v>398</v>
      </c>
      <c r="BL825" s="1" t="s">
        <v>665</v>
      </c>
      <c r="BM825" s="1" t="s">
        <v>14743</v>
      </c>
      <c r="BN825" s="1" t="n">
        <v>32721310</v>
      </c>
      <c r="BO825" s="1" t="s">
        <v>207</v>
      </c>
      <c r="BP825" s="1"/>
      <c r="BQ825" s="1"/>
      <c r="BR825" s="1" t="s">
        <v>103</v>
      </c>
      <c r="BS825" s="1" t="s">
        <v>14744</v>
      </c>
      <c r="BT825" s="1" t="str">
        <f aca="false">HYPERLINK("https%3A%2F%2Fwww.webofscience.com%2Fwos%2Fwoscc%2Ffull-record%2FWOS:000554920300052","View Full Record in Web of Science")</f>
        <v>View Full Record in Web of Science</v>
      </c>
    </row>
    <row r="826" customFormat="false" ht="12.75" hidden="false" customHeight="false" outlineLevel="0" collapsed="false">
      <c r="A826" s="1" t="s">
        <v>181</v>
      </c>
      <c r="B826" s="1" t="s">
        <v>14745</v>
      </c>
      <c r="C826" s="1"/>
      <c r="D826" s="1"/>
      <c r="E826" s="1"/>
      <c r="F826" s="1" t="s">
        <v>14746</v>
      </c>
      <c r="G826" s="1"/>
      <c r="H826" s="1"/>
      <c r="I826" s="1" t="s">
        <v>14747</v>
      </c>
      <c r="J826" s="1" t="s">
        <v>14748</v>
      </c>
      <c r="K826" s="1"/>
      <c r="L826" s="1"/>
      <c r="M826" s="1" t="s">
        <v>78</v>
      </c>
      <c r="N826" s="1" t="s">
        <v>186</v>
      </c>
      <c r="O826" s="1"/>
      <c r="P826" s="1"/>
      <c r="Q826" s="1"/>
      <c r="R826" s="1"/>
      <c r="S826" s="1"/>
      <c r="T826" s="1" t="s">
        <v>14749</v>
      </c>
      <c r="U826" s="1"/>
      <c r="V826" s="1" t="s">
        <v>14750</v>
      </c>
      <c r="W826" s="1" t="s">
        <v>14751</v>
      </c>
      <c r="X826" s="1" t="s">
        <v>14752</v>
      </c>
      <c r="Y826" s="1" t="s">
        <v>7729</v>
      </c>
      <c r="Z826" s="1" t="s">
        <v>10093</v>
      </c>
      <c r="AA826" s="1" t="s">
        <v>6406</v>
      </c>
      <c r="AB826" s="1" t="s">
        <v>10094</v>
      </c>
      <c r="AC826" s="1" t="s">
        <v>14753</v>
      </c>
      <c r="AD826" s="1" t="s">
        <v>14754</v>
      </c>
      <c r="AE826" s="1" t="s">
        <v>14755</v>
      </c>
      <c r="AF826" s="1"/>
      <c r="AG826" s="1" t="n">
        <v>24</v>
      </c>
      <c r="AH826" s="1" t="n">
        <v>0</v>
      </c>
      <c r="AI826" s="1" t="n">
        <v>0</v>
      </c>
      <c r="AJ826" s="1" t="n">
        <v>4</v>
      </c>
      <c r="AK826" s="1" t="n">
        <v>9</v>
      </c>
      <c r="AL826" s="1" t="s">
        <v>270</v>
      </c>
      <c r="AM826" s="1" t="s">
        <v>271</v>
      </c>
      <c r="AN826" s="1" t="s">
        <v>272</v>
      </c>
      <c r="AO826" s="1" t="s">
        <v>14756</v>
      </c>
      <c r="AP826" s="1" t="s">
        <v>14757</v>
      </c>
      <c r="AQ826" s="1"/>
      <c r="AR826" s="1" t="s">
        <v>14758</v>
      </c>
      <c r="AS826" s="1" t="s">
        <v>14759</v>
      </c>
      <c r="AT826" s="1" t="s">
        <v>711</v>
      </c>
      <c r="AU826" s="1" t="n">
        <v>2024</v>
      </c>
      <c r="AV826" s="1" t="n">
        <v>68</v>
      </c>
      <c r="AW826" s="1" t="n">
        <v>8</v>
      </c>
      <c r="AX826" s="1"/>
      <c r="AY826" s="1"/>
      <c r="AZ826" s="1"/>
      <c r="BA826" s="1"/>
      <c r="BB826" s="1" t="n">
        <v>2057</v>
      </c>
      <c r="BC826" s="1" t="n">
        <v>2069</v>
      </c>
      <c r="BD826" s="1"/>
      <c r="BE826" s="1" t="s">
        <v>14760</v>
      </c>
      <c r="BF826" s="1" t="str">
        <f aca="false">HYPERLINK("http://dx.doi.org/10.1007/s40194-024-01792-8","http://dx.doi.org/10.1007/s40194-024-01792-8")</f>
        <v>http://dx.doi.org/10.1007/s40194-024-01792-8</v>
      </c>
      <c r="BG826" s="1"/>
      <c r="BH826" s="1" t="s">
        <v>1658</v>
      </c>
      <c r="BI826" s="1" t="n">
        <v>13</v>
      </c>
      <c r="BJ826" s="1" t="s">
        <v>14761</v>
      </c>
      <c r="BK826" s="1" t="s">
        <v>204</v>
      </c>
      <c r="BL826" s="1" t="s">
        <v>14761</v>
      </c>
      <c r="BM826" s="1" t="s">
        <v>14762</v>
      </c>
      <c r="BN826" s="1"/>
      <c r="BO826" s="1"/>
      <c r="BP826" s="1"/>
      <c r="BQ826" s="1"/>
      <c r="BR826" s="1" t="s">
        <v>103</v>
      </c>
      <c r="BS826" s="1" t="s">
        <v>14763</v>
      </c>
      <c r="BT826" s="1" t="str">
        <f aca="false">HYPERLINK("https%3A%2F%2Fwww.webofscience.com%2Fwos%2Fwoscc%2Ffull-record%2FWOS:001243867300002","View Full Record in Web of Science")</f>
        <v>View Full Record in Web of Science</v>
      </c>
    </row>
    <row r="827" customFormat="false" ht="12.75" hidden="false" customHeight="false" outlineLevel="0" collapsed="false">
      <c r="A827" s="1" t="s">
        <v>72</v>
      </c>
      <c r="B827" s="1" t="s">
        <v>14764</v>
      </c>
      <c r="C827" s="1"/>
      <c r="D827" s="1" t="s">
        <v>14765</v>
      </c>
      <c r="E827" s="1"/>
      <c r="F827" s="1" t="s">
        <v>14766</v>
      </c>
      <c r="G827" s="1"/>
      <c r="H827" s="1"/>
      <c r="I827" s="1" t="s">
        <v>14767</v>
      </c>
      <c r="J827" s="1" t="s">
        <v>14768</v>
      </c>
      <c r="K827" s="1" t="s">
        <v>7125</v>
      </c>
      <c r="L827" s="1"/>
      <c r="M827" s="1" t="s">
        <v>78</v>
      </c>
      <c r="N827" s="1" t="s">
        <v>79</v>
      </c>
      <c r="O827" s="1" t="s">
        <v>14769</v>
      </c>
      <c r="P827" s="1" t="s">
        <v>14770</v>
      </c>
      <c r="Q827" s="1" t="s">
        <v>14771</v>
      </c>
      <c r="R827" s="1" t="s">
        <v>14772</v>
      </c>
      <c r="S827" s="1" t="s">
        <v>14773</v>
      </c>
      <c r="T827" s="1" t="s">
        <v>14774</v>
      </c>
      <c r="U827" s="1" t="s">
        <v>14775</v>
      </c>
      <c r="V827" s="1" t="s">
        <v>14776</v>
      </c>
      <c r="W827" s="1" t="s">
        <v>14777</v>
      </c>
      <c r="X827" s="1" t="s">
        <v>14778</v>
      </c>
      <c r="Y827" s="1" t="s">
        <v>14779</v>
      </c>
      <c r="Z827" s="1" t="s">
        <v>14780</v>
      </c>
      <c r="AA827" s="1"/>
      <c r="AB827" s="1"/>
      <c r="AC827" s="1"/>
      <c r="AD827" s="1"/>
      <c r="AE827" s="1"/>
      <c r="AF827" s="1"/>
      <c r="AG827" s="1" t="n">
        <v>16</v>
      </c>
      <c r="AH827" s="1" t="n">
        <v>0</v>
      </c>
      <c r="AI827" s="1" t="n">
        <v>0</v>
      </c>
      <c r="AJ827" s="1" t="n">
        <v>1</v>
      </c>
      <c r="AK827" s="1" t="n">
        <v>6</v>
      </c>
      <c r="AL827" s="1" t="s">
        <v>302</v>
      </c>
      <c r="AM827" s="1" t="s">
        <v>303</v>
      </c>
      <c r="AN827" s="1" t="s">
        <v>304</v>
      </c>
      <c r="AO827" s="1" t="s">
        <v>7136</v>
      </c>
      <c r="AP827" s="1" t="s">
        <v>7137</v>
      </c>
      <c r="AQ827" s="1" t="s">
        <v>14781</v>
      </c>
      <c r="AR827" s="1" t="s">
        <v>7139</v>
      </c>
      <c r="AS827" s="1"/>
      <c r="AT827" s="1"/>
      <c r="AU827" s="1" t="n">
        <v>2022</v>
      </c>
      <c r="AV827" s="1"/>
      <c r="AW827" s="1"/>
      <c r="AX827" s="1"/>
      <c r="AY827" s="1"/>
      <c r="AZ827" s="1"/>
      <c r="BA827" s="1"/>
      <c r="BB827" s="1" t="n">
        <v>61</v>
      </c>
      <c r="BC827" s="1" t="n">
        <v>68</v>
      </c>
      <c r="BD827" s="1"/>
      <c r="BE827" s="1" t="s">
        <v>14782</v>
      </c>
      <c r="BF827" s="1" t="str">
        <f aca="false">HYPERLINK("http://dx.doi.org/10.1007/978-3-030-99333-7_9","http://dx.doi.org/10.1007/978-3-030-99333-7_9")</f>
        <v>http://dx.doi.org/10.1007/978-3-030-99333-7_9</v>
      </c>
      <c r="BG827" s="1"/>
      <c r="BH827" s="1"/>
      <c r="BI827" s="1" t="n">
        <v>8</v>
      </c>
      <c r="BJ827" s="1" t="s">
        <v>14783</v>
      </c>
      <c r="BK827" s="1" t="s">
        <v>100</v>
      </c>
      <c r="BL827" s="1" t="s">
        <v>14784</v>
      </c>
      <c r="BM827" s="1" t="s">
        <v>14785</v>
      </c>
      <c r="BN827" s="1"/>
      <c r="BO827" s="1"/>
      <c r="BP827" s="1"/>
      <c r="BQ827" s="1"/>
      <c r="BR827" s="1" t="s">
        <v>103</v>
      </c>
      <c r="BS827" s="1" t="s">
        <v>14786</v>
      </c>
      <c r="BT827" s="1" t="str">
        <f aca="false">HYPERLINK("https%3A%2F%2Fwww.webofscience.com%2Fwos%2Fwoscc%2Ffull-record%2FWOS:000881662200009","View Full Record in Web of Science")</f>
        <v>View Full Record in Web of Science</v>
      </c>
    </row>
    <row r="828" customFormat="false" ht="12.75" hidden="false" customHeight="false" outlineLevel="0" collapsed="false">
      <c r="A828" s="1" t="s">
        <v>181</v>
      </c>
      <c r="B828" s="1" t="s">
        <v>14787</v>
      </c>
      <c r="C828" s="1"/>
      <c r="D828" s="1"/>
      <c r="E828" s="1"/>
      <c r="F828" s="1" t="s">
        <v>14788</v>
      </c>
      <c r="G828" s="1"/>
      <c r="H828" s="1"/>
      <c r="I828" s="1" t="s">
        <v>14789</v>
      </c>
      <c r="J828" s="1" t="s">
        <v>14790</v>
      </c>
      <c r="K828" s="1"/>
      <c r="L828" s="1"/>
      <c r="M828" s="1" t="s">
        <v>78</v>
      </c>
      <c r="N828" s="1" t="s">
        <v>618</v>
      </c>
      <c r="O828" s="1"/>
      <c r="P828" s="1"/>
      <c r="Q828" s="1"/>
      <c r="R828" s="1"/>
      <c r="S828" s="1"/>
      <c r="T828" s="1" t="s">
        <v>14791</v>
      </c>
      <c r="U828" s="1" t="s">
        <v>14792</v>
      </c>
      <c r="V828" s="1" t="s">
        <v>14793</v>
      </c>
      <c r="W828" s="1" t="s">
        <v>14794</v>
      </c>
      <c r="X828" s="1" t="s">
        <v>14795</v>
      </c>
      <c r="Y828" s="1" t="s">
        <v>14796</v>
      </c>
      <c r="Z828" s="1" t="s">
        <v>14797</v>
      </c>
      <c r="AA828" s="1"/>
      <c r="AB828" s="1" t="s">
        <v>14798</v>
      </c>
      <c r="AC828" s="1" t="s">
        <v>14799</v>
      </c>
      <c r="AD828" s="1" t="s">
        <v>14800</v>
      </c>
      <c r="AE828" s="1" t="s">
        <v>14801</v>
      </c>
      <c r="AF828" s="1"/>
      <c r="AG828" s="1" t="n">
        <v>136</v>
      </c>
      <c r="AH828" s="1" t="n">
        <v>43</v>
      </c>
      <c r="AI828" s="1" t="n">
        <v>43</v>
      </c>
      <c r="AJ828" s="1" t="n">
        <v>5</v>
      </c>
      <c r="AK828" s="1" t="n">
        <v>6</v>
      </c>
      <c r="AL828" s="1" t="s">
        <v>14802</v>
      </c>
      <c r="AM828" s="1" t="s">
        <v>1908</v>
      </c>
      <c r="AN828" s="1" t="s">
        <v>14803</v>
      </c>
      <c r="AO828" s="1" t="s">
        <v>14804</v>
      </c>
      <c r="AP828" s="1"/>
      <c r="AQ828" s="1"/>
      <c r="AR828" s="1" t="s">
        <v>14805</v>
      </c>
      <c r="AS828" s="1" t="s">
        <v>14806</v>
      </c>
      <c r="AT828" s="1"/>
      <c r="AU828" s="1" t="n">
        <v>2021</v>
      </c>
      <c r="AV828" s="1" t="n">
        <v>2</v>
      </c>
      <c r="AW828" s="1" t="n">
        <v>1</v>
      </c>
      <c r="AX828" s="1"/>
      <c r="AY828" s="1"/>
      <c r="AZ828" s="1"/>
      <c r="BA828" s="1"/>
      <c r="BB828" s="1" t="n">
        <v>378</v>
      </c>
      <c r="BC828" s="1" t="n">
        <v>401</v>
      </c>
      <c r="BD828" s="1"/>
      <c r="BE828" s="1" t="s">
        <v>14807</v>
      </c>
      <c r="BF828" s="1" t="str">
        <f aca="false">HYPERLINK("http://dx.doi.org/10.5334/bc.125","http://dx.doi.org/10.5334/bc.125")</f>
        <v>http://dx.doi.org/10.5334/bc.125</v>
      </c>
      <c r="BG828" s="1"/>
      <c r="BH828" s="1"/>
      <c r="BI828" s="1" t="n">
        <v>24</v>
      </c>
      <c r="BJ828" s="1" t="s">
        <v>14808</v>
      </c>
      <c r="BK828" s="1" t="s">
        <v>253</v>
      </c>
      <c r="BL828" s="1" t="s">
        <v>14808</v>
      </c>
      <c r="BM828" s="1" t="s">
        <v>14809</v>
      </c>
      <c r="BN828" s="1"/>
      <c r="BO828" s="1" t="s">
        <v>401</v>
      </c>
      <c r="BP828" s="1"/>
      <c r="BQ828" s="1"/>
      <c r="BR828" s="1" t="s">
        <v>103</v>
      </c>
      <c r="BS828" s="1" t="s">
        <v>14810</v>
      </c>
      <c r="BT828" s="1" t="str">
        <f aca="false">HYPERLINK("https%3A%2F%2Fwww.webofscience.com%2Fwos%2Fwoscc%2Ffull-record%2FWOS:001208384900008","View Full Record in Web of Science")</f>
        <v>View Full Record in Web of Science</v>
      </c>
    </row>
    <row r="829" customFormat="false" ht="12.75" hidden="false" customHeight="false" outlineLevel="0" collapsed="false">
      <c r="A829" s="1" t="s">
        <v>181</v>
      </c>
      <c r="B829" s="1" t="s">
        <v>14811</v>
      </c>
      <c r="C829" s="1"/>
      <c r="D829" s="1"/>
      <c r="E829" s="1"/>
      <c r="F829" s="1" t="s">
        <v>14812</v>
      </c>
      <c r="G829" s="1"/>
      <c r="H829" s="1"/>
      <c r="I829" s="1" t="s">
        <v>14813</v>
      </c>
      <c r="J829" s="1" t="s">
        <v>14814</v>
      </c>
      <c r="K829" s="1"/>
      <c r="L829" s="1"/>
      <c r="M829" s="1" t="s">
        <v>78</v>
      </c>
      <c r="N829" s="1" t="s">
        <v>186</v>
      </c>
      <c r="O829" s="1"/>
      <c r="P829" s="1"/>
      <c r="Q829" s="1"/>
      <c r="R829" s="1"/>
      <c r="S829" s="1"/>
      <c r="T829" s="1" t="s">
        <v>14815</v>
      </c>
      <c r="U829" s="1" t="s">
        <v>14816</v>
      </c>
      <c r="V829" s="1" t="s">
        <v>14817</v>
      </c>
      <c r="W829" s="1" t="s">
        <v>14818</v>
      </c>
      <c r="X829" s="1" t="s">
        <v>14819</v>
      </c>
      <c r="Y829" s="1" t="s">
        <v>14820</v>
      </c>
      <c r="Z829" s="1" t="s">
        <v>14821</v>
      </c>
      <c r="AA829" s="1" t="s">
        <v>14822</v>
      </c>
      <c r="AB829" s="1" t="s">
        <v>14823</v>
      </c>
      <c r="AC829" s="1" t="s">
        <v>14824</v>
      </c>
      <c r="AD829" s="1" t="s">
        <v>14825</v>
      </c>
      <c r="AE829" s="1" t="s">
        <v>14826</v>
      </c>
      <c r="AF829" s="1"/>
      <c r="AG829" s="1" t="n">
        <v>187</v>
      </c>
      <c r="AH829" s="1" t="n">
        <v>10</v>
      </c>
      <c r="AI829" s="1" t="n">
        <v>10</v>
      </c>
      <c r="AJ829" s="1" t="n">
        <v>5</v>
      </c>
      <c r="AK829" s="1" t="n">
        <v>13</v>
      </c>
      <c r="AL829" s="1" t="s">
        <v>94</v>
      </c>
      <c r="AM829" s="1" t="s">
        <v>95</v>
      </c>
      <c r="AN829" s="1" t="s">
        <v>826</v>
      </c>
      <c r="AO829" s="1" t="s">
        <v>14827</v>
      </c>
      <c r="AP829" s="1" t="s">
        <v>14828</v>
      </c>
      <c r="AQ829" s="1"/>
      <c r="AR829" s="1" t="s">
        <v>14829</v>
      </c>
      <c r="AS829" s="1" t="s">
        <v>14830</v>
      </c>
      <c r="AT829" s="1" t="s">
        <v>754</v>
      </c>
      <c r="AU829" s="1" t="n">
        <v>2024</v>
      </c>
      <c r="AV829" s="1" t="n">
        <v>56</v>
      </c>
      <c r="AW829" s="1" t="n">
        <v>5</v>
      </c>
      <c r="AX829" s="1"/>
      <c r="AY829" s="1"/>
      <c r="AZ829" s="1"/>
      <c r="BA829" s="1"/>
      <c r="BB829" s="1"/>
      <c r="BC829" s="1"/>
      <c r="BD829" s="1" t="n">
        <v>131</v>
      </c>
      <c r="BE829" s="1" t="s">
        <v>14831</v>
      </c>
      <c r="BF829" s="1" t="str">
        <f aca="false">HYPERLINK("http://dx.doi.org/10.1145/3635030","http://dx.doi.org/10.1145/3635030")</f>
        <v>http://dx.doi.org/10.1145/3635030</v>
      </c>
      <c r="BG829" s="1"/>
      <c r="BH829" s="1"/>
      <c r="BI829" s="1" t="n">
        <v>37</v>
      </c>
      <c r="BJ829" s="1" t="s">
        <v>2136</v>
      </c>
      <c r="BK829" s="1" t="s">
        <v>204</v>
      </c>
      <c r="BL829" s="1" t="s">
        <v>101</v>
      </c>
      <c r="BM829" s="1" t="s">
        <v>14832</v>
      </c>
      <c r="BN829" s="1"/>
      <c r="BO829" s="1"/>
      <c r="BP829" s="1"/>
      <c r="BQ829" s="1"/>
      <c r="BR829" s="1" t="s">
        <v>103</v>
      </c>
      <c r="BS829" s="1" t="s">
        <v>14833</v>
      </c>
      <c r="BT829" s="1" t="str">
        <f aca="false">HYPERLINK("https%3A%2F%2Fwww.webofscience.com%2Fwos%2Fwoscc%2Ffull-record%2FWOS:001168549500024","View Full Record in Web of Science")</f>
        <v>View Full Record in Web of Science</v>
      </c>
    </row>
    <row r="830" customFormat="false" ht="12.75" hidden="false" customHeight="false" outlineLevel="0" collapsed="false">
      <c r="A830" s="1" t="s">
        <v>181</v>
      </c>
      <c r="B830" s="1" t="s">
        <v>14834</v>
      </c>
      <c r="C830" s="1"/>
      <c r="D830" s="1"/>
      <c r="E830" s="1"/>
      <c r="F830" s="1" t="s">
        <v>14835</v>
      </c>
      <c r="G830" s="1"/>
      <c r="H830" s="1"/>
      <c r="I830" s="1" t="s">
        <v>14836</v>
      </c>
      <c r="J830" s="1" t="s">
        <v>5910</v>
      </c>
      <c r="K830" s="1"/>
      <c r="L830" s="1"/>
      <c r="M830" s="1" t="s">
        <v>78</v>
      </c>
      <c r="N830" s="1" t="s">
        <v>186</v>
      </c>
      <c r="O830" s="1"/>
      <c r="P830" s="1"/>
      <c r="Q830" s="1"/>
      <c r="R830" s="1"/>
      <c r="S830" s="1"/>
      <c r="T830" s="1" t="s">
        <v>14837</v>
      </c>
      <c r="U830" s="1" t="s">
        <v>14838</v>
      </c>
      <c r="V830" s="1" t="s">
        <v>14839</v>
      </c>
      <c r="W830" s="1" t="s">
        <v>14840</v>
      </c>
      <c r="X830" s="1" t="s">
        <v>14841</v>
      </c>
      <c r="Y830" s="1" t="s">
        <v>14842</v>
      </c>
      <c r="Z830" s="1" t="s">
        <v>14843</v>
      </c>
      <c r="AA830" s="1" t="s">
        <v>10779</v>
      </c>
      <c r="AB830" s="1" t="s">
        <v>14844</v>
      </c>
      <c r="AC830" s="1"/>
      <c r="AD830" s="1"/>
      <c r="AE830" s="1"/>
      <c r="AF830" s="1"/>
      <c r="AG830" s="1" t="n">
        <v>56</v>
      </c>
      <c r="AH830" s="1" t="n">
        <v>7</v>
      </c>
      <c r="AI830" s="1" t="n">
        <v>9</v>
      </c>
      <c r="AJ830" s="1" t="n">
        <v>2</v>
      </c>
      <c r="AK830" s="1" t="n">
        <v>9</v>
      </c>
      <c r="AL830" s="1" t="s">
        <v>172</v>
      </c>
      <c r="AM830" s="1" t="s">
        <v>173</v>
      </c>
      <c r="AN830" s="1" t="s">
        <v>4882</v>
      </c>
      <c r="AO830" s="1" t="s">
        <v>5922</v>
      </c>
      <c r="AP830" s="1" t="s">
        <v>5923</v>
      </c>
      <c r="AQ830" s="1"/>
      <c r="AR830" s="1" t="s">
        <v>5924</v>
      </c>
      <c r="AS830" s="1" t="s">
        <v>5925</v>
      </c>
      <c r="AT830" s="1" t="s">
        <v>13979</v>
      </c>
      <c r="AU830" s="1" t="n">
        <v>2023</v>
      </c>
      <c r="AV830" s="1" t="n">
        <v>49</v>
      </c>
      <c r="AW830" s="1" t="n">
        <v>1</v>
      </c>
      <c r="AX830" s="1"/>
      <c r="AY830" s="1"/>
      <c r="AZ830" s="1"/>
      <c r="BA830" s="1"/>
      <c r="BB830" s="1" t="n">
        <v>211</v>
      </c>
      <c r="BC830" s="1" t="n">
        <v>225</v>
      </c>
      <c r="BD830" s="1"/>
      <c r="BE830" s="1" t="s">
        <v>14845</v>
      </c>
      <c r="BF830" s="1" t="str">
        <f aca="false">HYPERLINK("http://dx.doi.org/10.1109/TSE.2022.3148539","http://dx.doi.org/10.1109/TSE.2022.3148539")</f>
        <v>http://dx.doi.org/10.1109/TSE.2022.3148539</v>
      </c>
      <c r="BG830" s="1"/>
      <c r="BH830" s="1"/>
      <c r="BI830" s="1" t="n">
        <v>15</v>
      </c>
      <c r="BJ830" s="1" t="s">
        <v>5928</v>
      </c>
      <c r="BK830" s="1" t="s">
        <v>204</v>
      </c>
      <c r="BL830" s="1" t="s">
        <v>1255</v>
      </c>
      <c r="BM830" s="1" t="s">
        <v>14846</v>
      </c>
      <c r="BN830" s="1"/>
      <c r="BO830" s="1" t="s">
        <v>227</v>
      </c>
      <c r="BP830" s="1"/>
      <c r="BQ830" s="1"/>
      <c r="BR830" s="1" t="s">
        <v>103</v>
      </c>
      <c r="BS830" s="1" t="s">
        <v>14847</v>
      </c>
      <c r="BT830" s="1" t="str">
        <f aca="false">HYPERLINK("https%3A%2F%2Fwww.webofscience.com%2Fwos%2Fwoscc%2Ffull-record%2FWOS:001020827200011","View Full Record in Web of Science")</f>
        <v>View Full Record in Web of Science</v>
      </c>
    </row>
    <row r="831" customFormat="false" ht="12.75" hidden="false" customHeight="false" outlineLevel="0" collapsed="false">
      <c r="A831" s="1" t="s">
        <v>181</v>
      </c>
      <c r="B831" s="1" t="s">
        <v>14848</v>
      </c>
      <c r="C831" s="1"/>
      <c r="D831" s="1"/>
      <c r="E831" s="1"/>
      <c r="F831" s="1" t="s">
        <v>14849</v>
      </c>
      <c r="G831" s="1"/>
      <c r="H831" s="1"/>
      <c r="I831" s="1" t="s">
        <v>14850</v>
      </c>
      <c r="J831" s="1" t="s">
        <v>14851</v>
      </c>
      <c r="K831" s="1"/>
      <c r="L831" s="1"/>
      <c r="M831" s="1" t="s">
        <v>78</v>
      </c>
      <c r="N831" s="1" t="s">
        <v>186</v>
      </c>
      <c r="O831" s="1"/>
      <c r="P831" s="1"/>
      <c r="Q831" s="1"/>
      <c r="R831" s="1"/>
      <c r="S831" s="1"/>
      <c r="T831" s="1" t="s">
        <v>14852</v>
      </c>
      <c r="U831" s="1" t="s">
        <v>14853</v>
      </c>
      <c r="V831" s="1" t="s">
        <v>14854</v>
      </c>
      <c r="W831" s="1" t="s">
        <v>14855</v>
      </c>
      <c r="X831" s="1" t="s">
        <v>14856</v>
      </c>
      <c r="Y831" s="1" t="s">
        <v>14857</v>
      </c>
      <c r="Z831" s="1" t="s">
        <v>14858</v>
      </c>
      <c r="AA831" s="1" t="s">
        <v>3614</v>
      </c>
      <c r="AB831" s="1" t="s">
        <v>14859</v>
      </c>
      <c r="AC831" s="1" t="s">
        <v>14860</v>
      </c>
      <c r="AD831" s="1" t="s">
        <v>14860</v>
      </c>
      <c r="AE831" s="1" t="s">
        <v>14861</v>
      </c>
      <c r="AF831" s="1"/>
      <c r="AG831" s="1" t="n">
        <v>40</v>
      </c>
      <c r="AH831" s="1" t="n">
        <v>6</v>
      </c>
      <c r="AI831" s="1" t="n">
        <v>6</v>
      </c>
      <c r="AJ831" s="1" t="n">
        <v>3</v>
      </c>
      <c r="AK831" s="1" t="n">
        <v>18</v>
      </c>
      <c r="AL831" s="1" t="s">
        <v>3711</v>
      </c>
      <c r="AM831" s="1" t="s">
        <v>95</v>
      </c>
      <c r="AN831" s="1" t="s">
        <v>3712</v>
      </c>
      <c r="AO831" s="1" t="s">
        <v>14862</v>
      </c>
      <c r="AP831" s="1" t="s">
        <v>14863</v>
      </c>
      <c r="AQ831" s="1"/>
      <c r="AR831" s="1" t="s">
        <v>14864</v>
      </c>
      <c r="AS831" s="1" t="s">
        <v>14865</v>
      </c>
      <c r="AT831" s="1" t="s">
        <v>537</v>
      </c>
      <c r="AU831" s="1" t="n">
        <v>2021</v>
      </c>
      <c r="AV831" s="1" t="n">
        <v>36</v>
      </c>
      <c r="AW831" s="1" t="n">
        <v>1</v>
      </c>
      <c r="AX831" s="1"/>
      <c r="AY831" s="1"/>
      <c r="AZ831" s="1"/>
      <c r="BA831" s="1"/>
      <c r="BB831" s="1" t="n">
        <v>47</v>
      </c>
      <c r="BC831" s="1" t="n">
        <v>53</v>
      </c>
      <c r="BD831" s="1"/>
      <c r="BE831" s="1" t="s">
        <v>14866</v>
      </c>
      <c r="BF831" s="1" t="str">
        <f aca="false">HYPERLINK("http://dx.doi.org/10.1016/j.jopan.2020.06.019","http://dx.doi.org/10.1016/j.jopan.2020.06.019")</f>
        <v>http://dx.doi.org/10.1016/j.jopan.2020.06.019</v>
      </c>
      <c r="BG831" s="1"/>
      <c r="BH831" s="1" t="s">
        <v>2728</v>
      </c>
      <c r="BI831" s="1" t="n">
        <v>7</v>
      </c>
      <c r="BJ831" s="1" t="s">
        <v>609</v>
      </c>
      <c r="BK831" s="1" t="s">
        <v>398</v>
      </c>
      <c r="BL831" s="1" t="s">
        <v>609</v>
      </c>
      <c r="BM831" s="1" t="s">
        <v>14867</v>
      </c>
      <c r="BN831" s="1" t="n">
        <v>33041201</v>
      </c>
      <c r="BO831" s="1" t="s">
        <v>612</v>
      </c>
      <c r="BP831" s="1"/>
      <c r="BQ831" s="1"/>
      <c r="BR831" s="1" t="s">
        <v>103</v>
      </c>
      <c r="BS831" s="1" t="s">
        <v>14868</v>
      </c>
      <c r="BT831" s="1" t="str">
        <f aca="false">HYPERLINK("https%3A%2F%2Fwww.webofscience.com%2Fwos%2Fwoscc%2Ffull-record%2FWOS:000635450700010","View Full Record in Web of Science")</f>
        <v>View Full Record in Web of Science</v>
      </c>
    </row>
    <row r="832" customFormat="false" ht="12.75" hidden="false" customHeight="false" outlineLevel="0" collapsed="false">
      <c r="A832" s="1" t="s">
        <v>181</v>
      </c>
      <c r="B832" s="1" t="s">
        <v>14869</v>
      </c>
      <c r="C832" s="1"/>
      <c r="D832" s="1"/>
      <c r="E832" s="1"/>
      <c r="F832" s="1" t="s">
        <v>14870</v>
      </c>
      <c r="G832" s="1"/>
      <c r="H832" s="1"/>
      <c r="I832" s="1" t="s">
        <v>14871</v>
      </c>
      <c r="J832" s="1" t="s">
        <v>5738</v>
      </c>
      <c r="K832" s="1"/>
      <c r="L832" s="1"/>
      <c r="M832" s="1" t="s">
        <v>78</v>
      </c>
      <c r="N832" s="1" t="s">
        <v>186</v>
      </c>
      <c r="O832" s="1"/>
      <c r="P832" s="1"/>
      <c r="Q832" s="1"/>
      <c r="R832" s="1"/>
      <c r="S832" s="1"/>
      <c r="T832" s="1" t="s">
        <v>14872</v>
      </c>
      <c r="U832" s="1"/>
      <c r="V832" s="1" t="s">
        <v>14873</v>
      </c>
      <c r="W832" s="1" t="s">
        <v>14874</v>
      </c>
      <c r="X832" s="1" t="s">
        <v>14875</v>
      </c>
      <c r="Y832" s="1" t="s">
        <v>14876</v>
      </c>
      <c r="Z832" s="1" t="s">
        <v>14877</v>
      </c>
      <c r="AA832" s="1" t="s">
        <v>14489</v>
      </c>
      <c r="AB832" s="1" t="s">
        <v>14878</v>
      </c>
      <c r="AC832" s="1"/>
      <c r="AD832" s="1"/>
      <c r="AE832" s="1"/>
      <c r="AF832" s="1"/>
      <c r="AG832" s="1" t="n">
        <v>80</v>
      </c>
      <c r="AH832" s="1" t="n">
        <v>16</v>
      </c>
      <c r="AI832" s="1" t="n">
        <v>18</v>
      </c>
      <c r="AJ832" s="1" t="n">
        <v>2</v>
      </c>
      <c r="AK832" s="1" t="n">
        <v>36</v>
      </c>
      <c r="AL832" s="1" t="s">
        <v>1220</v>
      </c>
      <c r="AM832" s="1" t="s">
        <v>1221</v>
      </c>
      <c r="AN832" s="1" t="s">
        <v>1222</v>
      </c>
      <c r="AO832" s="1" t="s">
        <v>5751</v>
      </c>
      <c r="AP832" s="1" t="s">
        <v>5752</v>
      </c>
      <c r="AQ832" s="1"/>
      <c r="AR832" s="1" t="s">
        <v>5753</v>
      </c>
      <c r="AS832" s="1" t="s">
        <v>5754</v>
      </c>
      <c r="AT832" s="1" t="s">
        <v>14879</v>
      </c>
      <c r="AU832" s="1" t="n">
        <v>2021</v>
      </c>
      <c r="AV832" s="1" t="n">
        <v>55</v>
      </c>
      <c r="AW832" s="1" t="n">
        <v>4</v>
      </c>
      <c r="AX832" s="1"/>
      <c r="AY832" s="1"/>
      <c r="AZ832" s="1"/>
      <c r="BA832" s="1"/>
      <c r="BB832" s="1" t="n">
        <v>590</v>
      </c>
      <c r="BC832" s="1" t="n">
        <v>604</v>
      </c>
      <c r="BD832" s="1"/>
      <c r="BE832" s="1" t="s">
        <v>14880</v>
      </c>
      <c r="BF832" s="1" t="str">
        <f aca="false">HYPERLINK("http://dx.doi.org/10.1080/00343404.2020.1839638","http://dx.doi.org/10.1080/00343404.2020.1839638")</f>
        <v>http://dx.doi.org/10.1080/00343404.2020.1839638</v>
      </c>
      <c r="BG832" s="1"/>
      <c r="BH832" s="1" t="s">
        <v>14881</v>
      </c>
      <c r="BI832" s="1" t="n">
        <v>15</v>
      </c>
      <c r="BJ832" s="1" t="s">
        <v>5757</v>
      </c>
      <c r="BK832" s="1" t="s">
        <v>610</v>
      </c>
      <c r="BL832" s="1" t="s">
        <v>5758</v>
      </c>
      <c r="BM832" s="1" t="s">
        <v>14882</v>
      </c>
      <c r="BN832" s="1"/>
      <c r="BO832" s="1" t="s">
        <v>612</v>
      </c>
      <c r="BP832" s="1"/>
      <c r="BQ832" s="1"/>
      <c r="BR832" s="1" t="s">
        <v>103</v>
      </c>
      <c r="BS832" s="1" t="s">
        <v>14883</v>
      </c>
      <c r="BT832" s="1" t="str">
        <f aca="false">HYPERLINK("https%3A%2F%2Fwww.webofscience.com%2Fwos%2Fwoscc%2Ffull-record%2FWOS:000596643900001","View Full Record in Web of Science")</f>
        <v>View Full Record in Web of Science</v>
      </c>
    </row>
    <row r="833" customFormat="false" ht="12.75" hidden="false" customHeight="false" outlineLevel="0" collapsed="false">
      <c r="A833" s="1" t="s">
        <v>181</v>
      </c>
      <c r="B833" s="1" t="s">
        <v>14884</v>
      </c>
      <c r="C833" s="1"/>
      <c r="D833" s="1"/>
      <c r="E833" s="1"/>
      <c r="F833" s="1" t="s">
        <v>14885</v>
      </c>
      <c r="G833" s="1"/>
      <c r="H833" s="1"/>
      <c r="I833" s="1" t="s">
        <v>14886</v>
      </c>
      <c r="J833" s="1" t="s">
        <v>14118</v>
      </c>
      <c r="K833" s="1"/>
      <c r="L833" s="1"/>
      <c r="M833" s="1" t="s">
        <v>78</v>
      </c>
      <c r="N833" s="1" t="s">
        <v>186</v>
      </c>
      <c r="O833" s="1"/>
      <c r="P833" s="1"/>
      <c r="Q833" s="1"/>
      <c r="R833" s="1"/>
      <c r="S833" s="1"/>
      <c r="T833" s="1" t="s">
        <v>14887</v>
      </c>
      <c r="U833" s="1" t="s">
        <v>14888</v>
      </c>
      <c r="V833" s="1" t="s">
        <v>14889</v>
      </c>
      <c r="W833" s="1" t="s">
        <v>14890</v>
      </c>
      <c r="X833" s="1" t="s">
        <v>14891</v>
      </c>
      <c r="Y833" s="1" t="s">
        <v>7729</v>
      </c>
      <c r="Z833" s="1" t="s">
        <v>10093</v>
      </c>
      <c r="AA833" s="1" t="s">
        <v>6406</v>
      </c>
      <c r="AB833" s="1" t="s">
        <v>10094</v>
      </c>
      <c r="AC833" s="1" t="s">
        <v>14892</v>
      </c>
      <c r="AD833" s="1" t="s">
        <v>10096</v>
      </c>
      <c r="AE833" s="1" t="s">
        <v>14893</v>
      </c>
      <c r="AF833" s="1"/>
      <c r="AG833" s="1" t="n">
        <v>50</v>
      </c>
      <c r="AH833" s="1" t="n">
        <v>1</v>
      </c>
      <c r="AI833" s="1" t="n">
        <v>1</v>
      </c>
      <c r="AJ833" s="1" t="n">
        <v>4</v>
      </c>
      <c r="AK833" s="1" t="n">
        <v>13</v>
      </c>
      <c r="AL833" s="1" t="s">
        <v>2761</v>
      </c>
      <c r="AM833" s="1" t="s">
        <v>1908</v>
      </c>
      <c r="AN833" s="1" t="s">
        <v>2762</v>
      </c>
      <c r="AO833" s="1" t="s">
        <v>14125</v>
      </c>
      <c r="AP833" s="1" t="s">
        <v>14126</v>
      </c>
      <c r="AQ833" s="1"/>
      <c r="AR833" s="1" t="s">
        <v>14127</v>
      </c>
      <c r="AS833" s="1" t="s">
        <v>14128</v>
      </c>
      <c r="AT833" s="1" t="s">
        <v>2698</v>
      </c>
      <c r="AU833" s="1" t="n">
        <v>2024</v>
      </c>
      <c r="AV833" s="1" t="n">
        <v>132</v>
      </c>
      <c r="AW833" s="1" t="s">
        <v>14894</v>
      </c>
      <c r="AX833" s="1"/>
      <c r="AY833" s="1"/>
      <c r="AZ833" s="1"/>
      <c r="BA833" s="1"/>
      <c r="BB833" s="1" t="n">
        <v>3447</v>
      </c>
      <c r="BC833" s="1" t="n">
        <v>3466</v>
      </c>
      <c r="BD833" s="1"/>
      <c r="BE833" s="1" t="s">
        <v>14895</v>
      </c>
      <c r="BF833" s="1" t="str">
        <f aca="false">HYPERLINK("http://dx.doi.org/10.1007/s00170-024-13538-3","http://dx.doi.org/10.1007/s00170-024-13538-3")</f>
        <v>http://dx.doi.org/10.1007/s00170-024-13538-3</v>
      </c>
      <c r="BG833" s="1"/>
      <c r="BH833" s="1" t="s">
        <v>2275</v>
      </c>
      <c r="BI833" s="1" t="n">
        <v>20</v>
      </c>
      <c r="BJ833" s="1" t="s">
        <v>14131</v>
      </c>
      <c r="BK833" s="1" t="s">
        <v>204</v>
      </c>
      <c r="BL833" s="1" t="s">
        <v>5239</v>
      </c>
      <c r="BM833" s="1" t="s">
        <v>14896</v>
      </c>
      <c r="BN833" s="1"/>
      <c r="BO833" s="1"/>
      <c r="BP833" s="1"/>
      <c r="BQ833" s="1"/>
      <c r="BR833" s="1" t="s">
        <v>103</v>
      </c>
      <c r="BS833" s="1" t="s">
        <v>14897</v>
      </c>
      <c r="BT833" s="1" t="str">
        <f aca="false">HYPERLINK("https%3A%2F%2Fwww.webofscience.com%2Fwos%2Fwoscc%2Ffull-record%2FWOS:001200396100001","View Full Record in Web of Science")</f>
        <v>View Full Record in Web of Science</v>
      </c>
    </row>
    <row r="834" customFormat="false" ht="12.75" hidden="false" customHeight="false" outlineLevel="0" collapsed="false">
      <c r="A834" s="1" t="s">
        <v>181</v>
      </c>
      <c r="B834" s="1" t="s">
        <v>14898</v>
      </c>
      <c r="C834" s="1"/>
      <c r="D834" s="1"/>
      <c r="E834" s="1"/>
      <c r="F834" s="1" t="s">
        <v>14899</v>
      </c>
      <c r="G834" s="1"/>
      <c r="H834" s="1"/>
      <c r="I834" s="1" t="s">
        <v>14900</v>
      </c>
      <c r="J834" s="1" t="s">
        <v>3723</v>
      </c>
      <c r="K834" s="1"/>
      <c r="L834" s="1"/>
      <c r="M834" s="1" t="s">
        <v>78</v>
      </c>
      <c r="N834" s="1" t="s">
        <v>186</v>
      </c>
      <c r="O834" s="1"/>
      <c r="P834" s="1"/>
      <c r="Q834" s="1"/>
      <c r="R834" s="1"/>
      <c r="S834" s="1"/>
      <c r="T834" s="1" t="s">
        <v>14901</v>
      </c>
      <c r="U834" s="1" t="s">
        <v>14902</v>
      </c>
      <c r="V834" s="1" t="s">
        <v>14903</v>
      </c>
      <c r="W834" s="1" t="s">
        <v>14904</v>
      </c>
      <c r="X834" s="1" t="s">
        <v>14905</v>
      </c>
      <c r="Y834" s="1" t="s">
        <v>9578</v>
      </c>
      <c r="Z834" s="1" t="s">
        <v>9579</v>
      </c>
      <c r="AA834" s="1" t="s">
        <v>14906</v>
      </c>
      <c r="AB834" s="1" t="s">
        <v>14907</v>
      </c>
      <c r="AC834" s="1" t="s">
        <v>2220</v>
      </c>
      <c r="AD834" s="1" t="s">
        <v>2220</v>
      </c>
      <c r="AE834" s="1" t="s">
        <v>2220</v>
      </c>
      <c r="AF834" s="1"/>
      <c r="AG834" s="1" t="n">
        <v>62</v>
      </c>
      <c r="AH834" s="1" t="n">
        <v>19</v>
      </c>
      <c r="AI834" s="1" t="n">
        <v>19</v>
      </c>
      <c r="AJ834" s="1" t="n">
        <v>1</v>
      </c>
      <c r="AK834" s="1" t="n">
        <v>14</v>
      </c>
      <c r="AL834" s="1" t="s">
        <v>600</v>
      </c>
      <c r="AM834" s="1" t="s">
        <v>601</v>
      </c>
      <c r="AN834" s="1" t="s">
        <v>602</v>
      </c>
      <c r="AO834" s="1" t="s">
        <v>3728</v>
      </c>
      <c r="AP834" s="1" t="s">
        <v>3729</v>
      </c>
      <c r="AQ834" s="1"/>
      <c r="AR834" s="1" t="s">
        <v>3730</v>
      </c>
      <c r="AS834" s="1" t="s">
        <v>3731</v>
      </c>
      <c r="AT834" s="1" t="s">
        <v>421</v>
      </c>
      <c r="AU834" s="1" t="n">
        <v>2022</v>
      </c>
      <c r="AV834" s="1" t="n">
        <v>16</v>
      </c>
      <c r="AW834" s="1" t="n">
        <v>2</v>
      </c>
      <c r="AX834" s="1"/>
      <c r="AY834" s="1"/>
      <c r="AZ834" s="1"/>
      <c r="BA834" s="1"/>
      <c r="BB834" s="1" t="n">
        <v>185</v>
      </c>
      <c r="BC834" s="1" t="n">
        <v>199</v>
      </c>
      <c r="BD834" s="1"/>
      <c r="BE834" s="1" t="s">
        <v>14908</v>
      </c>
      <c r="BF834" s="1" t="str">
        <f aca="false">HYPERLINK("http://dx.doi.org/10.1049/sfw2.12052","http://dx.doi.org/10.1049/sfw2.12052")</f>
        <v>http://dx.doi.org/10.1049/sfw2.12052</v>
      </c>
      <c r="BG834" s="1"/>
      <c r="BH834" s="1" t="s">
        <v>1624</v>
      </c>
      <c r="BI834" s="1" t="n">
        <v>15</v>
      </c>
      <c r="BJ834" s="1" t="s">
        <v>252</v>
      </c>
      <c r="BK834" s="1" t="s">
        <v>204</v>
      </c>
      <c r="BL834" s="1" t="s">
        <v>101</v>
      </c>
      <c r="BM834" s="1" t="s">
        <v>14909</v>
      </c>
      <c r="BN834" s="1"/>
      <c r="BO834" s="1" t="s">
        <v>1009</v>
      </c>
      <c r="BP834" s="1"/>
      <c r="BQ834" s="1"/>
      <c r="BR834" s="1" t="s">
        <v>103</v>
      </c>
      <c r="BS834" s="1" t="s">
        <v>14910</v>
      </c>
      <c r="BT834" s="1" t="str">
        <f aca="false">HYPERLINK("https%3A%2F%2Fwww.webofscience.com%2Fwos%2Fwoscc%2Ffull-record%2FWOS:000723085500001","View Full Record in Web of Science")</f>
        <v>View Full Record in Web of Science</v>
      </c>
    </row>
    <row r="835" customFormat="false" ht="12.75" hidden="false" customHeight="false" outlineLevel="0" collapsed="false">
      <c r="A835" s="1" t="s">
        <v>181</v>
      </c>
      <c r="B835" s="1" t="s">
        <v>14911</v>
      </c>
      <c r="C835" s="1"/>
      <c r="D835" s="1"/>
      <c r="E835" s="1"/>
      <c r="F835" s="1" t="s">
        <v>14912</v>
      </c>
      <c r="G835" s="1"/>
      <c r="H835" s="1"/>
      <c r="I835" s="1" t="s">
        <v>14913</v>
      </c>
      <c r="J835" s="1" t="s">
        <v>381</v>
      </c>
      <c r="K835" s="1"/>
      <c r="L835" s="1"/>
      <c r="M835" s="1" t="s">
        <v>78</v>
      </c>
      <c r="N835" s="1" t="s">
        <v>186</v>
      </c>
      <c r="O835" s="1"/>
      <c r="P835" s="1"/>
      <c r="Q835" s="1"/>
      <c r="R835" s="1"/>
      <c r="S835" s="1"/>
      <c r="T835" s="1" t="s">
        <v>14914</v>
      </c>
      <c r="U835" s="1" t="s">
        <v>14915</v>
      </c>
      <c r="V835" s="1" t="s">
        <v>14916</v>
      </c>
      <c r="W835" s="1" t="s">
        <v>14917</v>
      </c>
      <c r="X835" s="1" t="s">
        <v>14918</v>
      </c>
      <c r="Y835" s="1" t="s">
        <v>14919</v>
      </c>
      <c r="Z835" s="1" t="s">
        <v>14920</v>
      </c>
      <c r="AA835" s="1" t="s">
        <v>14921</v>
      </c>
      <c r="AB835" s="1" t="s">
        <v>14922</v>
      </c>
      <c r="AC835" s="1" t="s">
        <v>14923</v>
      </c>
      <c r="AD835" s="1" t="s">
        <v>14924</v>
      </c>
      <c r="AE835" s="1" t="s">
        <v>14925</v>
      </c>
      <c r="AF835" s="1"/>
      <c r="AG835" s="1" t="n">
        <v>67</v>
      </c>
      <c r="AH835" s="1" t="n">
        <v>11</v>
      </c>
      <c r="AI835" s="1" t="n">
        <v>11</v>
      </c>
      <c r="AJ835" s="1" t="n">
        <v>0</v>
      </c>
      <c r="AK835" s="1" t="n">
        <v>10</v>
      </c>
      <c r="AL835" s="1" t="s">
        <v>367</v>
      </c>
      <c r="AM835" s="1" t="s">
        <v>368</v>
      </c>
      <c r="AN835" s="1" t="s">
        <v>369</v>
      </c>
      <c r="AO835" s="1"/>
      <c r="AP835" s="1" t="s">
        <v>393</v>
      </c>
      <c r="AQ835" s="1"/>
      <c r="AR835" s="1" t="s">
        <v>394</v>
      </c>
      <c r="AS835" s="1" t="s">
        <v>395</v>
      </c>
      <c r="AT835" s="1" t="s">
        <v>537</v>
      </c>
      <c r="AU835" s="1" t="n">
        <v>2021</v>
      </c>
      <c r="AV835" s="1" t="n">
        <v>13</v>
      </c>
      <c r="AW835" s="1" t="n">
        <v>4</v>
      </c>
      <c r="AX835" s="1"/>
      <c r="AY835" s="1"/>
      <c r="AZ835" s="1"/>
      <c r="BA835" s="1"/>
      <c r="BB835" s="1"/>
      <c r="BC835" s="1"/>
      <c r="BD835" s="1" t="n">
        <v>1703</v>
      </c>
      <c r="BE835" s="1" t="s">
        <v>14926</v>
      </c>
      <c r="BF835" s="1" t="str">
        <f aca="false">HYPERLINK("http://dx.doi.org/10.3390/su13041703","http://dx.doi.org/10.3390/su13041703")</f>
        <v>http://dx.doi.org/10.3390/su13041703</v>
      </c>
      <c r="BG835" s="1"/>
      <c r="BH835" s="1"/>
      <c r="BI835" s="1" t="n">
        <v>21</v>
      </c>
      <c r="BJ835" s="1" t="s">
        <v>397</v>
      </c>
      <c r="BK835" s="1" t="s">
        <v>398</v>
      </c>
      <c r="BL835" s="1" t="s">
        <v>399</v>
      </c>
      <c r="BM835" s="1" t="s">
        <v>14927</v>
      </c>
      <c r="BN835" s="1"/>
      <c r="BO835" s="1" t="s">
        <v>4595</v>
      </c>
      <c r="BP835" s="1"/>
      <c r="BQ835" s="1"/>
      <c r="BR835" s="1" t="s">
        <v>103</v>
      </c>
      <c r="BS835" s="1" t="s">
        <v>14928</v>
      </c>
      <c r="BT835" s="1" t="str">
        <f aca="false">HYPERLINK("https%3A%2F%2Fwww.webofscience.com%2Fwos%2Fwoscc%2Ffull-record%2FWOS:000624821100001","View Full Record in Web of Science")</f>
        <v>View Full Record in Web of Science</v>
      </c>
    </row>
    <row r="836" customFormat="false" ht="12.75" hidden="false" customHeight="false" outlineLevel="0" collapsed="false">
      <c r="A836" s="1" t="s">
        <v>72</v>
      </c>
      <c r="B836" s="1" t="s">
        <v>14929</v>
      </c>
      <c r="C836" s="1"/>
      <c r="D836" s="1"/>
      <c r="E836" s="1" t="s">
        <v>6634</v>
      </c>
      <c r="F836" s="1" t="s">
        <v>14930</v>
      </c>
      <c r="G836" s="1"/>
      <c r="H836" s="1"/>
      <c r="I836" s="1" t="s">
        <v>14931</v>
      </c>
      <c r="J836" s="1" t="s">
        <v>14932</v>
      </c>
      <c r="K836" s="1" t="s">
        <v>14933</v>
      </c>
      <c r="L836" s="1"/>
      <c r="M836" s="1" t="s">
        <v>78</v>
      </c>
      <c r="N836" s="1" t="s">
        <v>79</v>
      </c>
      <c r="O836" s="1" t="s">
        <v>14934</v>
      </c>
      <c r="P836" s="1" t="s">
        <v>14935</v>
      </c>
      <c r="Q836" s="1" t="s">
        <v>320</v>
      </c>
      <c r="R836" s="1" t="s">
        <v>14936</v>
      </c>
      <c r="S836" s="1"/>
      <c r="T836" s="1"/>
      <c r="U836" s="1" t="s">
        <v>14937</v>
      </c>
      <c r="V836" s="1" t="s">
        <v>14938</v>
      </c>
      <c r="W836" s="1" t="s">
        <v>14939</v>
      </c>
      <c r="X836" s="1" t="s">
        <v>14940</v>
      </c>
      <c r="Y836" s="1" t="s">
        <v>14941</v>
      </c>
      <c r="Z836" s="1"/>
      <c r="AA836" s="1" t="s">
        <v>14942</v>
      </c>
      <c r="AB836" s="1"/>
      <c r="AC836" s="1" t="s">
        <v>14943</v>
      </c>
      <c r="AD836" s="1" t="s">
        <v>14944</v>
      </c>
      <c r="AE836" s="1" t="s">
        <v>14945</v>
      </c>
      <c r="AF836" s="1"/>
      <c r="AG836" s="1" t="n">
        <v>36</v>
      </c>
      <c r="AH836" s="1" t="n">
        <v>3</v>
      </c>
      <c r="AI836" s="1" t="n">
        <v>3</v>
      </c>
      <c r="AJ836" s="1" t="n">
        <v>0</v>
      </c>
      <c r="AK836" s="1" t="n">
        <v>0</v>
      </c>
      <c r="AL836" s="1" t="s">
        <v>172</v>
      </c>
      <c r="AM836" s="1" t="s">
        <v>173</v>
      </c>
      <c r="AN836" s="1" t="s">
        <v>174</v>
      </c>
      <c r="AO836" s="1" t="s">
        <v>14946</v>
      </c>
      <c r="AP836" s="1"/>
      <c r="AQ836" s="1" t="s">
        <v>14947</v>
      </c>
      <c r="AR836" s="1" t="s">
        <v>14948</v>
      </c>
      <c r="AS836" s="1"/>
      <c r="AT836" s="1"/>
      <c r="AU836" s="1" t="n">
        <v>2021</v>
      </c>
      <c r="AV836" s="1"/>
      <c r="AW836" s="1"/>
      <c r="AX836" s="1"/>
      <c r="AY836" s="1"/>
      <c r="AZ836" s="1"/>
      <c r="BA836" s="1"/>
      <c r="BB836" s="1" t="n">
        <v>390</v>
      </c>
      <c r="BC836" s="1" t="n">
        <v>395</v>
      </c>
      <c r="BD836" s="1"/>
      <c r="BE836" s="1" t="s">
        <v>14949</v>
      </c>
      <c r="BF836" s="1" t="str">
        <f aca="false">HYPERLINK("http://dx.doi.org/10.1109/DCOSS52077.2021.00068","http://dx.doi.org/10.1109/DCOSS52077.2021.00068")</f>
        <v>http://dx.doi.org/10.1109/DCOSS52077.2021.00068</v>
      </c>
      <c r="BG836" s="1"/>
      <c r="BH836" s="1"/>
      <c r="BI836" s="1" t="n">
        <v>6</v>
      </c>
      <c r="BJ836" s="1" t="s">
        <v>14950</v>
      </c>
      <c r="BK836" s="1" t="s">
        <v>100</v>
      </c>
      <c r="BL836" s="1" t="s">
        <v>14951</v>
      </c>
      <c r="BM836" s="1" t="s">
        <v>14952</v>
      </c>
      <c r="BN836" s="1"/>
      <c r="BO836" s="1" t="s">
        <v>227</v>
      </c>
      <c r="BP836" s="1"/>
      <c r="BQ836" s="1"/>
      <c r="BR836" s="1" t="s">
        <v>103</v>
      </c>
      <c r="BS836" s="1" t="s">
        <v>14953</v>
      </c>
      <c r="BT836" s="1" t="str">
        <f aca="false">HYPERLINK("https%3A%2F%2Fwww.webofscience.com%2Fwos%2Fwoscc%2Ffull-record%2FWOS:000786417600055","View Full Record in Web of Science")</f>
        <v>View Full Record in Web of Science</v>
      </c>
    </row>
    <row r="837" customFormat="false" ht="12.75" hidden="false" customHeight="false" outlineLevel="0" collapsed="false">
      <c r="A837" s="1" t="s">
        <v>181</v>
      </c>
      <c r="B837" s="1" t="s">
        <v>14954</v>
      </c>
      <c r="C837" s="1"/>
      <c r="D837" s="1"/>
      <c r="E837" s="1"/>
      <c r="F837" s="1" t="s">
        <v>14955</v>
      </c>
      <c r="G837" s="1"/>
      <c r="H837" s="1"/>
      <c r="I837" s="1" t="s">
        <v>14956</v>
      </c>
      <c r="J837" s="1" t="s">
        <v>5545</v>
      </c>
      <c r="K837" s="1"/>
      <c r="L837" s="1"/>
      <c r="M837" s="1" t="s">
        <v>78</v>
      </c>
      <c r="N837" s="1" t="s">
        <v>186</v>
      </c>
      <c r="O837" s="1"/>
      <c r="P837" s="1"/>
      <c r="Q837" s="1"/>
      <c r="R837" s="1"/>
      <c r="S837" s="1"/>
      <c r="T837" s="1" t="s">
        <v>14957</v>
      </c>
      <c r="U837" s="1" t="s">
        <v>14958</v>
      </c>
      <c r="V837" s="1" t="s">
        <v>14959</v>
      </c>
      <c r="W837" s="1" t="s">
        <v>14960</v>
      </c>
      <c r="X837" s="1" t="s">
        <v>14961</v>
      </c>
      <c r="Y837" s="1" t="s">
        <v>14962</v>
      </c>
      <c r="Z837" s="1" t="s">
        <v>14963</v>
      </c>
      <c r="AA837" s="1" t="s">
        <v>14964</v>
      </c>
      <c r="AB837" s="1" t="s">
        <v>14965</v>
      </c>
      <c r="AC837" s="1" t="s">
        <v>12655</v>
      </c>
      <c r="AD837" s="1" t="s">
        <v>12655</v>
      </c>
      <c r="AE837" s="1" t="s">
        <v>12656</v>
      </c>
      <c r="AF837" s="1"/>
      <c r="AG837" s="1" t="n">
        <v>123</v>
      </c>
      <c r="AH837" s="1" t="n">
        <v>30</v>
      </c>
      <c r="AI837" s="1" t="n">
        <v>34</v>
      </c>
      <c r="AJ837" s="1" t="n">
        <v>6</v>
      </c>
      <c r="AK837" s="1" t="n">
        <v>37</v>
      </c>
      <c r="AL837" s="1" t="s">
        <v>679</v>
      </c>
      <c r="AM837" s="1" t="s">
        <v>680</v>
      </c>
      <c r="AN837" s="1" t="s">
        <v>681</v>
      </c>
      <c r="AO837" s="1" t="s">
        <v>5556</v>
      </c>
      <c r="AP837" s="1" t="s">
        <v>5557</v>
      </c>
      <c r="AQ837" s="1"/>
      <c r="AR837" s="1" t="s">
        <v>5558</v>
      </c>
      <c r="AS837" s="1" t="s">
        <v>5559</v>
      </c>
      <c r="AT837" s="1" t="s">
        <v>537</v>
      </c>
      <c r="AU837" s="1" t="n">
        <v>2021</v>
      </c>
      <c r="AV837" s="1" t="n">
        <v>56</v>
      </c>
      <c r="AW837" s="1" t="n">
        <v>2</v>
      </c>
      <c r="AX837" s="1"/>
      <c r="AY837" s="1"/>
      <c r="AZ837" s="1" t="s">
        <v>1698</v>
      </c>
      <c r="BA837" s="1"/>
      <c r="BB837" s="1" t="n">
        <v>759</v>
      </c>
      <c r="BC837" s="1" t="n">
        <v>772</v>
      </c>
      <c r="BD837" s="1"/>
      <c r="BE837" s="1" t="s">
        <v>14966</v>
      </c>
      <c r="BF837" s="1" t="str">
        <f aca="false">HYPERLINK("http://dx.doi.org/10.1007/s11187-019-00267-1","http://dx.doi.org/10.1007/s11187-019-00267-1")</f>
        <v>http://dx.doi.org/10.1007/s11187-019-00267-1</v>
      </c>
      <c r="BG837" s="1"/>
      <c r="BH837" s="1" t="s">
        <v>8403</v>
      </c>
      <c r="BI837" s="1" t="n">
        <v>14</v>
      </c>
      <c r="BJ837" s="1" t="s">
        <v>5562</v>
      </c>
      <c r="BK837" s="1" t="s">
        <v>610</v>
      </c>
      <c r="BL837" s="1" t="s">
        <v>715</v>
      </c>
      <c r="BM837" s="1" t="s">
        <v>12199</v>
      </c>
      <c r="BN837" s="1"/>
      <c r="BO837" s="1" t="s">
        <v>612</v>
      </c>
      <c r="BP837" s="1"/>
      <c r="BQ837" s="1"/>
      <c r="BR837" s="1" t="s">
        <v>103</v>
      </c>
      <c r="BS837" s="1" t="s">
        <v>14967</v>
      </c>
      <c r="BT837" s="1" t="str">
        <f aca="false">HYPERLINK("https%3A%2F%2Fwww.webofscience.com%2Fwos%2Fwoscc%2Ffull-record%2FWOS:000492318100001","View Full Record in Web of Science")</f>
        <v>View Full Record in Web of Science</v>
      </c>
    </row>
    <row r="838" customFormat="false" ht="12.75" hidden="false" customHeight="false" outlineLevel="0" collapsed="false">
      <c r="A838" s="1" t="s">
        <v>181</v>
      </c>
      <c r="B838" s="1" t="s">
        <v>14968</v>
      </c>
      <c r="C838" s="1"/>
      <c r="D838" s="1"/>
      <c r="E838" s="1"/>
      <c r="F838" s="1" t="s">
        <v>14969</v>
      </c>
      <c r="G838" s="1"/>
      <c r="H838" s="1"/>
      <c r="I838" s="1" t="s">
        <v>14970</v>
      </c>
      <c r="J838" s="1" t="s">
        <v>14971</v>
      </c>
      <c r="K838" s="1"/>
      <c r="L838" s="1"/>
      <c r="M838" s="1" t="s">
        <v>78</v>
      </c>
      <c r="N838" s="1" t="s">
        <v>186</v>
      </c>
      <c r="O838" s="1"/>
      <c r="P838" s="1"/>
      <c r="Q838" s="1"/>
      <c r="R838" s="1"/>
      <c r="S838" s="1"/>
      <c r="T838" s="1" t="s">
        <v>14972</v>
      </c>
      <c r="U838" s="1" t="s">
        <v>14973</v>
      </c>
      <c r="V838" s="1" t="s">
        <v>14974</v>
      </c>
      <c r="W838" s="1" t="s">
        <v>14975</v>
      </c>
      <c r="X838" s="1" t="s">
        <v>14976</v>
      </c>
      <c r="Y838" s="1" t="s">
        <v>14977</v>
      </c>
      <c r="Z838" s="1" t="s">
        <v>14978</v>
      </c>
      <c r="AA838" s="1" t="s">
        <v>14979</v>
      </c>
      <c r="AB838" s="1" t="s">
        <v>14980</v>
      </c>
      <c r="AC838" s="1" t="s">
        <v>14981</v>
      </c>
      <c r="AD838" s="1" t="s">
        <v>14982</v>
      </c>
      <c r="AE838" s="1" t="s">
        <v>14983</v>
      </c>
      <c r="AF838" s="1"/>
      <c r="AG838" s="1" t="n">
        <v>36</v>
      </c>
      <c r="AH838" s="1" t="n">
        <v>7</v>
      </c>
      <c r="AI838" s="1" t="n">
        <v>7</v>
      </c>
      <c r="AJ838" s="1" t="n">
        <v>1</v>
      </c>
      <c r="AK838" s="1" t="n">
        <v>24</v>
      </c>
      <c r="AL838" s="1" t="s">
        <v>1355</v>
      </c>
      <c r="AM838" s="1" t="s">
        <v>1356</v>
      </c>
      <c r="AN838" s="1" t="s">
        <v>1357</v>
      </c>
      <c r="AO838" s="1"/>
      <c r="AP838" s="1" t="s">
        <v>14984</v>
      </c>
      <c r="AQ838" s="1"/>
      <c r="AR838" s="1" t="s">
        <v>14985</v>
      </c>
      <c r="AS838" s="1" t="s">
        <v>14986</v>
      </c>
      <c r="AT838" s="1" t="s">
        <v>754</v>
      </c>
      <c r="AU838" s="1" t="n">
        <v>2021</v>
      </c>
      <c r="AV838" s="1" t="n">
        <v>7</v>
      </c>
      <c r="AW838" s="1"/>
      <c r="AX838" s="1"/>
      <c r="AY838" s="1"/>
      <c r="AZ838" s="1"/>
      <c r="BA838" s="1"/>
      <c r="BB838" s="1"/>
      <c r="BC838" s="1"/>
      <c r="BD838" s="1"/>
      <c r="BE838" s="1" t="s">
        <v>14987</v>
      </c>
      <c r="BF838" s="1" t="str">
        <f aca="false">HYPERLINK("http://dx.doi.org/10.1177/23337214211018924","http://dx.doi.org/10.1177/23337214211018924")</f>
        <v>http://dx.doi.org/10.1177/23337214211018924</v>
      </c>
      <c r="BG838" s="1"/>
      <c r="BH838" s="1"/>
      <c r="BI838" s="1" t="n">
        <v>8</v>
      </c>
      <c r="BJ838" s="1" t="s">
        <v>2038</v>
      </c>
      <c r="BK838" s="1" t="s">
        <v>253</v>
      </c>
      <c r="BL838" s="1" t="s">
        <v>2038</v>
      </c>
      <c r="BM838" s="1" t="s">
        <v>14988</v>
      </c>
      <c r="BN838" s="1" t="n">
        <v>34104685</v>
      </c>
      <c r="BO838" s="1" t="s">
        <v>179</v>
      </c>
      <c r="BP838" s="1"/>
      <c r="BQ838" s="1"/>
      <c r="BR838" s="1" t="s">
        <v>103</v>
      </c>
      <c r="BS838" s="1" t="s">
        <v>14989</v>
      </c>
      <c r="BT838" s="1" t="str">
        <f aca="false">HYPERLINK("https%3A%2F%2Fwww.webofscience.com%2Fwos%2Fwoscc%2Ffull-record%2FWOS:000656404000001","View Full Record in Web of Science")</f>
        <v>View Full Record in Web of Science</v>
      </c>
    </row>
    <row r="839" customFormat="false" ht="12.75" hidden="false" customHeight="false" outlineLevel="0" collapsed="false">
      <c r="A839" s="1" t="s">
        <v>181</v>
      </c>
      <c r="B839" s="1" t="s">
        <v>14990</v>
      </c>
      <c r="C839" s="1"/>
      <c r="D839" s="1"/>
      <c r="E839" s="1"/>
      <c r="F839" s="1" t="s">
        <v>14991</v>
      </c>
      <c r="G839" s="1"/>
      <c r="H839" s="1"/>
      <c r="I839" s="1" t="s">
        <v>14992</v>
      </c>
      <c r="J839" s="1" t="s">
        <v>13504</v>
      </c>
      <c r="K839" s="1"/>
      <c r="L839" s="1"/>
      <c r="M839" s="1" t="s">
        <v>78</v>
      </c>
      <c r="N839" s="1" t="s">
        <v>186</v>
      </c>
      <c r="O839" s="1"/>
      <c r="P839" s="1"/>
      <c r="Q839" s="1"/>
      <c r="R839" s="1"/>
      <c r="S839" s="1"/>
      <c r="T839" s="1" t="s">
        <v>14993</v>
      </c>
      <c r="U839" s="1"/>
      <c r="V839" s="1" t="s">
        <v>14994</v>
      </c>
      <c r="W839" s="1" t="s">
        <v>14995</v>
      </c>
      <c r="X839" s="1" t="s">
        <v>14996</v>
      </c>
      <c r="Y839" s="1" t="s">
        <v>9823</v>
      </c>
      <c r="Z839" s="1" t="s">
        <v>12697</v>
      </c>
      <c r="AA839" s="1" t="s">
        <v>14997</v>
      </c>
      <c r="AB839" s="1" t="s">
        <v>14998</v>
      </c>
      <c r="AC839" s="1"/>
      <c r="AD839" s="1"/>
      <c r="AE839" s="1"/>
      <c r="AF839" s="1"/>
      <c r="AG839" s="1" t="n">
        <v>53</v>
      </c>
      <c r="AH839" s="1" t="n">
        <v>0</v>
      </c>
      <c r="AI839" s="1" t="n">
        <v>0</v>
      </c>
      <c r="AJ839" s="1" t="n">
        <v>14</v>
      </c>
      <c r="AK839" s="1" t="n">
        <v>14</v>
      </c>
      <c r="AL839" s="1" t="s">
        <v>195</v>
      </c>
      <c r="AM839" s="1" t="s">
        <v>196</v>
      </c>
      <c r="AN839" s="1" t="s">
        <v>197</v>
      </c>
      <c r="AO839" s="1" t="s">
        <v>13512</v>
      </c>
      <c r="AP839" s="1" t="s">
        <v>13513</v>
      </c>
      <c r="AQ839" s="1"/>
      <c r="AR839" s="1" t="s">
        <v>13514</v>
      </c>
      <c r="AS839" s="1" t="s">
        <v>13515</v>
      </c>
      <c r="AT839" s="1" t="s">
        <v>1391</v>
      </c>
      <c r="AU839" s="1" t="n">
        <v>2024</v>
      </c>
      <c r="AV839" s="1" t="n">
        <v>25</v>
      </c>
      <c r="AW839" s="1" t="n">
        <v>11</v>
      </c>
      <c r="AX839" s="1"/>
      <c r="AY839" s="1"/>
      <c r="AZ839" s="1"/>
      <c r="BA839" s="1"/>
      <c r="BB839" s="1" t="n">
        <v>19046</v>
      </c>
      <c r="BC839" s="1" t="n">
        <v>19061</v>
      </c>
      <c r="BD839" s="1"/>
      <c r="BE839" s="1" t="s">
        <v>14999</v>
      </c>
      <c r="BF839" s="1" t="str">
        <f aca="false">HYPERLINK("http://dx.doi.org/10.1109/TITS.2024.3435715","http://dx.doi.org/10.1109/TITS.2024.3435715")</f>
        <v>http://dx.doi.org/10.1109/TITS.2024.3435715</v>
      </c>
      <c r="BG839" s="1"/>
      <c r="BH839" s="1" t="s">
        <v>6127</v>
      </c>
      <c r="BI839" s="1" t="n">
        <v>16</v>
      </c>
      <c r="BJ839" s="1" t="s">
        <v>13517</v>
      </c>
      <c r="BK839" s="1" t="s">
        <v>204</v>
      </c>
      <c r="BL839" s="1" t="s">
        <v>5588</v>
      </c>
      <c r="BM839" s="1" t="s">
        <v>15000</v>
      </c>
      <c r="BN839" s="1"/>
      <c r="BO839" s="1"/>
      <c r="BP839" s="1"/>
      <c r="BQ839" s="1"/>
      <c r="BR839" s="1" t="s">
        <v>103</v>
      </c>
      <c r="BS839" s="1" t="s">
        <v>15001</v>
      </c>
      <c r="BT839" s="1" t="str">
        <f aca="false">HYPERLINK("https%3A%2F%2Fwww.webofscience.com%2Fwos%2Fwoscc%2Ffull-record%2FWOS:001288416200001","View Full Record in Web of Science")</f>
        <v>View Full Record in Web of Science</v>
      </c>
    </row>
    <row r="840" customFormat="false" ht="12.75" hidden="false" customHeight="false" outlineLevel="0" collapsed="false">
      <c r="A840" s="1" t="s">
        <v>181</v>
      </c>
      <c r="B840" s="1" t="s">
        <v>15002</v>
      </c>
      <c r="C840" s="1"/>
      <c r="D840" s="1"/>
      <c r="E840" s="1"/>
      <c r="F840" s="1" t="s">
        <v>15003</v>
      </c>
      <c r="G840" s="1"/>
      <c r="H840" s="1"/>
      <c r="I840" s="1" t="s">
        <v>15004</v>
      </c>
      <c r="J840" s="1" t="s">
        <v>15005</v>
      </c>
      <c r="K840" s="1"/>
      <c r="L840" s="1"/>
      <c r="M840" s="1" t="s">
        <v>78</v>
      </c>
      <c r="N840" s="1" t="s">
        <v>186</v>
      </c>
      <c r="O840" s="1"/>
      <c r="P840" s="1"/>
      <c r="Q840" s="1"/>
      <c r="R840" s="1"/>
      <c r="S840" s="1"/>
      <c r="T840" s="1" t="s">
        <v>15006</v>
      </c>
      <c r="U840" s="1" t="s">
        <v>15007</v>
      </c>
      <c r="V840" s="1" t="s">
        <v>15008</v>
      </c>
      <c r="W840" s="1" t="s">
        <v>15009</v>
      </c>
      <c r="X840" s="1" t="s">
        <v>14293</v>
      </c>
      <c r="Y840" s="1" t="s">
        <v>7729</v>
      </c>
      <c r="Z840" s="1" t="s">
        <v>10093</v>
      </c>
      <c r="AA840" s="1" t="s">
        <v>15010</v>
      </c>
      <c r="AB840" s="1" t="s">
        <v>15011</v>
      </c>
      <c r="AC840" s="1" t="s">
        <v>15012</v>
      </c>
      <c r="AD840" s="1" t="s">
        <v>15013</v>
      </c>
      <c r="AE840" s="1" t="s">
        <v>15014</v>
      </c>
      <c r="AF840" s="1"/>
      <c r="AG840" s="1" t="n">
        <v>30</v>
      </c>
      <c r="AH840" s="1" t="n">
        <v>0</v>
      </c>
      <c r="AI840" s="1" t="n">
        <v>0</v>
      </c>
      <c r="AJ840" s="1" t="n">
        <v>12</v>
      </c>
      <c r="AK840" s="1" t="n">
        <v>14</v>
      </c>
      <c r="AL840" s="1" t="s">
        <v>5713</v>
      </c>
      <c r="AM840" s="1" t="s">
        <v>1908</v>
      </c>
      <c r="AN840" s="1" t="s">
        <v>5714</v>
      </c>
      <c r="AO840" s="1" t="s">
        <v>15015</v>
      </c>
      <c r="AP840" s="1" t="s">
        <v>15016</v>
      </c>
      <c r="AQ840" s="1"/>
      <c r="AR840" s="1" t="s">
        <v>15017</v>
      </c>
      <c r="AS840" s="1" t="s">
        <v>15018</v>
      </c>
      <c r="AT840" s="1" t="s">
        <v>537</v>
      </c>
      <c r="AU840" s="1" t="n">
        <v>2025</v>
      </c>
      <c r="AV840" s="1" t="n">
        <v>239</v>
      </c>
      <c r="AW840" s="1" t="n">
        <v>2</v>
      </c>
      <c r="AX840" s="1"/>
      <c r="AY840" s="1"/>
      <c r="AZ840" s="1"/>
      <c r="BA840" s="1"/>
      <c r="BB840" s="1" t="n">
        <v>353</v>
      </c>
      <c r="BC840" s="1" t="n">
        <v>365</v>
      </c>
      <c r="BD840" s="1"/>
      <c r="BE840" s="1" t="s">
        <v>15019</v>
      </c>
      <c r="BF840" s="1" t="str">
        <f aca="false">HYPERLINK("http://dx.doi.org/10.1177/14644207241262863","http://dx.doi.org/10.1177/14644207241262863")</f>
        <v>http://dx.doi.org/10.1177/14644207241262863</v>
      </c>
      <c r="BG840" s="1"/>
      <c r="BH840" s="1" t="s">
        <v>4909</v>
      </c>
      <c r="BI840" s="1" t="n">
        <v>13</v>
      </c>
      <c r="BJ840" s="1" t="s">
        <v>7249</v>
      </c>
      <c r="BK840" s="1" t="s">
        <v>204</v>
      </c>
      <c r="BL840" s="1" t="s">
        <v>6415</v>
      </c>
      <c r="BM840" s="1" t="s">
        <v>15020</v>
      </c>
      <c r="BN840" s="1"/>
      <c r="BO840" s="1"/>
      <c r="BP840" s="1"/>
      <c r="BQ840" s="1"/>
      <c r="BR840" s="1" t="s">
        <v>103</v>
      </c>
      <c r="BS840" s="1" t="s">
        <v>15021</v>
      </c>
      <c r="BT840" s="1" t="str">
        <f aca="false">HYPERLINK("https%3A%2F%2Fwww.webofscience.com%2Fwos%2Fwoscc%2Ffull-record%2FWOS:001276804100001","View Full Record in Web of Science")</f>
        <v>View Full Record in Web of Science</v>
      </c>
    </row>
    <row r="841" customFormat="false" ht="12.75" hidden="false" customHeight="false" outlineLevel="0" collapsed="false">
      <c r="A841" s="1" t="s">
        <v>181</v>
      </c>
      <c r="B841" s="1" t="s">
        <v>15022</v>
      </c>
      <c r="C841" s="1"/>
      <c r="D841" s="1"/>
      <c r="E841" s="1"/>
      <c r="F841" s="1" t="s">
        <v>15023</v>
      </c>
      <c r="G841" s="1"/>
      <c r="H841" s="1"/>
      <c r="I841" s="1" t="s">
        <v>15024</v>
      </c>
      <c r="J841" s="1" t="s">
        <v>406</v>
      </c>
      <c r="K841" s="1"/>
      <c r="L841" s="1"/>
      <c r="M841" s="1" t="s">
        <v>78</v>
      </c>
      <c r="N841" s="1" t="s">
        <v>186</v>
      </c>
      <c r="O841" s="1"/>
      <c r="P841" s="1"/>
      <c r="Q841" s="1"/>
      <c r="R841" s="1"/>
      <c r="S841" s="1"/>
      <c r="T841" s="1" t="s">
        <v>15025</v>
      </c>
      <c r="U841" s="1" t="s">
        <v>15026</v>
      </c>
      <c r="V841" s="1" t="s">
        <v>15027</v>
      </c>
      <c r="W841" s="1" t="s">
        <v>15028</v>
      </c>
      <c r="X841" s="1" t="s">
        <v>15029</v>
      </c>
      <c r="Y841" s="1" t="s">
        <v>15030</v>
      </c>
      <c r="Z841" s="1" t="s">
        <v>15031</v>
      </c>
      <c r="AA841" s="1" t="s">
        <v>15032</v>
      </c>
      <c r="AB841" s="1" t="s">
        <v>15033</v>
      </c>
      <c r="AC841" s="1" t="s">
        <v>13471</v>
      </c>
      <c r="AD841" s="1" t="s">
        <v>13472</v>
      </c>
      <c r="AE841" s="1" t="s">
        <v>15034</v>
      </c>
      <c r="AF841" s="1"/>
      <c r="AG841" s="1" t="n">
        <v>40</v>
      </c>
      <c r="AH841" s="1" t="n">
        <v>19</v>
      </c>
      <c r="AI841" s="1" t="n">
        <v>21</v>
      </c>
      <c r="AJ841" s="1" t="n">
        <v>1</v>
      </c>
      <c r="AK841" s="1" t="n">
        <v>19</v>
      </c>
      <c r="AL841" s="1" t="s">
        <v>367</v>
      </c>
      <c r="AM841" s="1" t="s">
        <v>368</v>
      </c>
      <c r="AN841" s="1" t="s">
        <v>369</v>
      </c>
      <c r="AO841" s="1"/>
      <c r="AP841" s="1" t="s">
        <v>418</v>
      </c>
      <c r="AQ841" s="1"/>
      <c r="AR841" s="1" t="s">
        <v>419</v>
      </c>
      <c r="AS841" s="1" t="s">
        <v>420</v>
      </c>
      <c r="AT841" s="1" t="s">
        <v>474</v>
      </c>
      <c r="AU841" s="1" t="n">
        <v>2020</v>
      </c>
      <c r="AV841" s="1" t="n">
        <v>17</v>
      </c>
      <c r="AW841" s="1" t="n">
        <v>18</v>
      </c>
      <c r="AX841" s="1"/>
      <c r="AY841" s="1"/>
      <c r="AZ841" s="1"/>
      <c r="BA841" s="1"/>
      <c r="BB841" s="1"/>
      <c r="BC841" s="1"/>
      <c r="BD841" s="1" t="n">
        <v>6816</v>
      </c>
      <c r="BE841" s="1" t="s">
        <v>15035</v>
      </c>
      <c r="BF841" s="1" t="str">
        <f aca="false">HYPERLINK("http://dx.doi.org/10.3390/ijerph17186816","http://dx.doi.org/10.3390/ijerph17186816")</f>
        <v>http://dx.doi.org/10.3390/ijerph17186816</v>
      </c>
      <c r="BG841" s="1"/>
      <c r="BH841" s="1"/>
      <c r="BI841" s="1" t="n">
        <v>21</v>
      </c>
      <c r="BJ841" s="1" t="s">
        <v>423</v>
      </c>
      <c r="BK841" s="1" t="s">
        <v>398</v>
      </c>
      <c r="BL841" s="1" t="s">
        <v>424</v>
      </c>
      <c r="BM841" s="1" t="s">
        <v>15036</v>
      </c>
      <c r="BN841" s="1" t="n">
        <v>32961993</v>
      </c>
      <c r="BO841" s="1" t="s">
        <v>401</v>
      </c>
      <c r="BP841" s="1"/>
      <c r="BQ841" s="1"/>
      <c r="BR841" s="1" t="s">
        <v>103</v>
      </c>
      <c r="BS841" s="1" t="s">
        <v>15037</v>
      </c>
      <c r="BT841" s="1" t="str">
        <f aca="false">HYPERLINK("https%3A%2F%2Fwww.webofscience.com%2Fwos%2Fwoscc%2Ffull-record%2FWOS:000580145500001","View Full Record in Web of Science")</f>
        <v>View Full Record in Web of Science</v>
      </c>
    </row>
    <row r="842" customFormat="false" ht="12.75" hidden="false" customHeight="false" outlineLevel="0" collapsed="false">
      <c r="A842" s="1" t="s">
        <v>72</v>
      </c>
      <c r="B842" s="1" t="s">
        <v>15038</v>
      </c>
      <c r="C842" s="1"/>
      <c r="D842" s="1"/>
      <c r="E842" s="1" t="s">
        <v>1080</v>
      </c>
      <c r="F842" s="1" t="s">
        <v>15039</v>
      </c>
      <c r="G842" s="1"/>
      <c r="H842" s="1"/>
      <c r="I842" s="1" t="s">
        <v>15040</v>
      </c>
      <c r="J842" s="1" t="s">
        <v>15041</v>
      </c>
      <c r="K842" s="1"/>
      <c r="L842" s="1"/>
      <c r="M842" s="1" t="s">
        <v>78</v>
      </c>
      <c r="N842" s="1" t="s">
        <v>79</v>
      </c>
      <c r="O842" s="1" t="s">
        <v>15042</v>
      </c>
      <c r="P842" s="1" t="s">
        <v>550</v>
      </c>
      <c r="Q842" s="1" t="s">
        <v>320</v>
      </c>
      <c r="R842" s="1" t="s">
        <v>15043</v>
      </c>
      <c r="S842" s="1"/>
      <c r="T842" s="1" t="s">
        <v>15044</v>
      </c>
      <c r="U842" s="1"/>
      <c r="V842" s="1" t="s">
        <v>15045</v>
      </c>
      <c r="W842" s="1" t="s">
        <v>15046</v>
      </c>
      <c r="X842" s="1" t="s">
        <v>15047</v>
      </c>
      <c r="Y842" s="1" t="s">
        <v>15048</v>
      </c>
      <c r="Z842" s="1" t="s">
        <v>15049</v>
      </c>
      <c r="AA842" s="1" t="s">
        <v>15050</v>
      </c>
      <c r="AB842" s="1"/>
      <c r="AC842" s="1"/>
      <c r="AD842" s="1"/>
      <c r="AE842" s="1"/>
      <c r="AF842" s="1"/>
      <c r="AG842" s="1" t="n">
        <v>21</v>
      </c>
      <c r="AH842" s="1" t="n">
        <v>1</v>
      </c>
      <c r="AI842" s="1" t="n">
        <v>1</v>
      </c>
      <c r="AJ842" s="1" t="n">
        <v>0</v>
      </c>
      <c r="AK842" s="1" t="n">
        <v>3</v>
      </c>
      <c r="AL842" s="1" t="s">
        <v>172</v>
      </c>
      <c r="AM842" s="1" t="s">
        <v>173</v>
      </c>
      <c r="AN842" s="1" t="s">
        <v>174</v>
      </c>
      <c r="AO842" s="1"/>
      <c r="AP842" s="1"/>
      <c r="AQ842" s="1" t="s">
        <v>15051</v>
      </c>
      <c r="AR842" s="1"/>
      <c r="AS842" s="1"/>
      <c r="AT842" s="1"/>
      <c r="AU842" s="1" t="n">
        <v>2021</v>
      </c>
      <c r="AV842" s="1"/>
      <c r="AW842" s="1"/>
      <c r="AX842" s="1"/>
      <c r="AY842" s="1"/>
      <c r="AZ842" s="1"/>
      <c r="BA842" s="1"/>
      <c r="BB842" s="1" t="n">
        <v>694</v>
      </c>
      <c r="BC842" s="1" t="n">
        <v>699</v>
      </c>
      <c r="BD842" s="1"/>
      <c r="BE842" s="1" t="s">
        <v>15052</v>
      </c>
      <c r="BF842" s="1" t="str">
        <f aca="false">HYPERLINK("http://dx.doi.org/10.1109/MSN53354.2021.00107","http://dx.doi.org/10.1109/MSN53354.2021.00107")</f>
        <v>http://dx.doi.org/10.1109/MSN53354.2021.00107</v>
      </c>
      <c r="BG842" s="1"/>
      <c r="BH842" s="1"/>
      <c r="BI842" s="1" t="n">
        <v>6</v>
      </c>
      <c r="BJ842" s="1" t="s">
        <v>10363</v>
      </c>
      <c r="BK842" s="1" t="s">
        <v>100</v>
      </c>
      <c r="BL842" s="1" t="s">
        <v>1118</v>
      </c>
      <c r="BM842" s="1" t="s">
        <v>15053</v>
      </c>
      <c r="BN842" s="1"/>
      <c r="BO842" s="1" t="s">
        <v>179</v>
      </c>
      <c r="BP842" s="1"/>
      <c r="BQ842" s="1"/>
      <c r="BR842" s="1" t="s">
        <v>103</v>
      </c>
      <c r="BS842" s="1" t="s">
        <v>15054</v>
      </c>
      <c r="BT842" s="1" t="str">
        <f aca="false">HYPERLINK("https%3A%2F%2Fwww.webofscience.com%2Fwos%2Fwoscc%2Ffull-record%2FWOS:000817822300091","View Full Record in Web of Science")</f>
        <v>View Full Record in Web of Science</v>
      </c>
    </row>
    <row r="843" customFormat="false" ht="12.75" hidden="false" customHeight="false" outlineLevel="0" collapsed="false">
      <c r="A843" s="1" t="s">
        <v>181</v>
      </c>
      <c r="B843" s="1" t="s">
        <v>15055</v>
      </c>
      <c r="C843" s="1"/>
      <c r="D843" s="1"/>
      <c r="E843" s="1"/>
      <c r="F843" s="1" t="s">
        <v>15056</v>
      </c>
      <c r="G843" s="1"/>
      <c r="H843" s="1"/>
      <c r="I843" s="1" t="s">
        <v>15057</v>
      </c>
      <c r="J843" s="1" t="s">
        <v>12098</v>
      </c>
      <c r="K843" s="1"/>
      <c r="L843" s="1"/>
      <c r="M843" s="1" t="s">
        <v>78</v>
      </c>
      <c r="N843" s="1" t="s">
        <v>186</v>
      </c>
      <c r="O843" s="1"/>
      <c r="P843" s="1"/>
      <c r="Q843" s="1"/>
      <c r="R843" s="1"/>
      <c r="S843" s="1"/>
      <c r="T843" s="1" t="s">
        <v>15058</v>
      </c>
      <c r="U843" s="1" t="s">
        <v>15059</v>
      </c>
      <c r="V843" s="1" t="s">
        <v>15060</v>
      </c>
      <c r="W843" s="1" t="s">
        <v>15061</v>
      </c>
      <c r="X843" s="1" t="s">
        <v>13225</v>
      </c>
      <c r="Y843" s="1" t="s">
        <v>15062</v>
      </c>
      <c r="Z843" s="1" t="s">
        <v>15063</v>
      </c>
      <c r="AA843" s="1" t="s">
        <v>15064</v>
      </c>
      <c r="AB843" s="1" t="s">
        <v>15065</v>
      </c>
      <c r="AC843" s="1" t="s">
        <v>13206</v>
      </c>
      <c r="AD843" s="1" t="s">
        <v>13207</v>
      </c>
      <c r="AE843" s="1" t="s">
        <v>15066</v>
      </c>
      <c r="AF843" s="1"/>
      <c r="AG843" s="1" t="n">
        <v>13</v>
      </c>
      <c r="AH843" s="1" t="n">
        <v>1</v>
      </c>
      <c r="AI843" s="1" t="n">
        <v>1</v>
      </c>
      <c r="AJ843" s="1" t="n">
        <v>0</v>
      </c>
      <c r="AK843" s="1" t="n">
        <v>0</v>
      </c>
      <c r="AL843" s="1" t="s">
        <v>12110</v>
      </c>
      <c r="AM843" s="1" t="s">
        <v>12111</v>
      </c>
      <c r="AN843" s="1" t="s">
        <v>12112</v>
      </c>
      <c r="AO843" s="1" t="s">
        <v>12113</v>
      </c>
      <c r="AP843" s="1"/>
      <c r="AQ843" s="1"/>
      <c r="AR843" s="1" t="s">
        <v>12114</v>
      </c>
      <c r="AS843" s="1" t="s">
        <v>12115</v>
      </c>
      <c r="AT843" s="1" t="s">
        <v>372</v>
      </c>
      <c r="AU843" s="1" t="n">
        <v>2023</v>
      </c>
      <c r="AV843" s="1" t="n">
        <v>53</v>
      </c>
      <c r="AW843" s="1" t="n">
        <v>4</v>
      </c>
      <c r="AX843" s="1"/>
      <c r="AY843" s="1"/>
      <c r="AZ843" s="1"/>
      <c r="BA843" s="1"/>
      <c r="BB843" s="1" t="n">
        <v>299</v>
      </c>
      <c r="BC843" s="1" t="n">
        <v>305</v>
      </c>
      <c r="BD843" s="1" t="s">
        <v>15067</v>
      </c>
      <c r="BE843" s="1" t="s">
        <v>15068</v>
      </c>
      <c r="BF843" s="1" t="str">
        <f aca="false">HYPERLINK("http://dx.doi.org/10.28920/dhm53.4.299-305","http://dx.doi.org/10.28920/dhm53.4.299-305")</f>
        <v>http://dx.doi.org/10.28920/dhm53.4.299-305</v>
      </c>
      <c r="BG843" s="1"/>
      <c r="BH843" s="1"/>
      <c r="BI843" s="1" t="n">
        <v>7</v>
      </c>
      <c r="BJ843" s="1" t="s">
        <v>1971</v>
      </c>
      <c r="BK843" s="1" t="s">
        <v>204</v>
      </c>
      <c r="BL843" s="1" t="s">
        <v>1971</v>
      </c>
      <c r="BM843" s="1" t="s">
        <v>12118</v>
      </c>
      <c r="BN843" s="1" t="n">
        <v>38091588</v>
      </c>
      <c r="BO843" s="1"/>
      <c r="BP843" s="1"/>
      <c r="BQ843" s="1"/>
      <c r="BR843" s="1" t="s">
        <v>103</v>
      </c>
      <c r="BS843" s="1" t="s">
        <v>15069</v>
      </c>
      <c r="BT843" s="1" t="str">
        <f aca="false">HYPERLINK("https%3A%2F%2Fwww.webofscience.com%2Fwos%2Fwoscc%2Ffull-record%2FWOS:001163046200002","View Full Record in Web of Science")</f>
        <v>View Full Record in Web of Science</v>
      </c>
    </row>
    <row r="844" customFormat="false" ht="12.75" hidden="false" customHeight="false" outlineLevel="0" collapsed="false">
      <c r="A844" s="1" t="s">
        <v>181</v>
      </c>
      <c r="B844" s="1" t="s">
        <v>15070</v>
      </c>
      <c r="C844" s="1"/>
      <c r="D844" s="1"/>
      <c r="E844" s="1"/>
      <c r="F844" s="1" t="s">
        <v>15071</v>
      </c>
      <c r="G844" s="1"/>
      <c r="H844" s="1"/>
      <c r="I844" s="1" t="s">
        <v>15072</v>
      </c>
      <c r="J844" s="1" t="s">
        <v>1104</v>
      </c>
      <c r="K844" s="1"/>
      <c r="L844" s="1"/>
      <c r="M844" s="1" t="s">
        <v>78</v>
      </c>
      <c r="N844" s="1" t="s">
        <v>618</v>
      </c>
      <c r="O844" s="1"/>
      <c r="P844" s="1"/>
      <c r="Q844" s="1"/>
      <c r="R844" s="1"/>
      <c r="S844" s="1"/>
      <c r="T844" s="1" t="s">
        <v>15073</v>
      </c>
      <c r="U844" s="1" t="s">
        <v>15074</v>
      </c>
      <c r="V844" s="1" t="s">
        <v>15075</v>
      </c>
      <c r="W844" s="1" t="s">
        <v>15076</v>
      </c>
      <c r="X844" s="1" t="s">
        <v>15077</v>
      </c>
      <c r="Y844" s="1" t="s">
        <v>15078</v>
      </c>
      <c r="Z844" s="1" t="s">
        <v>15079</v>
      </c>
      <c r="AA844" s="1" t="s">
        <v>15080</v>
      </c>
      <c r="AB844" s="1" t="s">
        <v>15081</v>
      </c>
      <c r="AC844" s="1" t="s">
        <v>15082</v>
      </c>
      <c r="AD844" s="1" t="s">
        <v>15083</v>
      </c>
      <c r="AE844" s="1" t="s">
        <v>15084</v>
      </c>
      <c r="AF844" s="1"/>
      <c r="AG844" s="1" t="n">
        <v>82</v>
      </c>
      <c r="AH844" s="1" t="n">
        <v>57</v>
      </c>
      <c r="AI844" s="1" t="n">
        <v>60</v>
      </c>
      <c r="AJ844" s="1" t="n">
        <v>5</v>
      </c>
      <c r="AK844" s="1" t="n">
        <v>49</v>
      </c>
      <c r="AL844" s="1" t="s">
        <v>195</v>
      </c>
      <c r="AM844" s="1" t="s">
        <v>196</v>
      </c>
      <c r="AN844" s="1" t="s">
        <v>197</v>
      </c>
      <c r="AO844" s="1" t="s">
        <v>1114</v>
      </c>
      <c r="AP844" s="1"/>
      <c r="AQ844" s="1"/>
      <c r="AR844" s="1" t="s">
        <v>1104</v>
      </c>
      <c r="AS844" s="1" t="s">
        <v>1115</v>
      </c>
      <c r="AT844" s="1"/>
      <c r="AU844" s="1" t="n">
        <v>2021</v>
      </c>
      <c r="AV844" s="1" t="n">
        <v>9</v>
      </c>
      <c r="AW844" s="1"/>
      <c r="AX844" s="1"/>
      <c r="AY844" s="1"/>
      <c r="AZ844" s="1"/>
      <c r="BA844" s="1"/>
      <c r="BB844" s="1" t="n">
        <v>121975</v>
      </c>
      <c r="BC844" s="1" t="n">
        <v>121995</v>
      </c>
      <c r="BD844" s="1"/>
      <c r="BE844" s="1" t="s">
        <v>15085</v>
      </c>
      <c r="BF844" s="1" t="str">
        <f aca="false">HYPERLINK("http://dx.doi.org/10.1109/ACCESS.2021.3109886","http://dx.doi.org/10.1109/ACCESS.2021.3109886")</f>
        <v>http://dx.doi.org/10.1109/ACCESS.2021.3109886</v>
      </c>
      <c r="BG844" s="1"/>
      <c r="BH844" s="1"/>
      <c r="BI844" s="1" t="n">
        <v>21</v>
      </c>
      <c r="BJ844" s="1" t="s">
        <v>1117</v>
      </c>
      <c r="BK844" s="1" t="s">
        <v>204</v>
      </c>
      <c r="BL844" s="1" t="s">
        <v>1118</v>
      </c>
      <c r="BM844" s="1" t="s">
        <v>15086</v>
      </c>
      <c r="BN844" s="1"/>
      <c r="BO844" s="1" t="s">
        <v>376</v>
      </c>
      <c r="BP844" s="1"/>
      <c r="BQ844" s="1"/>
      <c r="BR844" s="1" t="s">
        <v>103</v>
      </c>
      <c r="BS844" s="1" t="s">
        <v>15087</v>
      </c>
      <c r="BT844" s="1" t="str">
        <f aca="false">HYPERLINK("https%3A%2F%2Fwww.webofscience.com%2Fwos%2Fwoscc%2Ffull-record%2FWOS:000694691200001","View Full Record in Web of Science")</f>
        <v>View Full Record in Web of Science</v>
      </c>
    </row>
    <row r="845" customFormat="false" ht="12.75" hidden="false" customHeight="false" outlineLevel="0" collapsed="false">
      <c r="A845" s="1" t="s">
        <v>72</v>
      </c>
      <c r="B845" s="1" t="s">
        <v>15088</v>
      </c>
      <c r="C845" s="1"/>
      <c r="D845" s="1"/>
      <c r="E845" s="1" t="s">
        <v>94</v>
      </c>
      <c r="F845" s="1" t="s">
        <v>15089</v>
      </c>
      <c r="G845" s="1"/>
      <c r="H845" s="1"/>
      <c r="I845" s="1" t="s">
        <v>15090</v>
      </c>
      <c r="J845" s="1" t="s">
        <v>2482</v>
      </c>
      <c r="K845" s="1"/>
      <c r="L845" s="1"/>
      <c r="M845" s="1" t="s">
        <v>78</v>
      </c>
      <c r="N845" s="1" t="s">
        <v>79</v>
      </c>
      <c r="O845" s="1" t="s">
        <v>2483</v>
      </c>
      <c r="P845" s="1" t="s">
        <v>2484</v>
      </c>
      <c r="Q845" s="1" t="s">
        <v>292</v>
      </c>
      <c r="R845" s="1" t="s">
        <v>2485</v>
      </c>
      <c r="S845" s="1"/>
      <c r="T845" s="1" t="s">
        <v>15091</v>
      </c>
      <c r="U845" s="1" t="s">
        <v>981</v>
      </c>
      <c r="V845" s="1" t="s">
        <v>15092</v>
      </c>
      <c r="W845" s="1" t="s">
        <v>15093</v>
      </c>
      <c r="X845" s="1" t="s">
        <v>15094</v>
      </c>
      <c r="Y845" s="1" t="s">
        <v>5337</v>
      </c>
      <c r="Z845" s="1" t="s">
        <v>15095</v>
      </c>
      <c r="AA845" s="1" t="s">
        <v>2491</v>
      </c>
      <c r="AB845" s="1"/>
      <c r="AC845" s="1" t="s">
        <v>2493</v>
      </c>
      <c r="AD845" s="1" t="s">
        <v>2493</v>
      </c>
      <c r="AE845" s="1" t="s">
        <v>15096</v>
      </c>
      <c r="AF845" s="1"/>
      <c r="AG845" s="1" t="n">
        <v>39</v>
      </c>
      <c r="AH845" s="1" t="n">
        <v>1</v>
      </c>
      <c r="AI845" s="1" t="n">
        <v>1</v>
      </c>
      <c r="AJ845" s="1" t="n">
        <v>2</v>
      </c>
      <c r="AK845" s="1" t="n">
        <v>2</v>
      </c>
      <c r="AL845" s="1" t="s">
        <v>94</v>
      </c>
      <c r="AM845" s="1" t="s">
        <v>95</v>
      </c>
      <c r="AN845" s="1" t="s">
        <v>96</v>
      </c>
      <c r="AO845" s="1"/>
      <c r="AP845" s="1"/>
      <c r="AQ845" s="1" t="s">
        <v>2494</v>
      </c>
      <c r="AR845" s="1"/>
      <c r="AS845" s="1"/>
      <c r="AT845" s="1"/>
      <c r="AU845" s="1" t="n">
        <v>2024</v>
      </c>
      <c r="AV845" s="1"/>
      <c r="AW845" s="1"/>
      <c r="AX845" s="1"/>
      <c r="AY845" s="1"/>
      <c r="AZ845" s="1"/>
      <c r="BA845" s="1"/>
      <c r="BB845" s="1" t="n">
        <v>27</v>
      </c>
      <c r="BC845" s="1" t="n">
        <v>33</v>
      </c>
      <c r="BD845" s="1"/>
      <c r="BE845" s="1" t="s">
        <v>15097</v>
      </c>
      <c r="BF845" s="1" t="str">
        <f aca="false">HYPERLINK("http://dx.doi.org/10.1145/3643664.3618211","http://dx.doi.org/10.1145/3643664.3618211")</f>
        <v>http://dx.doi.org/10.1145/3643664.3618211</v>
      </c>
      <c r="BG845" s="1"/>
      <c r="BH845" s="1"/>
      <c r="BI845" s="1" t="n">
        <v>7</v>
      </c>
      <c r="BJ845" s="1" t="s">
        <v>994</v>
      </c>
      <c r="BK845" s="1" t="s">
        <v>100</v>
      </c>
      <c r="BL845" s="1" t="s">
        <v>101</v>
      </c>
      <c r="BM845" s="1" t="s">
        <v>2496</v>
      </c>
      <c r="BN845" s="1"/>
      <c r="BO845" s="1"/>
      <c r="BP845" s="1"/>
      <c r="BQ845" s="1"/>
      <c r="BR845" s="1" t="s">
        <v>103</v>
      </c>
      <c r="BS845" s="1" t="s">
        <v>15098</v>
      </c>
      <c r="BT845" s="1" t="str">
        <f aca="false">HYPERLINK("https%3A%2F%2Fwww.webofscience.com%2Fwos%2Fwoscc%2Ffull-record%2FWOS:001293147200006","View Full Record in Web of Science")</f>
        <v>View Full Record in Web of Science</v>
      </c>
    </row>
    <row r="846" customFormat="false" ht="12.75" hidden="false" customHeight="false" outlineLevel="0" collapsed="false">
      <c r="A846" s="1" t="s">
        <v>181</v>
      </c>
      <c r="B846" s="1" t="s">
        <v>15099</v>
      </c>
      <c r="C846" s="1"/>
      <c r="D846" s="1"/>
      <c r="E846" s="1"/>
      <c r="F846" s="1" t="s">
        <v>15100</v>
      </c>
      <c r="G846" s="1"/>
      <c r="H846" s="1"/>
      <c r="I846" s="1" t="s">
        <v>15101</v>
      </c>
      <c r="J846" s="1" t="s">
        <v>7044</v>
      </c>
      <c r="K846" s="1"/>
      <c r="L846" s="1"/>
      <c r="M846" s="1" t="s">
        <v>78</v>
      </c>
      <c r="N846" s="1" t="s">
        <v>186</v>
      </c>
      <c r="O846" s="1"/>
      <c r="P846" s="1"/>
      <c r="Q846" s="1"/>
      <c r="R846" s="1"/>
      <c r="S846" s="1"/>
      <c r="T846" s="1"/>
      <c r="U846" s="1"/>
      <c r="V846" s="1" t="s">
        <v>15102</v>
      </c>
      <c r="W846" s="1" t="s">
        <v>15103</v>
      </c>
      <c r="X846" s="1" t="s">
        <v>15104</v>
      </c>
      <c r="Y846" s="1" t="s">
        <v>15105</v>
      </c>
      <c r="Z846" s="1" t="s">
        <v>15106</v>
      </c>
      <c r="AA846" s="1" t="s">
        <v>15107</v>
      </c>
      <c r="AB846" s="1" t="s">
        <v>11233</v>
      </c>
      <c r="AC846" s="1" t="s">
        <v>268</v>
      </c>
      <c r="AD846" s="1" t="s">
        <v>268</v>
      </c>
      <c r="AE846" s="1" t="s">
        <v>269</v>
      </c>
      <c r="AF846" s="1"/>
      <c r="AG846" s="1" t="n">
        <v>28</v>
      </c>
      <c r="AH846" s="1" t="n">
        <v>13</v>
      </c>
      <c r="AI846" s="1" t="n">
        <v>13</v>
      </c>
      <c r="AJ846" s="1" t="n">
        <v>3</v>
      </c>
      <c r="AK846" s="1" t="n">
        <v>15</v>
      </c>
      <c r="AL846" s="1" t="s">
        <v>7054</v>
      </c>
      <c r="AM846" s="1" t="s">
        <v>3317</v>
      </c>
      <c r="AN846" s="1" t="s">
        <v>7055</v>
      </c>
      <c r="AO846" s="1" t="s">
        <v>7056</v>
      </c>
      <c r="AP846" s="1"/>
      <c r="AQ846" s="1"/>
      <c r="AR846" s="1" t="s">
        <v>7057</v>
      </c>
      <c r="AS846" s="1" t="s">
        <v>7058</v>
      </c>
      <c r="AT846" s="1" t="s">
        <v>8223</v>
      </c>
      <c r="AU846" s="1" t="n">
        <v>2023</v>
      </c>
      <c r="AV846" s="1" t="n">
        <v>13</v>
      </c>
      <c r="AW846" s="1" t="n">
        <v>1</v>
      </c>
      <c r="AX846" s="1"/>
      <c r="AY846" s="1"/>
      <c r="AZ846" s="1"/>
      <c r="BA846" s="1"/>
      <c r="BB846" s="1"/>
      <c r="BC846" s="1"/>
      <c r="BD846" s="1" t="n">
        <v>128</v>
      </c>
      <c r="BE846" s="1" t="s">
        <v>15108</v>
      </c>
      <c r="BF846" s="1" t="str">
        <f aca="false">HYPERLINK("http://dx.doi.org/10.1038/s41598-022-27331-3","http://dx.doi.org/10.1038/s41598-022-27331-3")</f>
        <v>http://dx.doi.org/10.1038/s41598-022-27331-3</v>
      </c>
      <c r="BG846" s="1"/>
      <c r="BH846" s="1"/>
      <c r="BI846" s="1" t="n">
        <v>11</v>
      </c>
      <c r="BJ846" s="1" t="s">
        <v>6557</v>
      </c>
      <c r="BK846" s="1" t="s">
        <v>204</v>
      </c>
      <c r="BL846" s="1" t="s">
        <v>6558</v>
      </c>
      <c r="BM846" s="1" t="s">
        <v>15109</v>
      </c>
      <c r="BN846" s="1" t="n">
        <v>36599960</v>
      </c>
      <c r="BO846" s="1" t="s">
        <v>401</v>
      </c>
      <c r="BP846" s="1"/>
      <c r="BQ846" s="1"/>
      <c r="BR846" s="1" t="s">
        <v>103</v>
      </c>
      <c r="BS846" s="1" t="s">
        <v>15110</v>
      </c>
      <c r="BT846" s="1" t="str">
        <f aca="false">HYPERLINK("https%3A%2F%2Fwww.webofscience.com%2Fwos%2Fwoscc%2Ffull-record%2FWOS:001003343100022","View Full Record in Web of Science")</f>
        <v>View Full Record in Web of Science</v>
      </c>
    </row>
    <row r="847" customFormat="false" ht="12.75" hidden="false" customHeight="false" outlineLevel="0" collapsed="false">
      <c r="A847" s="1" t="s">
        <v>181</v>
      </c>
      <c r="B847" s="1" t="s">
        <v>15111</v>
      </c>
      <c r="C847" s="1"/>
      <c r="D847" s="1"/>
      <c r="E847" s="1"/>
      <c r="F847" s="1" t="s">
        <v>15112</v>
      </c>
      <c r="G847" s="1"/>
      <c r="H847" s="1"/>
      <c r="I847" s="1" t="s">
        <v>15113</v>
      </c>
      <c r="J847" s="1" t="s">
        <v>15114</v>
      </c>
      <c r="K847" s="1"/>
      <c r="L847" s="1"/>
      <c r="M847" s="1" t="s">
        <v>78</v>
      </c>
      <c r="N847" s="1" t="s">
        <v>186</v>
      </c>
      <c r="O847" s="1"/>
      <c r="P847" s="1"/>
      <c r="Q847" s="1"/>
      <c r="R847" s="1"/>
      <c r="S847" s="1"/>
      <c r="T847" s="1" t="s">
        <v>15115</v>
      </c>
      <c r="U847" s="1" t="s">
        <v>15116</v>
      </c>
      <c r="V847" s="1" t="s">
        <v>15117</v>
      </c>
      <c r="W847" s="1" t="s">
        <v>15118</v>
      </c>
      <c r="X847" s="1" t="s">
        <v>15119</v>
      </c>
      <c r="Y847" s="1" t="s">
        <v>15120</v>
      </c>
      <c r="Z847" s="1" t="s">
        <v>15121</v>
      </c>
      <c r="AA847" s="1" t="s">
        <v>6855</v>
      </c>
      <c r="AB847" s="1" t="s">
        <v>15122</v>
      </c>
      <c r="AC847" s="1" t="s">
        <v>15123</v>
      </c>
      <c r="AD847" s="1" t="s">
        <v>15124</v>
      </c>
      <c r="AE847" s="1" t="s">
        <v>15125</v>
      </c>
      <c r="AF847" s="1"/>
      <c r="AG847" s="1" t="n">
        <v>40</v>
      </c>
      <c r="AH847" s="1" t="n">
        <v>9</v>
      </c>
      <c r="AI847" s="1" t="n">
        <v>9</v>
      </c>
      <c r="AJ847" s="1" t="n">
        <v>0</v>
      </c>
      <c r="AK847" s="1" t="n">
        <v>4</v>
      </c>
      <c r="AL847" s="1" t="s">
        <v>15126</v>
      </c>
      <c r="AM847" s="1" t="s">
        <v>15127</v>
      </c>
      <c r="AN847" s="1" t="s">
        <v>15128</v>
      </c>
      <c r="AO847" s="1"/>
      <c r="AP847" s="1" t="s">
        <v>15129</v>
      </c>
      <c r="AQ847" s="1"/>
      <c r="AR847" s="1" t="s">
        <v>15130</v>
      </c>
      <c r="AS847" s="1" t="s">
        <v>15131</v>
      </c>
      <c r="AT847" s="1"/>
      <c r="AU847" s="1" t="n">
        <v>2020</v>
      </c>
      <c r="AV847" s="1" t="n">
        <v>15</v>
      </c>
      <c r="AW847" s="1"/>
      <c r="AX847" s="1"/>
      <c r="AY847" s="1"/>
      <c r="AZ847" s="1"/>
      <c r="BA847" s="1"/>
      <c r="BB847" s="1" t="n">
        <v>2031</v>
      </c>
      <c r="BC847" s="1" t="n">
        <v>2039</v>
      </c>
      <c r="BD847" s="1"/>
      <c r="BE847" s="1" t="s">
        <v>15132</v>
      </c>
      <c r="BF847" s="1" t="str">
        <f aca="false">HYPERLINK("http://dx.doi.org/10.2147/CIA.S275387","http://dx.doi.org/10.2147/CIA.S275387")</f>
        <v>http://dx.doi.org/10.2147/CIA.S275387</v>
      </c>
      <c r="BG847" s="1"/>
      <c r="BH847" s="1"/>
      <c r="BI847" s="1" t="n">
        <v>9</v>
      </c>
      <c r="BJ847" s="1" t="s">
        <v>2038</v>
      </c>
      <c r="BK847" s="1" t="s">
        <v>398</v>
      </c>
      <c r="BL847" s="1" t="s">
        <v>2038</v>
      </c>
      <c r="BM847" s="1" t="s">
        <v>15133</v>
      </c>
      <c r="BN847" s="1" t="n">
        <v>33173284</v>
      </c>
      <c r="BO847" s="1" t="s">
        <v>401</v>
      </c>
      <c r="BP847" s="1"/>
      <c r="BQ847" s="1"/>
      <c r="BR847" s="1" t="s">
        <v>103</v>
      </c>
      <c r="BS847" s="1" t="s">
        <v>15134</v>
      </c>
      <c r="BT847" s="1" t="str">
        <f aca="false">HYPERLINK("https%3A%2F%2Fwww.webofscience.com%2Fwos%2Fwoscc%2Ffull-record%2FWOS:000583331800004","View Full Record in Web of Science")</f>
        <v>View Full Record in Web of Science</v>
      </c>
    </row>
    <row r="848" customFormat="false" ht="12.75" hidden="false" customHeight="false" outlineLevel="0" collapsed="false">
      <c r="A848" s="1" t="s">
        <v>181</v>
      </c>
      <c r="B848" s="1" t="s">
        <v>15135</v>
      </c>
      <c r="C848" s="1"/>
      <c r="D848" s="1"/>
      <c r="E848" s="1"/>
      <c r="F848" s="1" t="s">
        <v>15136</v>
      </c>
      <c r="G848" s="1"/>
      <c r="H848" s="1"/>
      <c r="I848" s="1" t="s">
        <v>15137</v>
      </c>
      <c r="J848" s="1" t="s">
        <v>15138</v>
      </c>
      <c r="K848" s="1"/>
      <c r="L848" s="1"/>
      <c r="M848" s="1" t="s">
        <v>78</v>
      </c>
      <c r="N848" s="1" t="s">
        <v>186</v>
      </c>
      <c r="O848" s="1"/>
      <c r="P848" s="1"/>
      <c r="Q848" s="1"/>
      <c r="R848" s="1"/>
      <c r="S848" s="1"/>
      <c r="T848" s="1" t="s">
        <v>15139</v>
      </c>
      <c r="U848" s="1" t="s">
        <v>15140</v>
      </c>
      <c r="V848" s="1" t="s">
        <v>15141</v>
      </c>
      <c r="W848" s="1" t="s">
        <v>15142</v>
      </c>
      <c r="X848" s="1" t="s">
        <v>15143</v>
      </c>
      <c r="Y848" s="1" t="s">
        <v>15144</v>
      </c>
      <c r="Z848" s="1" t="s">
        <v>15145</v>
      </c>
      <c r="AA848" s="1" t="s">
        <v>15146</v>
      </c>
      <c r="AB848" s="1" t="s">
        <v>15147</v>
      </c>
      <c r="AC848" s="1" t="s">
        <v>15148</v>
      </c>
      <c r="AD848" s="1" t="s">
        <v>15148</v>
      </c>
      <c r="AE848" s="1" t="s">
        <v>15149</v>
      </c>
      <c r="AF848" s="1"/>
      <c r="AG848" s="1" t="n">
        <v>68</v>
      </c>
      <c r="AH848" s="1" t="n">
        <v>3</v>
      </c>
      <c r="AI848" s="1" t="n">
        <v>3</v>
      </c>
      <c r="AJ848" s="1" t="n">
        <v>3</v>
      </c>
      <c r="AK848" s="1" t="n">
        <v>6</v>
      </c>
      <c r="AL848" s="1" t="s">
        <v>938</v>
      </c>
      <c r="AM848" s="1" t="s">
        <v>939</v>
      </c>
      <c r="AN848" s="1" t="s">
        <v>940</v>
      </c>
      <c r="AO848" s="1" t="s">
        <v>15150</v>
      </c>
      <c r="AP848" s="1"/>
      <c r="AQ848" s="1"/>
      <c r="AR848" s="1" t="s">
        <v>15151</v>
      </c>
      <c r="AS848" s="1" t="s">
        <v>15152</v>
      </c>
      <c r="AT848" s="1" t="s">
        <v>15153</v>
      </c>
      <c r="AU848" s="1" t="n">
        <v>2024</v>
      </c>
      <c r="AV848" s="1" t="n">
        <v>11</v>
      </c>
      <c r="AW848" s="1"/>
      <c r="AX848" s="1"/>
      <c r="AY848" s="1"/>
      <c r="AZ848" s="1"/>
      <c r="BA848" s="1"/>
      <c r="BB848" s="1"/>
      <c r="BC848" s="1"/>
      <c r="BD848" s="1" t="n">
        <v>1336255</v>
      </c>
      <c r="BE848" s="1" t="s">
        <v>15154</v>
      </c>
      <c r="BF848" s="1" t="str">
        <f aca="false">HYPERLINK("http://dx.doi.org/10.3389/fbioe.2023.1336255","http://dx.doi.org/10.3389/fbioe.2023.1336255")</f>
        <v>http://dx.doi.org/10.3389/fbioe.2023.1336255</v>
      </c>
      <c r="BG848" s="1"/>
      <c r="BH848" s="1"/>
      <c r="BI848" s="1" t="n">
        <v>12</v>
      </c>
      <c r="BJ848" s="1" t="s">
        <v>15155</v>
      </c>
      <c r="BK848" s="1" t="s">
        <v>204</v>
      </c>
      <c r="BL848" s="1" t="s">
        <v>15156</v>
      </c>
      <c r="BM848" s="1" t="s">
        <v>15157</v>
      </c>
      <c r="BN848" s="1" t="n">
        <v>38260734</v>
      </c>
      <c r="BO848" s="1" t="s">
        <v>401</v>
      </c>
      <c r="BP848" s="1"/>
      <c r="BQ848" s="1"/>
      <c r="BR848" s="1" t="s">
        <v>103</v>
      </c>
      <c r="BS848" s="1" t="s">
        <v>15158</v>
      </c>
      <c r="BT848" s="1" t="str">
        <f aca="false">HYPERLINK("https%3A%2F%2Fwww.webofscience.com%2Fwos%2Fwoscc%2Ffull-record%2FWOS:001153187700001","View Full Record in Web of Science")</f>
        <v>View Full Record in Web of Science</v>
      </c>
    </row>
    <row r="849" customFormat="false" ht="12.75" hidden="false" customHeight="false" outlineLevel="0" collapsed="false">
      <c r="A849" s="1" t="s">
        <v>181</v>
      </c>
      <c r="B849" s="1" t="s">
        <v>15159</v>
      </c>
      <c r="C849" s="1"/>
      <c r="D849" s="1"/>
      <c r="E849" s="1"/>
      <c r="F849" s="1" t="s">
        <v>15160</v>
      </c>
      <c r="G849" s="1"/>
      <c r="H849" s="1"/>
      <c r="I849" s="1" t="s">
        <v>15161</v>
      </c>
      <c r="J849" s="1" t="s">
        <v>11785</v>
      </c>
      <c r="K849" s="1"/>
      <c r="L849" s="1"/>
      <c r="M849" s="1" t="s">
        <v>78</v>
      </c>
      <c r="N849" s="1" t="s">
        <v>186</v>
      </c>
      <c r="O849" s="1"/>
      <c r="P849" s="1"/>
      <c r="Q849" s="1"/>
      <c r="R849" s="1"/>
      <c r="S849" s="1"/>
      <c r="T849" s="1" t="s">
        <v>15162</v>
      </c>
      <c r="U849" s="1"/>
      <c r="V849" s="1" t="s">
        <v>15163</v>
      </c>
      <c r="W849" s="1" t="s">
        <v>15164</v>
      </c>
      <c r="X849" s="1" t="s">
        <v>15165</v>
      </c>
      <c r="Y849" s="1" t="s">
        <v>15166</v>
      </c>
      <c r="Z849" s="1" t="s">
        <v>15167</v>
      </c>
      <c r="AA849" s="1" t="s">
        <v>5956</v>
      </c>
      <c r="AB849" s="1" t="s">
        <v>5957</v>
      </c>
      <c r="AC849" s="1" t="s">
        <v>14161</v>
      </c>
      <c r="AD849" s="1" t="s">
        <v>15168</v>
      </c>
      <c r="AE849" s="1" t="s">
        <v>15169</v>
      </c>
      <c r="AF849" s="1"/>
      <c r="AG849" s="1" t="n">
        <v>51</v>
      </c>
      <c r="AH849" s="1" t="n">
        <v>0</v>
      </c>
      <c r="AI849" s="1" t="n">
        <v>0</v>
      </c>
      <c r="AJ849" s="1" t="n">
        <v>1</v>
      </c>
      <c r="AK849" s="1" t="n">
        <v>4</v>
      </c>
      <c r="AL849" s="1" t="s">
        <v>11593</v>
      </c>
      <c r="AM849" s="1" t="s">
        <v>11594</v>
      </c>
      <c r="AN849" s="1" t="s">
        <v>11595</v>
      </c>
      <c r="AO849" s="1" t="s">
        <v>11795</v>
      </c>
      <c r="AP849" s="1"/>
      <c r="AQ849" s="1"/>
      <c r="AR849" s="1" t="s">
        <v>11796</v>
      </c>
      <c r="AS849" s="1" t="s">
        <v>11797</v>
      </c>
      <c r="AT849" s="1"/>
      <c r="AU849" s="1" t="n">
        <v>2022</v>
      </c>
      <c r="AV849" s="1" t="n">
        <v>7</v>
      </c>
      <c r="AW849" s="1" t="n">
        <v>4</v>
      </c>
      <c r="AX849" s="1"/>
      <c r="AY849" s="1"/>
      <c r="AZ849" s="1"/>
      <c r="BA849" s="1"/>
      <c r="BB849" s="1" t="n">
        <v>113</v>
      </c>
      <c r="BC849" s="1" t="n">
        <v>123</v>
      </c>
      <c r="BD849" s="1"/>
      <c r="BE849" s="1" t="s">
        <v>15170</v>
      </c>
      <c r="BF849" s="1" t="str">
        <f aca="false">HYPERLINK("http://dx.doi.org/10.17645/up.v7i4.5620","http://dx.doi.org/10.17645/up.v7i4.5620")</f>
        <v>http://dx.doi.org/10.17645/up.v7i4.5620</v>
      </c>
      <c r="BG849" s="1"/>
      <c r="BH849" s="1"/>
      <c r="BI849" s="1" t="n">
        <v>11</v>
      </c>
      <c r="BJ849" s="1" t="s">
        <v>11799</v>
      </c>
      <c r="BK849" s="1" t="s">
        <v>253</v>
      </c>
      <c r="BL849" s="1" t="s">
        <v>11799</v>
      </c>
      <c r="BM849" s="1" t="s">
        <v>15171</v>
      </c>
      <c r="BN849" s="1"/>
      <c r="BO849" s="1" t="s">
        <v>401</v>
      </c>
      <c r="BP849" s="1"/>
      <c r="BQ849" s="1"/>
      <c r="BR849" s="1" t="s">
        <v>103</v>
      </c>
      <c r="BS849" s="1" t="s">
        <v>15172</v>
      </c>
      <c r="BT849" s="1" t="str">
        <f aca="false">HYPERLINK("https%3A%2F%2Fwww.webofscience.com%2Fwos%2Fwoscc%2Ffull-record%2FWOS:000878374600009","View Full Record in Web of Science")</f>
        <v>View Full Record in Web of Science</v>
      </c>
    </row>
    <row r="850" customFormat="false" ht="12.75" hidden="false" customHeight="false" outlineLevel="0" collapsed="false">
      <c r="A850" s="1" t="s">
        <v>181</v>
      </c>
      <c r="B850" s="1" t="s">
        <v>15173</v>
      </c>
      <c r="C850" s="1"/>
      <c r="D850" s="1"/>
      <c r="E850" s="1"/>
      <c r="F850" s="1" t="s">
        <v>15174</v>
      </c>
      <c r="G850" s="1"/>
      <c r="H850" s="1"/>
      <c r="I850" s="1" t="s">
        <v>15175</v>
      </c>
      <c r="J850" s="1" t="s">
        <v>4875</v>
      </c>
      <c r="K850" s="1"/>
      <c r="L850" s="1"/>
      <c r="M850" s="1" t="s">
        <v>78</v>
      </c>
      <c r="N850" s="1" t="s">
        <v>186</v>
      </c>
      <c r="O850" s="1"/>
      <c r="P850" s="1"/>
      <c r="Q850" s="1"/>
      <c r="R850" s="1"/>
      <c r="S850" s="1"/>
      <c r="T850" s="1" t="s">
        <v>15176</v>
      </c>
      <c r="U850" s="1"/>
      <c r="V850" s="1" t="s">
        <v>15177</v>
      </c>
      <c r="W850" s="1" t="s">
        <v>15178</v>
      </c>
      <c r="X850" s="1" t="s">
        <v>15179</v>
      </c>
      <c r="Y850" s="1" t="s">
        <v>15180</v>
      </c>
      <c r="Z850" s="1" t="s">
        <v>15181</v>
      </c>
      <c r="AA850" s="1" t="s">
        <v>15182</v>
      </c>
      <c r="AB850" s="1"/>
      <c r="AC850" s="1"/>
      <c r="AD850" s="1"/>
      <c r="AE850" s="1"/>
      <c r="AF850" s="1"/>
      <c r="AG850" s="1" t="n">
        <v>15</v>
      </c>
      <c r="AH850" s="1" t="n">
        <v>3</v>
      </c>
      <c r="AI850" s="1" t="n">
        <v>3</v>
      </c>
      <c r="AJ850" s="1" t="n">
        <v>0</v>
      </c>
      <c r="AK850" s="1" t="n">
        <v>8</v>
      </c>
      <c r="AL850" s="1" t="s">
        <v>172</v>
      </c>
      <c r="AM850" s="1" t="s">
        <v>173</v>
      </c>
      <c r="AN850" s="1" t="s">
        <v>4882</v>
      </c>
      <c r="AO850" s="1" t="s">
        <v>4883</v>
      </c>
      <c r="AP850" s="1" t="s">
        <v>4884</v>
      </c>
      <c r="AQ850" s="1"/>
      <c r="AR850" s="1" t="s">
        <v>4875</v>
      </c>
      <c r="AS850" s="1" t="s">
        <v>4885</v>
      </c>
      <c r="AT850" s="1" t="s">
        <v>15183</v>
      </c>
      <c r="AU850" s="1" t="n">
        <v>2020</v>
      </c>
      <c r="AV850" s="1" t="n">
        <v>37</v>
      </c>
      <c r="AW850" s="1" t="n">
        <v>1</v>
      </c>
      <c r="AX850" s="1"/>
      <c r="AY850" s="1"/>
      <c r="AZ850" s="1"/>
      <c r="BA850" s="1"/>
      <c r="BB850" s="1" t="n">
        <v>40</v>
      </c>
      <c r="BC850" s="1" t="n">
        <v>49</v>
      </c>
      <c r="BD850" s="1"/>
      <c r="BE850" s="1" t="s">
        <v>15184</v>
      </c>
      <c r="BF850" s="1" t="str">
        <f aca="false">HYPERLINK("http://dx.doi.org/10.1109/MS.2019.2915297","http://dx.doi.org/10.1109/MS.2019.2915297")</f>
        <v>http://dx.doi.org/10.1109/MS.2019.2915297</v>
      </c>
      <c r="BG850" s="1"/>
      <c r="BH850" s="1"/>
      <c r="BI850" s="1" t="n">
        <v>10</v>
      </c>
      <c r="BJ850" s="1" t="s">
        <v>252</v>
      </c>
      <c r="BK850" s="1" t="s">
        <v>204</v>
      </c>
      <c r="BL850" s="1" t="s">
        <v>101</v>
      </c>
      <c r="BM850" s="1" t="s">
        <v>15185</v>
      </c>
      <c r="BN850" s="1"/>
      <c r="BO850" s="1" t="s">
        <v>227</v>
      </c>
      <c r="BP850" s="1"/>
      <c r="BQ850" s="1"/>
      <c r="BR850" s="1" t="s">
        <v>103</v>
      </c>
      <c r="BS850" s="1" t="s">
        <v>15186</v>
      </c>
      <c r="BT850" s="1" t="str">
        <f aca="false">HYPERLINK("https%3A%2F%2Fwww.webofscience.com%2Fwos%2Fwoscc%2Ffull-record%2FWOS:000505601600007","View Full Record in Web of Science")</f>
        <v>View Full Record in Web of Science</v>
      </c>
    </row>
    <row r="851" customFormat="false" ht="12.75" hidden="false" customHeight="false" outlineLevel="0" collapsed="false">
      <c r="A851" s="1" t="s">
        <v>181</v>
      </c>
      <c r="B851" s="1" t="s">
        <v>15187</v>
      </c>
      <c r="C851" s="1"/>
      <c r="D851" s="1"/>
      <c r="E851" s="1"/>
      <c r="F851" s="1" t="s">
        <v>15188</v>
      </c>
      <c r="G851" s="1"/>
      <c r="H851" s="1"/>
      <c r="I851" s="1" t="s">
        <v>15189</v>
      </c>
      <c r="J851" s="1" t="s">
        <v>15190</v>
      </c>
      <c r="K851" s="1"/>
      <c r="L851" s="1"/>
      <c r="M851" s="1" t="s">
        <v>78</v>
      </c>
      <c r="N851" s="1" t="s">
        <v>186</v>
      </c>
      <c r="O851" s="1"/>
      <c r="P851" s="1"/>
      <c r="Q851" s="1"/>
      <c r="R851" s="1"/>
      <c r="S851" s="1"/>
      <c r="T851" s="1" t="s">
        <v>15191</v>
      </c>
      <c r="U851" s="1"/>
      <c r="V851" s="1" t="s">
        <v>15192</v>
      </c>
      <c r="W851" s="1" t="s">
        <v>15193</v>
      </c>
      <c r="X851" s="1" t="s">
        <v>15194</v>
      </c>
      <c r="Y851" s="1" t="s">
        <v>15195</v>
      </c>
      <c r="Z851" s="1" t="s">
        <v>15196</v>
      </c>
      <c r="AA851" s="1" t="s">
        <v>15197</v>
      </c>
      <c r="AB851" s="1" t="s">
        <v>15198</v>
      </c>
      <c r="AC851" s="1"/>
      <c r="AD851" s="1"/>
      <c r="AE851" s="1"/>
      <c r="AF851" s="1"/>
      <c r="AG851" s="1" t="n">
        <v>12</v>
      </c>
      <c r="AH851" s="1" t="n">
        <v>0</v>
      </c>
      <c r="AI851" s="1" t="n">
        <v>0</v>
      </c>
      <c r="AJ851" s="1" t="n">
        <v>1</v>
      </c>
      <c r="AK851" s="1" t="n">
        <v>4</v>
      </c>
      <c r="AL851" s="1" t="s">
        <v>679</v>
      </c>
      <c r="AM851" s="1" t="s">
        <v>95</v>
      </c>
      <c r="AN851" s="1" t="s">
        <v>803</v>
      </c>
      <c r="AO851" s="1" t="s">
        <v>15199</v>
      </c>
      <c r="AP851" s="1" t="s">
        <v>15200</v>
      </c>
      <c r="AQ851" s="1"/>
      <c r="AR851" s="1" t="s">
        <v>15201</v>
      </c>
      <c r="AS851" s="1" t="s">
        <v>15202</v>
      </c>
      <c r="AT851" s="1" t="s">
        <v>474</v>
      </c>
      <c r="AU851" s="1" t="n">
        <v>2023</v>
      </c>
      <c r="AV851" s="1" t="n">
        <v>59</v>
      </c>
      <c r="AW851" s="1" t="n">
        <v>5</v>
      </c>
      <c r="AX851" s="1"/>
      <c r="AY851" s="1"/>
      <c r="AZ851" s="1"/>
      <c r="BA851" s="1"/>
      <c r="BB851" s="1" t="n">
        <v>772</v>
      </c>
      <c r="BC851" s="1" t="n">
        <v>783</v>
      </c>
      <c r="BD851" s="1"/>
      <c r="BE851" s="1" t="s">
        <v>15203</v>
      </c>
      <c r="BF851" s="1" t="str">
        <f aca="false">HYPERLINK("http://dx.doi.org/10.1007/s10559-023-00613-y","http://dx.doi.org/10.1007/s10559-023-00613-y")</f>
        <v>http://dx.doi.org/10.1007/s10559-023-00613-y</v>
      </c>
      <c r="BG851" s="1"/>
      <c r="BH851" s="1"/>
      <c r="BI851" s="1" t="n">
        <v>12</v>
      </c>
      <c r="BJ851" s="1" t="s">
        <v>15204</v>
      </c>
      <c r="BK851" s="1" t="s">
        <v>253</v>
      </c>
      <c r="BL851" s="1" t="s">
        <v>4973</v>
      </c>
      <c r="BM851" s="1" t="s">
        <v>15205</v>
      </c>
      <c r="BN851" s="1"/>
      <c r="BO851" s="1"/>
      <c r="BP851" s="1"/>
      <c r="BQ851" s="1"/>
      <c r="BR851" s="1" t="s">
        <v>103</v>
      </c>
      <c r="BS851" s="1" t="s">
        <v>15206</v>
      </c>
      <c r="BT851" s="1" t="str">
        <f aca="false">HYPERLINK("https%3A%2F%2Fwww.webofscience.com%2Fwos%2Fwoscc%2Ffull-record%2FWOS:001083315900004","View Full Record in Web of Science")</f>
        <v>View Full Record in Web of Science</v>
      </c>
    </row>
    <row r="852" customFormat="false" ht="12.75" hidden="false" customHeight="false" outlineLevel="0" collapsed="false">
      <c r="A852" s="1" t="s">
        <v>181</v>
      </c>
      <c r="B852" s="1" t="s">
        <v>15207</v>
      </c>
      <c r="C852" s="1"/>
      <c r="D852" s="1"/>
      <c r="E852" s="1"/>
      <c r="F852" s="1" t="s">
        <v>15208</v>
      </c>
      <c r="G852" s="1"/>
      <c r="H852" s="1"/>
      <c r="I852" s="1" t="s">
        <v>15209</v>
      </c>
      <c r="J852" s="1" t="s">
        <v>11785</v>
      </c>
      <c r="K852" s="1"/>
      <c r="L852" s="1"/>
      <c r="M852" s="1" t="s">
        <v>78</v>
      </c>
      <c r="N852" s="1" t="s">
        <v>186</v>
      </c>
      <c r="O852" s="1"/>
      <c r="P852" s="1"/>
      <c r="Q852" s="1"/>
      <c r="R852" s="1"/>
      <c r="S852" s="1"/>
      <c r="T852" s="1" t="s">
        <v>15210</v>
      </c>
      <c r="U852" s="1" t="s">
        <v>15211</v>
      </c>
      <c r="V852" s="1" t="s">
        <v>15212</v>
      </c>
      <c r="W852" s="1" t="s">
        <v>15213</v>
      </c>
      <c r="X852" s="1" t="s">
        <v>15214</v>
      </c>
      <c r="Y852" s="1" t="s">
        <v>15215</v>
      </c>
      <c r="Z852" s="1" t="s">
        <v>15216</v>
      </c>
      <c r="AA852" s="1" t="s">
        <v>15217</v>
      </c>
      <c r="AB852" s="1" t="s">
        <v>15218</v>
      </c>
      <c r="AC852" s="1" t="s">
        <v>15219</v>
      </c>
      <c r="AD852" s="1" t="s">
        <v>15219</v>
      </c>
      <c r="AE852" s="1" t="s">
        <v>15220</v>
      </c>
      <c r="AF852" s="1"/>
      <c r="AG852" s="1" t="n">
        <v>47</v>
      </c>
      <c r="AH852" s="1" t="n">
        <v>25</v>
      </c>
      <c r="AI852" s="1" t="n">
        <v>25</v>
      </c>
      <c r="AJ852" s="1" t="n">
        <v>1</v>
      </c>
      <c r="AK852" s="1" t="n">
        <v>17</v>
      </c>
      <c r="AL852" s="1" t="s">
        <v>11593</v>
      </c>
      <c r="AM852" s="1" t="s">
        <v>11594</v>
      </c>
      <c r="AN852" s="1" t="s">
        <v>11595</v>
      </c>
      <c r="AO852" s="1" t="s">
        <v>11795</v>
      </c>
      <c r="AP852" s="1"/>
      <c r="AQ852" s="1"/>
      <c r="AR852" s="1" t="s">
        <v>11796</v>
      </c>
      <c r="AS852" s="1" t="s">
        <v>11797</v>
      </c>
      <c r="AT852" s="1"/>
      <c r="AU852" s="1" t="n">
        <v>2020</v>
      </c>
      <c r="AV852" s="1" t="n">
        <v>5</v>
      </c>
      <c r="AW852" s="1" t="n">
        <v>1</v>
      </c>
      <c r="AX852" s="1"/>
      <c r="AY852" s="1"/>
      <c r="AZ852" s="1"/>
      <c r="BA852" s="1"/>
      <c r="BB852" s="1" t="n">
        <v>96</v>
      </c>
      <c r="BC852" s="1" t="n">
        <v>106</v>
      </c>
      <c r="BD852" s="1"/>
      <c r="BE852" s="1" t="s">
        <v>15221</v>
      </c>
      <c r="BF852" s="1" t="str">
        <f aca="false">HYPERLINK("http://dx.doi.org/10.17645/up.v5i1.2528","http://dx.doi.org/10.17645/up.v5i1.2528")</f>
        <v>http://dx.doi.org/10.17645/up.v5i1.2528</v>
      </c>
      <c r="BG852" s="1"/>
      <c r="BH852" s="1"/>
      <c r="BI852" s="1" t="n">
        <v>11</v>
      </c>
      <c r="BJ852" s="1" t="s">
        <v>11799</v>
      </c>
      <c r="BK852" s="1" t="s">
        <v>253</v>
      </c>
      <c r="BL852" s="1" t="s">
        <v>11799</v>
      </c>
      <c r="BM852" s="1" t="s">
        <v>15222</v>
      </c>
      <c r="BN852" s="1"/>
      <c r="BO852" s="1" t="s">
        <v>401</v>
      </c>
      <c r="BP852" s="1"/>
      <c r="BQ852" s="1"/>
      <c r="BR852" s="1" t="s">
        <v>103</v>
      </c>
      <c r="BS852" s="1" t="s">
        <v>15223</v>
      </c>
      <c r="BT852" s="1" t="str">
        <f aca="false">HYPERLINK("https%3A%2F%2Fwww.webofscience.com%2Fwos%2Fwoscc%2Ffull-record%2FWOS:000590937500004","View Full Record in Web of Science")</f>
        <v>View Full Record in Web of Science</v>
      </c>
    </row>
    <row r="853" customFormat="false" ht="12.75" hidden="false" customHeight="false" outlineLevel="0" collapsed="false">
      <c r="A853" s="1" t="s">
        <v>72</v>
      </c>
      <c r="B853" s="1" t="s">
        <v>13983</v>
      </c>
      <c r="C853" s="1"/>
      <c r="D853" s="1" t="s">
        <v>9932</v>
      </c>
      <c r="E853" s="1"/>
      <c r="F853" s="1" t="s">
        <v>13985</v>
      </c>
      <c r="G853" s="1"/>
      <c r="H853" s="1"/>
      <c r="I853" s="1" t="s">
        <v>15224</v>
      </c>
      <c r="J853" s="1" t="s">
        <v>9935</v>
      </c>
      <c r="K853" s="1" t="s">
        <v>976</v>
      </c>
      <c r="L853" s="1"/>
      <c r="M853" s="1" t="s">
        <v>78</v>
      </c>
      <c r="N853" s="1" t="s">
        <v>79</v>
      </c>
      <c r="O853" s="1" t="s">
        <v>9936</v>
      </c>
      <c r="P853" s="1" t="s">
        <v>9937</v>
      </c>
      <c r="Q853" s="1" t="s">
        <v>320</v>
      </c>
      <c r="R853" s="1"/>
      <c r="S853" s="1"/>
      <c r="T853" s="1" t="s">
        <v>15225</v>
      </c>
      <c r="U853" s="1"/>
      <c r="V853" s="1" t="s">
        <v>15226</v>
      </c>
      <c r="W853" s="1" t="s">
        <v>15227</v>
      </c>
      <c r="X853" s="1" t="s">
        <v>15228</v>
      </c>
      <c r="Y853" s="1" t="s">
        <v>15229</v>
      </c>
      <c r="Z853" s="1" t="s">
        <v>15230</v>
      </c>
      <c r="AA853" s="1" t="s">
        <v>5339</v>
      </c>
      <c r="AB853" s="1" t="s">
        <v>13832</v>
      </c>
      <c r="AC853" s="1"/>
      <c r="AD853" s="1"/>
      <c r="AE853" s="1"/>
      <c r="AF853" s="1"/>
      <c r="AG853" s="1" t="n">
        <v>34</v>
      </c>
      <c r="AH853" s="1" t="n">
        <v>11</v>
      </c>
      <c r="AI853" s="1" t="n">
        <v>11</v>
      </c>
      <c r="AJ853" s="1" t="n">
        <v>0</v>
      </c>
      <c r="AK853" s="1" t="n">
        <v>2</v>
      </c>
      <c r="AL853" s="1" t="s">
        <v>302</v>
      </c>
      <c r="AM853" s="1" t="s">
        <v>303</v>
      </c>
      <c r="AN853" s="1" t="s">
        <v>304</v>
      </c>
      <c r="AO853" s="1" t="s">
        <v>989</v>
      </c>
      <c r="AP853" s="1" t="s">
        <v>990</v>
      </c>
      <c r="AQ853" s="1" t="s">
        <v>9948</v>
      </c>
      <c r="AR853" s="1" t="s">
        <v>992</v>
      </c>
      <c r="AS853" s="1"/>
      <c r="AT853" s="1"/>
      <c r="AU853" s="1" t="n">
        <v>2020</v>
      </c>
      <c r="AV853" s="1" t="n">
        <v>12562</v>
      </c>
      <c r="AW853" s="1"/>
      <c r="AX853" s="1"/>
      <c r="AY853" s="1"/>
      <c r="AZ853" s="1"/>
      <c r="BA853" s="1"/>
      <c r="BB853" s="1" t="n">
        <v>69</v>
      </c>
      <c r="BC853" s="1" t="n">
        <v>87</v>
      </c>
      <c r="BD853" s="1"/>
      <c r="BE853" s="1" t="s">
        <v>15231</v>
      </c>
      <c r="BF853" s="1" t="str">
        <f aca="false">HYPERLINK("http://dx.doi.org/10.1007/978-3-030-64148-1_5","http://dx.doi.org/10.1007/978-3-030-64148-1_5")</f>
        <v>http://dx.doi.org/10.1007/978-3-030-64148-1_5</v>
      </c>
      <c r="BG853" s="1"/>
      <c r="BH853" s="1"/>
      <c r="BI853" s="1" t="n">
        <v>19</v>
      </c>
      <c r="BJ853" s="1" t="s">
        <v>994</v>
      </c>
      <c r="BK853" s="1" t="s">
        <v>100</v>
      </c>
      <c r="BL853" s="1" t="s">
        <v>101</v>
      </c>
      <c r="BM853" s="1" t="s">
        <v>9950</v>
      </c>
      <c r="BN853" s="1"/>
      <c r="BO853" s="1"/>
      <c r="BP853" s="1"/>
      <c r="BQ853" s="1"/>
      <c r="BR853" s="1" t="s">
        <v>103</v>
      </c>
      <c r="BS853" s="1" t="s">
        <v>15232</v>
      </c>
      <c r="BT853" s="1" t="str">
        <f aca="false">HYPERLINK("https%3A%2F%2Fwww.webofscience.com%2Fwos%2Fwoscc%2Ffull-record%2FWOS:000766320200005","View Full Record in Web of Science")</f>
        <v>View Full Record in Web of Science</v>
      </c>
    </row>
    <row r="854" customFormat="false" ht="12.75" hidden="false" customHeight="false" outlineLevel="0" collapsed="false">
      <c r="A854" s="1" t="s">
        <v>181</v>
      </c>
      <c r="B854" s="1" t="s">
        <v>15233</v>
      </c>
      <c r="C854" s="1"/>
      <c r="D854" s="1"/>
      <c r="E854" s="1"/>
      <c r="F854" s="1" t="s">
        <v>15234</v>
      </c>
      <c r="G854" s="1"/>
      <c r="H854" s="1"/>
      <c r="I854" s="1" t="s">
        <v>15235</v>
      </c>
      <c r="J854" s="1" t="s">
        <v>3700</v>
      </c>
      <c r="K854" s="1"/>
      <c r="L854" s="1"/>
      <c r="M854" s="1" t="s">
        <v>78</v>
      </c>
      <c r="N854" s="1" t="s">
        <v>186</v>
      </c>
      <c r="O854" s="1"/>
      <c r="P854" s="1"/>
      <c r="Q854" s="1"/>
      <c r="R854" s="1"/>
      <c r="S854" s="1"/>
      <c r="T854" s="1" t="s">
        <v>15236</v>
      </c>
      <c r="U854" s="1" t="s">
        <v>15237</v>
      </c>
      <c r="V854" s="1" t="s">
        <v>15238</v>
      </c>
      <c r="W854" s="1" t="s">
        <v>15239</v>
      </c>
      <c r="X854" s="1" t="s">
        <v>15240</v>
      </c>
      <c r="Y854" s="1" t="s">
        <v>15241</v>
      </c>
      <c r="Z854" s="1" t="s">
        <v>15242</v>
      </c>
      <c r="AA854" s="1" t="s">
        <v>5339</v>
      </c>
      <c r="AB854" s="1" t="s">
        <v>15243</v>
      </c>
      <c r="AC854" s="1" t="s">
        <v>1186</v>
      </c>
      <c r="AD854" s="1" t="s">
        <v>1186</v>
      </c>
      <c r="AE854" s="1" t="s">
        <v>15244</v>
      </c>
      <c r="AF854" s="1"/>
      <c r="AG854" s="1" t="n">
        <v>57</v>
      </c>
      <c r="AH854" s="1" t="n">
        <v>12</v>
      </c>
      <c r="AI854" s="1" t="n">
        <v>13</v>
      </c>
      <c r="AJ854" s="1" t="n">
        <v>6</v>
      </c>
      <c r="AK854" s="1" t="n">
        <v>15</v>
      </c>
      <c r="AL854" s="1" t="s">
        <v>3711</v>
      </c>
      <c r="AM854" s="1" t="s">
        <v>95</v>
      </c>
      <c r="AN854" s="1" t="s">
        <v>3712</v>
      </c>
      <c r="AO854" s="1" t="s">
        <v>3713</v>
      </c>
      <c r="AP854" s="1" t="s">
        <v>3714</v>
      </c>
      <c r="AQ854" s="1"/>
      <c r="AR854" s="1" t="s">
        <v>3715</v>
      </c>
      <c r="AS854" s="1" t="s">
        <v>3716</v>
      </c>
      <c r="AT854" s="1" t="s">
        <v>277</v>
      </c>
      <c r="AU854" s="1" t="n">
        <v>2023</v>
      </c>
      <c r="AV854" s="1" t="n">
        <v>197</v>
      </c>
      <c r="AW854" s="1"/>
      <c r="AX854" s="1"/>
      <c r="AY854" s="1"/>
      <c r="AZ854" s="1"/>
      <c r="BA854" s="1"/>
      <c r="BB854" s="1"/>
      <c r="BC854" s="1"/>
      <c r="BD854" s="1" t="n">
        <v>111549</v>
      </c>
      <c r="BE854" s="1" t="s">
        <v>15245</v>
      </c>
      <c r="BF854" s="1" t="str">
        <f aca="false">HYPERLINK("http://dx.doi.org/10.1016/j.jss.2022.111549","http://dx.doi.org/10.1016/j.jss.2022.111549")</f>
        <v>http://dx.doi.org/10.1016/j.jss.2022.111549</v>
      </c>
      <c r="BG854" s="1"/>
      <c r="BH854" s="1" t="s">
        <v>279</v>
      </c>
      <c r="BI854" s="1" t="n">
        <v>16</v>
      </c>
      <c r="BJ854" s="1" t="s">
        <v>994</v>
      </c>
      <c r="BK854" s="1" t="s">
        <v>204</v>
      </c>
      <c r="BL854" s="1" t="s">
        <v>101</v>
      </c>
      <c r="BM854" s="1" t="s">
        <v>15246</v>
      </c>
      <c r="BN854" s="1"/>
      <c r="BO854" s="1" t="s">
        <v>227</v>
      </c>
      <c r="BP854" s="1"/>
      <c r="BQ854" s="1"/>
      <c r="BR854" s="1" t="s">
        <v>103</v>
      </c>
      <c r="BS854" s="1" t="s">
        <v>15247</v>
      </c>
      <c r="BT854" s="1" t="str">
        <f aca="false">HYPERLINK("https%3A%2F%2Fwww.webofscience.com%2Fwos%2Fwoscc%2Ffull-record%2FWOS:000926985500008","View Full Record in Web of Science")</f>
        <v>View Full Record in Web of Science</v>
      </c>
    </row>
    <row r="855" customFormat="false" ht="12.75" hidden="false" customHeight="false" outlineLevel="0" collapsed="false">
      <c r="A855" s="1" t="s">
        <v>181</v>
      </c>
      <c r="B855" s="1" t="s">
        <v>15248</v>
      </c>
      <c r="C855" s="1"/>
      <c r="D855" s="1"/>
      <c r="E855" s="1"/>
      <c r="F855" s="1" t="s">
        <v>15249</v>
      </c>
      <c r="G855" s="1"/>
      <c r="H855" s="1"/>
      <c r="I855" s="1" t="s">
        <v>15250</v>
      </c>
      <c r="J855" s="1" t="s">
        <v>13840</v>
      </c>
      <c r="K855" s="1"/>
      <c r="L855" s="1"/>
      <c r="M855" s="1" t="s">
        <v>78</v>
      </c>
      <c r="N855" s="1" t="s">
        <v>186</v>
      </c>
      <c r="O855" s="1"/>
      <c r="P855" s="1"/>
      <c r="Q855" s="1"/>
      <c r="R855" s="1"/>
      <c r="S855" s="1"/>
      <c r="T855" s="1" t="s">
        <v>15251</v>
      </c>
      <c r="U855" s="1" t="s">
        <v>15252</v>
      </c>
      <c r="V855" s="1" t="s">
        <v>15253</v>
      </c>
      <c r="W855" s="1" t="s">
        <v>15254</v>
      </c>
      <c r="X855" s="1" t="s">
        <v>15255</v>
      </c>
      <c r="Y855" s="1" t="s">
        <v>7729</v>
      </c>
      <c r="Z855" s="1" t="s">
        <v>10093</v>
      </c>
      <c r="AA855" s="1" t="s">
        <v>15256</v>
      </c>
      <c r="AB855" s="1" t="s">
        <v>10094</v>
      </c>
      <c r="AC855" s="1" t="s">
        <v>15257</v>
      </c>
      <c r="AD855" s="1" t="s">
        <v>15258</v>
      </c>
      <c r="AE855" s="1" t="s">
        <v>15259</v>
      </c>
      <c r="AF855" s="1"/>
      <c r="AG855" s="1" t="n">
        <v>25</v>
      </c>
      <c r="AH855" s="1" t="n">
        <v>0</v>
      </c>
      <c r="AI855" s="1" t="n">
        <v>0</v>
      </c>
      <c r="AJ855" s="1" t="n">
        <v>9</v>
      </c>
      <c r="AK855" s="1" t="n">
        <v>10</v>
      </c>
      <c r="AL855" s="1" t="s">
        <v>893</v>
      </c>
      <c r="AM855" s="1" t="s">
        <v>894</v>
      </c>
      <c r="AN855" s="1" t="s">
        <v>895</v>
      </c>
      <c r="AO855" s="1" t="s">
        <v>13851</v>
      </c>
      <c r="AP855" s="1" t="s">
        <v>13852</v>
      </c>
      <c r="AQ855" s="1"/>
      <c r="AR855" s="1" t="s">
        <v>13853</v>
      </c>
      <c r="AS855" s="1" t="s">
        <v>13854</v>
      </c>
      <c r="AT855" s="1" t="s">
        <v>1391</v>
      </c>
      <c r="AU855" s="1" t="n">
        <v>2024</v>
      </c>
      <c r="AV855" s="1" t="n">
        <v>107</v>
      </c>
      <c r="AW855" s="1"/>
      <c r="AX855" s="1"/>
      <c r="AY855" s="1"/>
      <c r="AZ855" s="1"/>
      <c r="BA855" s="1"/>
      <c r="BB855" s="1" t="n">
        <v>491</v>
      </c>
      <c r="BC855" s="1" t="n">
        <v>506</v>
      </c>
      <c r="BD855" s="1"/>
      <c r="BE855" s="1" t="s">
        <v>15260</v>
      </c>
      <c r="BF855" s="1" t="str">
        <f aca="false">HYPERLINK("http://dx.doi.org/10.1016/j.aej.2024.07.073","http://dx.doi.org/10.1016/j.aej.2024.07.073")</f>
        <v>http://dx.doi.org/10.1016/j.aej.2024.07.073</v>
      </c>
      <c r="BG855" s="1"/>
      <c r="BH855" s="1" t="s">
        <v>4909</v>
      </c>
      <c r="BI855" s="1" t="n">
        <v>16</v>
      </c>
      <c r="BJ855" s="1" t="s">
        <v>13856</v>
      </c>
      <c r="BK855" s="1" t="s">
        <v>204</v>
      </c>
      <c r="BL855" s="1" t="s">
        <v>640</v>
      </c>
      <c r="BM855" s="1" t="s">
        <v>15261</v>
      </c>
      <c r="BN855" s="1"/>
      <c r="BO855" s="1" t="s">
        <v>542</v>
      </c>
      <c r="BP855" s="1"/>
      <c r="BQ855" s="1"/>
      <c r="BR855" s="1" t="s">
        <v>103</v>
      </c>
      <c r="BS855" s="1" t="s">
        <v>15262</v>
      </c>
      <c r="BT855" s="1" t="str">
        <f aca="false">HYPERLINK("https%3A%2F%2Fwww.webofscience.com%2Fwos%2Fwoscc%2Ffull-record%2FWOS:001283531900001","View Full Record in Web of Science")</f>
        <v>View Full Record in Web of Science</v>
      </c>
    </row>
    <row r="856" customFormat="false" ht="12.75" hidden="false" customHeight="false" outlineLevel="0" collapsed="false">
      <c r="A856" s="1" t="s">
        <v>72</v>
      </c>
      <c r="B856" s="1" t="s">
        <v>15263</v>
      </c>
      <c r="C856" s="1"/>
      <c r="D856" s="1" t="s">
        <v>3039</v>
      </c>
      <c r="E856" s="1"/>
      <c r="F856" s="1" t="s">
        <v>15264</v>
      </c>
      <c r="G856" s="1"/>
      <c r="H856" s="1"/>
      <c r="I856" s="1" t="s">
        <v>15265</v>
      </c>
      <c r="J856" s="1" t="s">
        <v>3042</v>
      </c>
      <c r="K856" s="1" t="s">
        <v>3043</v>
      </c>
      <c r="L856" s="1"/>
      <c r="M856" s="1" t="s">
        <v>78</v>
      </c>
      <c r="N856" s="1" t="s">
        <v>79</v>
      </c>
      <c r="O856" s="1" t="s">
        <v>3044</v>
      </c>
      <c r="P856" s="1" t="s">
        <v>3045</v>
      </c>
      <c r="Q856" s="1" t="s">
        <v>3046</v>
      </c>
      <c r="R856" s="1" t="s">
        <v>3047</v>
      </c>
      <c r="S856" s="1"/>
      <c r="T856" s="1"/>
      <c r="U856" s="1" t="s">
        <v>15266</v>
      </c>
      <c r="V856" s="1" t="s">
        <v>15267</v>
      </c>
      <c r="W856" s="1" t="s">
        <v>15268</v>
      </c>
      <c r="X856" s="1" t="s">
        <v>15269</v>
      </c>
      <c r="Y856" s="1" t="s">
        <v>10676</v>
      </c>
      <c r="Z856" s="1" t="s">
        <v>15270</v>
      </c>
      <c r="AA856" s="1" t="s">
        <v>15271</v>
      </c>
      <c r="AB856" s="1" t="s">
        <v>15272</v>
      </c>
      <c r="AC856" s="1" t="s">
        <v>15273</v>
      </c>
      <c r="AD856" s="1" t="s">
        <v>15274</v>
      </c>
      <c r="AE856" s="1" t="s">
        <v>15275</v>
      </c>
      <c r="AF856" s="1"/>
      <c r="AG856" s="1" t="n">
        <v>84</v>
      </c>
      <c r="AH856" s="1" t="n">
        <v>5</v>
      </c>
      <c r="AI856" s="1" t="n">
        <v>5</v>
      </c>
      <c r="AJ856" s="1" t="n">
        <v>0</v>
      </c>
      <c r="AK856" s="1" t="n">
        <v>4</v>
      </c>
      <c r="AL856" s="1" t="s">
        <v>106</v>
      </c>
      <c r="AM856" s="1" t="s">
        <v>95</v>
      </c>
      <c r="AN856" s="1" t="s">
        <v>122</v>
      </c>
      <c r="AO856" s="1" t="s">
        <v>3054</v>
      </c>
      <c r="AP856" s="1"/>
      <c r="AQ856" s="1" t="s">
        <v>3055</v>
      </c>
      <c r="AR856" s="1" t="s">
        <v>3056</v>
      </c>
      <c r="AS856" s="1"/>
      <c r="AT856" s="1"/>
      <c r="AU856" s="1" t="n">
        <v>2020</v>
      </c>
      <c r="AV856" s="1"/>
      <c r="AW856" s="1"/>
      <c r="AX856" s="1"/>
      <c r="AY856" s="1"/>
      <c r="AZ856" s="1"/>
      <c r="BA856" s="1"/>
      <c r="BB856" s="1" t="n">
        <v>32</v>
      </c>
      <c r="BC856" s="1" t="n">
        <v>43</v>
      </c>
      <c r="BD856" s="1"/>
      <c r="BE856" s="1" t="s">
        <v>15276</v>
      </c>
      <c r="BF856" s="1" t="str">
        <f aca="false">HYPERLINK("http://dx.doi.org/10.1109/RE48521.2020.00016","http://dx.doi.org/10.1109/RE48521.2020.00016")</f>
        <v>http://dx.doi.org/10.1109/RE48521.2020.00016</v>
      </c>
      <c r="BG856" s="1"/>
      <c r="BH856" s="1"/>
      <c r="BI856" s="1" t="n">
        <v>12</v>
      </c>
      <c r="BJ856" s="1" t="s">
        <v>1394</v>
      </c>
      <c r="BK856" s="1" t="s">
        <v>100</v>
      </c>
      <c r="BL856" s="1" t="s">
        <v>101</v>
      </c>
      <c r="BM856" s="1" t="s">
        <v>3058</v>
      </c>
      <c r="BN856" s="1"/>
      <c r="BO856" s="1"/>
      <c r="BP856" s="1"/>
      <c r="BQ856" s="1"/>
      <c r="BR856" s="1" t="s">
        <v>103</v>
      </c>
      <c r="BS856" s="1" t="s">
        <v>15277</v>
      </c>
      <c r="BT856" s="1" t="str">
        <f aca="false">HYPERLINK("https%3A%2F%2Fwww.webofscience.com%2Fwos%2Fwoscc%2Ffull-record%2FWOS:000628527900007","View Full Record in Web of Science")</f>
        <v>View Full Record in Web of Science</v>
      </c>
    </row>
    <row r="857" customFormat="false" ht="12.75" hidden="false" customHeight="false" outlineLevel="0" collapsed="false">
      <c r="A857" s="1" t="s">
        <v>181</v>
      </c>
      <c r="B857" s="1" t="s">
        <v>15278</v>
      </c>
      <c r="C857" s="1"/>
      <c r="D857" s="1"/>
      <c r="E857" s="1"/>
      <c r="F857" s="1" t="s">
        <v>15279</v>
      </c>
      <c r="G857" s="1"/>
      <c r="H857" s="1"/>
      <c r="I857" s="1" t="s">
        <v>15280</v>
      </c>
      <c r="J857" s="1" t="s">
        <v>2904</v>
      </c>
      <c r="K857" s="1"/>
      <c r="L857" s="1"/>
      <c r="M857" s="1" t="s">
        <v>78</v>
      </c>
      <c r="N857" s="1" t="s">
        <v>186</v>
      </c>
      <c r="O857" s="1"/>
      <c r="P857" s="1"/>
      <c r="Q857" s="1"/>
      <c r="R857" s="1"/>
      <c r="S857" s="1"/>
      <c r="T857" s="1" t="s">
        <v>15281</v>
      </c>
      <c r="U857" s="1"/>
      <c r="V857" s="1" t="s">
        <v>15282</v>
      </c>
      <c r="W857" s="1" t="s">
        <v>15283</v>
      </c>
      <c r="X857" s="1" t="s">
        <v>15284</v>
      </c>
      <c r="Y857" s="1" t="s">
        <v>15285</v>
      </c>
      <c r="Z857" s="1" t="s">
        <v>15286</v>
      </c>
      <c r="AA857" s="1" t="s">
        <v>15287</v>
      </c>
      <c r="AB857" s="1" t="s">
        <v>15288</v>
      </c>
      <c r="AC857" s="1" t="s">
        <v>15289</v>
      </c>
      <c r="AD857" s="1" t="s">
        <v>15290</v>
      </c>
      <c r="AE857" s="1" t="s">
        <v>15291</v>
      </c>
      <c r="AF857" s="1"/>
      <c r="AG857" s="1" t="n">
        <v>40</v>
      </c>
      <c r="AH857" s="1" t="n">
        <v>5</v>
      </c>
      <c r="AI857" s="1" t="n">
        <v>5</v>
      </c>
      <c r="AJ857" s="1" t="n">
        <v>5</v>
      </c>
      <c r="AK857" s="1" t="n">
        <v>25</v>
      </c>
      <c r="AL857" s="1" t="s">
        <v>1651</v>
      </c>
      <c r="AM857" s="1" t="s">
        <v>1026</v>
      </c>
      <c r="AN857" s="1" t="s">
        <v>1652</v>
      </c>
      <c r="AO857" s="1" t="s">
        <v>2915</v>
      </c>
      <c r="AP857" s="1" t="s">
        <v>2916</v>
      </c>
      <c r="AQ857" s="1"/>
      <c r="AR857" s="1" t="s">
        <v>2917</v>
      </c>
      <c r="AS857" s="1" t="s">
        <v>2918</v>
      </c>
      <c r="AT857" s="1" t="s">
        <v>15292</v>
      </c>
      <c r="AU857" s="1" t="n">
        <v>2022</v>
      </c>
      <c r="AV857" s="1" t="n">
        <v>201</v>
      </c>
      <c r="AW857" s="1"/>
      <c r="AX857" s="1"/>
      <c r="AY857" s="1"/>
      <c r="AZ857" s="1"/>
      <c r="BA857" s="1"/>
      <c r="BB857" s="1"/>
      <c r="BC857" s="1"/>
      <c r="BD857" s="1" t="n">
        <v>116961</v>
      </c>
      <c r="BE857" s="1" t="s">
        <v>15293</v>
      </c>
      <c r="BF857" s="1" t="str">
        <f aca="false">HYPERLINK("http://dx.doi.org/10.1016/j.eswa.2022.116961","http://dx.doi.org/10.1016/j.eswa.2022.116961")</f>
        <v>http://dx.doi.org/10.1016/j.eswa.2022.116961</v>
      </c>
      <c r="BG857" s="1"/>
      <c r="BH857" s="1" t="s">
        <v>1934</v>
      </c>
      <c r="BI857" s="1" t="n">
        <v>13</v>
      </c>
      <c r="BJ857" s="1" t="s">
        <v>2921</v>
      </c>
      <c r="BK857" s="1" t="s">
        <v>204</v>
      </c>
      <c r="BL857" s="1" t="s">
        <v>2922</v>
      </c>
      <c r="BM857" s="1" t="s">
        <v>15294</v>
      </c>
      <c r="BN857" s="1"/>
      <c r="BO857" s="1" t="s">
        <v>612</v>
      </c>
      <c r="BP857" s="1"/>
      <c r="BQ857" s="1"/>
      <c r="BR857" s="1" t="s">
        <v>103</v>
      </c>
      <c r="BS857" s="1" t="s">
        <v>15295</v>
      </c>
      <c r="BT857" s="1" t="str">
        <f aca="false">HYPERLINK("https%3A%2F%2Fwww.webofscience.com%2Fwos%2Fwoscc%2Ffull-record%2FWOS:000830107400002","View Full Record in Web of Science")</f>
        <v>View Full Record in Web of Science</v>
      </c>
    </row>
    <row r="858" customFormat="false" ht="12.75" hidden="false" customHeight="false" outlineLevel="0" collapsed="false">
      <c r="A858" s="1" t="s">
        <v>181</v>
      </c>
      <c r="B858" s="1" t="s">
        <v>15296</v>
      </c>
      <c r="C858" s="1"/>
      <c r="D858" s="1"/>
      <c r="E858" s="1"/>
      <c r="F858" s="1" t="s">
        <v>15297</v>
      </c>
      <c r="G858" s="1"/>
      <c r="H858" s="1"/>
      <c r="I858" s="1" t="s">
        <v>15298</v>
      </c>
      <c r="J858" s="1" t="s">
        <v>232</v>
      </c>
      <c r="K858" s="1"/>
      <c r="L858" s="1"/>
      <c r="M858" s="1" t="s">
        <v>78</v>
      </c>
      <c r="N858" s="1" t="s">
        <v>186</v>
      </c>
      <c r="O858" s="1"/>
      <c r="P858" s="1"/>
      <c r="Q858" s="1"/>
      <c r="R858" s="1"/>
      <c r="S858" s="1"/>
      <c r="T858" s="1" t="s">
        <v>15299</v>
      </c>
      <c r="U858" s="1" t="s">
        <v>15300</v>
      </c>
      <c r="V858" s="1" t="s">
        <v>15301</v>
      </c>
      <c r="W858" s="1" t="s">
        <v>15302</v>
      </c>
      <c r="X858" s="1" t="s">
        <v>15303</v>
      </c>
      <c r="Y858" s="1" t="s">
        <v>8601</v>
      </c>
      <c r="Z858" s="1" t="s">
        <v>15304</v>
      </c>
      <c r="AA858" s="1" t="s">
        <v>5020</v>
      </c>
      <c r="AB858" s="1" t="s">
        <v>15305</v>
      </c>
      <c r="AC858" s="1" t="s">
        <v>15306</v>
      </c>
      <c r="AD858" s="1" t="s">
        <v>15307</v>
      </c>
      <c r="AE858" s="1" t="s">
        <v>15308</v>
      </c>
      <c r="AF858" s="1"/>
      <c r="AG858" s="1" t="n">
        <v>48</v>
      </c>
      <c r="AH858" s="1" t="n">
        <v>5</v>
      </c>
      <c r="AI858" s="1" t="n">
        <v>6</v>
      </c>
      <c r="AJ858" s="1" t="n">
        <v>2</v>
      </c>
      <c r="AK858" s="1" t="n">
        <v>40</v>
      </c>
      <c r="AL858" s="1" t="s">
        <v>244</v>
      </c>
      <c r="AM858" s="1" t="s">
        <v>245</v>
      </c>
      <c r="AN858" s="1" t="s">
        <v>246</v>
      </c>
      <c r="AO858" s="1" t="s">
        <v>247</v>
      </c>
      <c r="AP858" s="1" t="s">
        <v>248</v>
      </c>
      <c r="AQ858" s="1"/>
      <c r="AR858" s="1" t="s">
        <v>249</v>
      </c>
      <c r="AS858" s="1" t="s">
        <v>250</v>
      </c>
      <c r="AT858" s="1"/>
      <c r="AU858" s="1" t="n">
        <v>2021</v>
      </c>
      <c r="AV858" s="1" t="n">
        <v>15</v>
      </c>
      <c r="AW858" s="1" t="n">
        <v>1</v>
      </c>
      <c r="AX858" s="1"/>
      <c r="AY858" s="1"/>
      <c r="AZ858" s="1"/>
      <c r="BA858" s="1"/>
      <c r="BB858" s="1" t="n">
        <v>47</v>
      </c>
      <c r="BC858" s="1" t="n">
        <v>64</v>
      </c>
      <c r="BD858" s="1"/>
      <c r="BE858" s="1" t="s">
        <v>15309</v>
      </c>
      <c r="BF858" s="1" t="str">
        <f aca="false">HYPERLINK("http://dx.doi.org/10.37190/e-Inf210103","http://dx.doi.org/10.37190/e-Inf210103")</f>
        <v>http://dx.doi.org/10.37190/e-Inf210103</v>
      </c>
      <c r="BG858" s="1"/>
      <c r="BH858" s="1"/>
      <c r="BI858" s="1" t="n">
        <v>18</v>
      </c>
      <c r="BJ858" s="1" t="s">
        <v>252</v>
      </c>
      <c r="BK858" s="1" t="s">
        <v>253</v>
      </c>
      <c r="BL858" s="1" t="s">
        <v>101</v>
      </c>
      <c r="BM858" s="1" t="s">
        <v>15310</v>
      </c>
      <c r="BN858" s="1"/>
      <c r="BO858" s="1" t="s">
        <v>376</v>
      </c>
      <c r="BP858" s="1"/>
      <c r="BQ858" s="1"/>
      <c r="BR858" s="1" t="s">
        <v>103</v>
      </c>
      <c r="BS858" s="1" t="s">
        <v>15311</v>
      </c>
      <c r="BT858" s="1" t="str">
        <f aca="false">HYPERLINK("https%3A%2F%2Fwww.webofscience.com%2Fwos%2Fwoscc%2Ffull-record%2FWOS:000657427800001","View Full Record in Web of Science")</f>
        <v>View Full Record in Web of Science</v>
      </c>
    </row>
    <row r="859" customFormat="false" ht="12.75" hidden="false" customHeight="false" outlineLevel="0" collapsed="false">
      <c r="A859" s="1" t="s">
        <v>181</v>
      </c>
      <c r="B859" s="1" t="s">
        <v>15312</v>
      </c>
      <c r="C859" s="1"/>
      <c r="D859" s="1"/>
      <c r="E859" s="1"/>
      <c r="F859" s="1" t="s">
        <v>15313</v>
      </c>
      <c r="G859" s="1"/>
      <c r="H859" s="1"/>
      <c r="I859" s="1" t="s">
        <v>15314</v>
      </c>
      <c r="J859" s="1" t="s">
        <v>1104</v>
      </c>
      <c r="K859" s="1"/>
      <c r="L859" s="1"/>
      <c r="M859" s="1" t="s">
        <v>78</v>
      </c>
      <c r="N859" s="1" t="s">
        <v>186</v>
      </c>
      <c r="O859" s="1"/>
      <c r="P859" s="1"/>
      <c r="Q859" s="1"/>
      <c r="R859" s="1"/>
      <c r="S859" s="1"/>
      <c r="T859" s="1" t="s">
        <v>15315</v>
      </c>
      <c r="U859" s="1"/>
      <c r="V859" s="1" t="s">
        <v>15316</v>
      </c>
      <c r="W859" s="1" t="s">
        <v>15317</v>
      </c>
      <c r="X859" s="1" t="s">
        <v>15318</v>
      </c>
      <c r="Y859" s="1" t="s">
        <v>8196</v>
      </c>
      <c r="Z859" s="1" t="s">
        <v>15319</v>
      </c>
      <c r="AA859" s="1" t="s">
        <v>15320</v>
      </c>
      <c r="AB859" s="1" t="s">
        <v>15321</v>
      </c>
      <c r="AC859" s="1" t="s">
        <v>15322</v>
      </c>
      <c r="AD859" s="1" t="s">
        <v>15323</v>
      </c>
      <c r="AE859" s="1" t="s">
        <v>15324</v>
      </c>
      <c r="AF859" s="1"/>
      <c r="AG859" s="1" t="n">
        <v>34</v>
      </c>
      <c r="AH859" s="1" t="n">
        <v>4</v>
      </c>
      <c r="AI859" s="1" t="n">
        <v>4</v>
      </c>
      <c r="AJ859" s="1" t="n">
        <v>0</v>
      </c>
      <c r="AK859" s="1" t="n">
        <v>3</v>
      </c>
      <c r="AL859" s="1" t="s">
        <v>195</v>
      </c>
      <c r="AM859" s="1" t="s">
        <v>196</v>
      </c>
      <c r="AN859" s="1" t="s">
        <v>197</v>
      </c>
      <c r="AO859" s="1" t="s">
        <v>1114</v>
      </c>
      <c r="AP859" s="1"/>
      <c r="AQ859" s="1"/>
      <c r="AR859" s="1" t="s">
        <v>1104</v>
      </c>
      <c r="AS859" s="1" t="s">
        <v>1115</v>
      </c>
      <c r="AT859" s="1"/>
      <c r="AU859" s="1" t="n">
        <v>2023</v>
      </c>
      <c r="AV859" s="1" t="n">
        <v>11</v>
      </c>
      <c r="AW859" s="1"/>
      <c r="AX859" s="1"/>
      <c r="AY859" s="1"/>
      <c r="AZ859" s="1"/>
      <c r="BA859" s="1"/>
      <c r="BB859" s="1" t="n">
        <v>84734</v>
      </c>
      <c r="BC859" s="1" t="n">
        <v>84743</v>
      </c>
      <c r="BD859" s="1"/>
      <c r="BE859" s="1" t="s">
        <v>15325</v>
      </c>
      <c r="BF859" s="1" t="str">
        <f aca="false">HYPERLINK("http://dx.doi.org/10.1109/ACCESS.2023.3303107","http://dx.doi.org/10.1109/ACCESS.2023.3303107")</f>
        <v>http://dx.doi.org/10.1109/ACCESS.2023.3303107</v>
      </c>
      <c r="BG859" s="1"/>
      <c r="BH859" s="1"/>
      <c r="BI859" s="1" t="n">
        <v>10</v>
      </c>
      <c r="BJ859" s="1" t="s">
        <v>1117</v>
      </c>
      <c r="BK859" s="1" t="s">
        <v>204</v>
      </c>
      <c r="BL859" s="1" t="s">
        <v>1118</v>
      </c>
      <c r="BM859" s="1" t="s">
        <v>15326</v>
      </c>
      <c r="BN859" s="1"/>
      <c r="BO859" s="1" t="s">
        <v>255</v>
      </c>
      <c r="BP859" s="1"/>
      <c r="BQ859" s="1"/>
      <c r="BR859" s="1" t="s">
        <v>103</v>
      </c>
      <c r="BS859" s="1" t="s">
        <v>15327</v>
      </c>
      <c r="BT859" s="1" t="str">
        <f aca="false">HYPERLINK("https%3A%2F%2Fwww.webofscience.com%2Fwos%2Fwoscc%2Ffull-record%2FWOS:001049927400001","View Full Record in Web of Science")</f>
        <v>View Full Record in Web of Science</v>
      </c>
    </row>
    <row r="860" customFormat="false" ht="12.75" hidden="false" customHeight="false" outlineLevel="0" collapsed="false">
      <c r="A860" s="1" t="s">
        <v>181</v>
      </c>
      <c r="B860" s="1" t="s">
        <v>15328</v>
      </c>
      <c r="C860" s="1"/>
      <c r="D860" s="1"/>
      <c r="E860" s="1"/>
      <c r="F860" s="1" t="s">
        <v>15329</v>
      </c>
      <c r="G860" s="1"/>
      <c r="H860" s="1"/>
      <c r="I860" s="1" t="s">
        <v>15330</v>
      </c>
      <c r="J860" s="1" t="s">
        <v>15331</v>
      </c>
      <c r="K860" s="1"/>
      <c r="L860" s="1"/>
      <c r="M860" s="1" t="s">
        <v>78</v>
      </c>
      <c r="N860" s="1" t="s">
        <v>186</v>
      </c>
      <c r="O860" s="1"/>
      <c r="P860" s="1"/>
      <c r="Q860" s="1"/>
      <c r="R860" s="1"/>
      <c r="S860" s="1"/>
      <c r="T860" s="1" t="s">
        <v>15332</v>
      </c>
      <c r="U860" s="1" t="s">
        <v>15333</v>
      </c>
      <c r="V860" s="1" t="s">
        <v>15334</v>
      </c>
      <c r="W860" s="1" t="s">
        <v>15335</v>
      </c>
      <c r="X860" s="1" t="s">
        <v>15336</v>
      </c>
      <c r="Y860" s="1" t="s">
        <v>15337</v>
      </c>
      <c r="Z860" s="1" t="s">
        <v>15338</v>
      </c>
      <c r="AA860" s="1" t="s">
        <v>15339</v>
      </c>
      <c r="AB860" s="1"/>
      <c r="AC860" s="1" t="s">
        <v>15340</v>
      </c>
      <c r="AD860" s="1" t="s">
        <v>15340</v>
      </c>
      <c r="AE860" s="1" t="s">
        <v>15341</v>
      </c>
      <c r="AF860" s="1"/>
      <c r="AG860" s="1" t="n">
        <v>27</v>
      </c>
      <c r="AH860" s="1" t="n">
        <v>0</v>
      </c>
      <c r="AI860" s="1" t="n">
        <v>0</v>
      </c>
      <c r="AJ860" s="1" t="n">
        <v>4</v>
      </c>
      <c r="AK860" s="1" t="n">
        <v>20</v>
      </c>
      <c r="AL860" s="1" t="s">
        <v>15342</v>
      </c>
      <c r="AM860" s="1" t="s">
        <v>15343</v>
      </c>
      <c r="AN860" s="1" t="s">
        <v>15344</v>
      </c>
      <c r="AO860" s="1" t="s">
        <v>15345</v>
      </c>
      <c r="AP860" s="1" t="s">
        <v>15346</v>
      </c>
      <c r="AQ860" s="1"/>
      <c r="AR860" s="1" t="s">
        <v>15347</v>
      </c>
      <c r="AS860" s="1" t="s">
        <v>15348</v>
      </c>
      <c r="AT860" s="1"/>
      <c r="AU860" s="1" t="n">
        <v>2022</v>
      </c>
      <c r="AV860" s="1"/>
      <c r="AW860" s="1" t="n">
        <v>2</v>
      </c>
      <c r="AX860" s="1"/>
      <c r="AY860" s="1"/>
      <c r="AZ860" s="1"/>
      <c r="BA860" s="1"/>
      <c r="BB860" s="1" t="n">
        <v>87</v>
      </c>
      <c r="BC860" s="1" t="n">
        <v>97</v>
      </c>
      <c r="BD860" s="1"/>
      <c r="BE860" s="1" t="s">
        <v>15349</v>
      </c>
      <c r="BF860" s="1" t="str">
        <f aca="false">HYPERLINK("http://dx.doi.org/10.32342/2074-5354-2022-2-57-7","http://dx.doi.org/10.32342/2074-5354-2022-2-57-7")</f>
        <v>http://dx.doi.org/10.32342/2074-5354-2022-2-57-7</v>
      </c>
      <c r="BG860" s="1"/>
      <c r="BH860" s="1"/>
      <c r="BI860" s="1" t="n">
        <v>11</v>
      </c>
      <c r="BJ860" s="1" t="s">
        <v>15350</v>
      </c>
      <c r="BK860" s="1" t="s">
        <v>253</v>
      </c>
      <c r="BL860" s="1" t="s">
        <v>715</v>
      </c>
      <c r="BM860" s="1" t="s">
        <v>15351</v>
      </c>
      <c r="BN860" s="1"/>
      <c r="BO860" s="1" t="s">
        <v>376</v>
      </c>
      <c r="BP860" s="1"/>
      <c r="BQ860" s="1"/>
      <c r="BR860" s="1" t="s">
        <v>103</v>
      </c>
      <c r="BS860" s="1" t="s">
        <v>15352</v>
      </c>
      <c r="BT860" s="1" t="str">
        <f aca="false">HYPERLINK("https%3A%2F%2Fwww.webofscience.com%2Fwos%2Fwoscc%2Ffull-record%2FWOS:000897536000006","View Full Record in Web of Science")</f>
        <v>View Full Record in Web of Science</v>
      </c>
    </row>
    <row r="861" customFormat="false" ht="12.75" hidden="false" customHeight="false" outlineLevel="0" collapsed="false">
      <c r="A861" s="1" t="s">
        <v>181</v>
      </c>
      <c r="B861" s="1" t="s">
        <v>15353</v>
      </c>
      <c r="C861" s="1"/>
      <c r="D861" s="1"/>
      <c r="E861" s="1"/>
      <c r="F861" s="1" t="s">
        <v>15354</v>
      </c>
      <c r="G861" s="1"/>
      <c r="H861" s="1"/>
      <c r="I861" s="1" t="s">
        <v>15355</v>
      </c>
      <c r="J861" s="1" t="s">
        <v>6301</v>
      </c>
      <c r="K861" s="1"/>
      <c r="L861" s="1"/>
      <c r="M861" s="1" t="s">
        <v>78</v>
      </c>
      <c r="N861" s="1" t="s">
        <v>186</v>
      </c>
      <c r="O861" s="1"/>
      <c r="P861" s="1"/>
      <c r="Q861" s="1"/>
      <c r="R861" s="1"/>
      <c r="S861" s="1"/>
      <c r="T861" s="1" t="s">
        <v>15356</v>
      </c>
      <c r="U861" s="1"/>
      <c r="V861" s="1" t="s">
        <v>15357</v>
      </c>
      <c r="W861" s="1" t="s">
        <v>15358</v>
      </c>
      <c r="X861" s="1" t="s">
        <v>15359</v>
      </c>
      <c r="Y861" s="1" t="s">
        <v>15360</v>
      </c>
      <c r="Z861" s="1" t="s">
        <v>15361</v>
      </c>
      <c r="AA861" s="1" t="s">
        <v>15362</v>
      </c>
      <c r="AB861" s="1" t="s">
        <v>6308</v>
      </c>
      <c r="AC861" s="1" t="s">
        <v>15363</v>
      </c>
      <c r="AD861" s="1" t="s">
        <v>15364</v>
      </c>
      <c r="AE861" s="1" t="s">
        <v>15365</v>
      </c>
      <c r="AF861" s="1"/>
      <c r="AG861" s="1" t="n">
        <v>105</v>
      </c>
      <c r="AH861" s="1" t="n">
        <v>57</v>
      </c>
      <c r="AI861" s="1" t="n">
        <v>63</v>
      </c>
      <c r="AJ861" s="1" t="n">
        <v>4</v>
      </c>
      <c r="AK861" s="1" t="n">
        <v>39</v>
      </c>
      <c r="AL861" s="1" t="s">
        <v>600</v>
      </c>
      <c r="AM861" s="1" t="s">
        <v>601</v>
      </c>
      <c r="AN861" s="1" t="s">
        <v>602</v>
      </c>
      <c r="AO861" s="1" t="s">
        <v>6310</v>
      </c>
      <c r="AP861" s="1" t="s">
        <v>6311</v>
      </c>
      <c r="AQ861" s="1"/>
      <c r="AR861" s="1" t="s">
        <v>6312</v>
      </c>
      <c r="AS861" s="1" t="s">
        <v>6313</v>
      </c>
      <c r="AT861" s="1" t="s">
        <v>6314</v>
      </c>
      <c r="AU861" s="1" t="n">
        <v>2020</v>
      </c>
      <c r="AV861" s="1" t="n">
        <v>32</v>
      </c>
      <c r="AW861" s="1" t="n">
        <v>17</v>
      </c>
      <c r="AX861" s="1"/>
      <c r="AY861" s="1"/>
      <c r="AZ861" s="1" t="s">
        <v>1698</v>
      </c>
      <c r="BA861" s="1"/>
      <c r="BB861" s="1"/>
      <c r="BC861" s="1"/>
      <c r="BD861" s="1" t="s">
        <v>15366</v>
      </c>
      <c r="BE861" s="1" t="s">
        <v>15367</v>
      </c>
      <c r="BF861" s="1" t="str">
        <f aca="false">HYPERLINK("http://dx.doi.org/10.1002/cpe.5668","http://dx.doi.org/10.1002/cpe.5668")</f>
        <v>http://dx.doi.org/10.1002/cpe.5668</v>
      </c>
      <c r="BG861" s="1"/>
      <c r="BH861" s="1" t="s">
        <v>10981</v>
      </c>
      <c r="BI861" s="1" t="n">
        <v>17</v>
      </c>
      <c r="BJ861" s="1" t="s">
        <v>994</v>
      </c>
      <c r="BK861" s="1" t="s">
        <v>204</v>
      </c>
      <c r="BL861" s="1" t="s">
        <v>101</v>
      </c>
      <c r="BM861" s="1" t="s">
        <v>6318</v>
      </c>
      <c r="BN861" s="1"/>
      <c r="BO861" s="1"/>
      <c r="BP861" s="1"/>
      <c r="BQ861" s="1"/>
      <c r="BR861" s="1" t="s">
        <v>103</v>
      </c>
      <c r="BS861" s="1" t="s">
        <v>15368</v>
      </c>
      <c r="BT861" s="1" t="str">
        <f aca="false">HYPERLINK("https%3A%2F%2Fwww.webofscience.com%2Fwos%2Fwoscc%2Ffull-record%2FWOS:000507898400001","View Full Record in Web of Science")</f>
        <v>View Full Record in Web of Science</v>
      </c>
    </row>
    <row r="862" customFormat="false" ht="12.75" hidden="false" customHeight="false" outlineLevel="0" collapsed="false">
      <c r="A862" s="1" t="s">
        <v>72</v>
      </c>
      <c r="B862" s="1" t="s">
        <v>15369</v>
      </c>
      <c r="C862" s="1"/>
      <c r="D862" s="1" t="s">
        <v>12067</v>
      </c>
      <c r="E862" s="1"/>
      <c r="F862" s="1" t="s">
        <v>15370</v>
      </c>
      <c r="G862" s="1"/>
      <c r="H862" s="1"/>
      <c r="I862" s="1" t="s">
        <v>15371</v>
      </c>
      <c r="J862" s="1" t="s">
        <v>12070</v>
      </c>
      <c r="K862" s="1" t="s">
        <v>5153</v>
      </c>
      <c r="L862" s="1"/>
      <c r="M862" s="1" t="s">
        <v>78</v>
      </c>
      <c r="N862" s="1" t="s">
        <v>79</v>
      </c>
      <c r="O862" s="1" t="s">
        <v>12071</v>
      </c>
      <c r="P862" s="1" t="s">
        <v>12072</v>
      </c>
      <c r="Q862" s="1" t="s">
        <v>320</v>
      </c>
      <c r="R862" s="1" t="s">
        <v>12073</v>
      </c>
      <c r="S862" s="1"/>
      <c r="T862" s="1"/>
      <c r="U862" s="1"/>
      <c r="V862" s="1" t="s">
        <v>15372</v>
      </c>
      <c r="W862" s="1" t="s">
        <v>15373</v>
      </c>
      <c r="X862" s="1" t="s">
        <v>8367</v>
      </c>
      <c r="Y862" s="1" t="s">
        <v>11110</v>
      </c>
      <c r="Z862" s="1" t="s">
        <v>8369</v>
      </c>
      <c r="AA862" s="1" t="s">
        <v>15374</v>
      </c>
      <c r="AB862" s="1" t="s">
        <v>15375</v>
      </c>
      <c r="AC862" s="1" t="s">
        <v>8666</v>
      </c>
      <c r="AD862" s="1" t="s">
        <v>8666</v>
      </c>
      <c r="AE862" s="1" t="s">
        <v>15376</v>
      </c>
      <c r="AF862" s="1"/>
      <c r="AG862" s="1" t="n">
        <v>7</v>
      </c>
      <c r="AH862" s="1" t="n">
        <v>4</v>
      </c>
      <c r="AI862" s="1" t="n">
        <v>4</v>
      </c>
      <c r="AJ862" s="1" t="n">
        <v>0</v>
      </c>
      <c r="AK862" s="1" t="n">
        <v>7</v>
      </c>
      <c r="AL862" s="1" t="s">
        <v>5169</v>
      </c>
      <c r="AM862" s="1" t="s">
        <v>5170</v>
      </c>
      <c r="AN862" s="1" t="s">
        <v>5171</v>
      </c>
      <c r="AO862" s="1" t="s">
        <v>5172</v>
      </c>
      <c r="AP862" s="1"/>
      <c r="AQ862" s="1"/>
      <c r="AR862" s="1" t="s">
        <v>5173</v>
      </c>
      <c r="AS862" s="1"/>
      <c r="AT862" s="1"/>
      <c r="AU862" s="1" t="n">
        <v>2021</v>
      </c>
      <c r="AV862" s="1" t="n">
        <v>1157</v>
      </c>
      <c r="AW862" s="1"/>
      <c r="AX862" s="1"/>
      <c r="AY862" s="1"/>
      <c r="AZ862" s="1"/>
      <c r="BA862" s="1"/>
      <c r="BB862" s="1"/>
      <c r="BC862" s="1"/>
      <c r="BD862" s="1" t="n">
        <v>12076</v>
      </c>
      <c r="BE862" s="1" t="s">
        <v>15377</v>
      </c>
      <c r="BF862" s="1" t="str">
        <f aca="false">HYPERLINK("http://dx.doi.org/10.1088/1757-899X/1157/1/012076","http://dx.doi.org/10.1088/1757-899X/1157/1/012076")</f>
        <v>http://dx.doi.org/10.1088/1757-899X/1157/1/012076</v>
      </c>
      <c r="BG862" s="1"/>
      <c r="BH862" s="1"/>
      <c r="BI862" s="1" t="n">
        <v>8</v>
      </c>
      <c r="BJ862" s="1" t="s">
        <v>5175</v>
      </c>
      <c r="BK862" s="1" t="s">
        <v>100</v>
      </c>
      <c r="BL862" s="1" t="s">
        <v>5176</v>
      </c>
      <c r="BM862" s="1" t="s">
        <v>12080</v>
      </c>
      <c r="BN862" s="1"/>
      <c r="BO862" s="1" t="s">
        <v>1209</v>
      </c>
      <c r="BP862" s="1"/>
      <c r="BQ862" s="1"/>
      <c r="BR862" s="1" t="s">
        <v>103</v>
      </c>
      <c r="BS862" s="1" t="s">
        <v>15378</v>
      </c>
      <c r="BT862" s="1" t="str">
        <f aca="false">HYPERLINK("https%3A%2F%2Fwww.webofscience.com%2Fwos%2Fwoscc%2Ffull-record%2FWOS:000709634600076","View Full Record in Web of Science")</f>
        <v>View Full Record in Web of Science</v>
      </c>
    </row>
    <row r="863" customFormat="false" ht="12.75" hidden="false" customHeight="false" outlineLevel="0" collapsed="false">
      <c r="A863" s="1" t="s">
        <v>181</v>
      </c>
      <c r="B863" s="1" t="s">
        <v>15379</v>
      </c>
      <c r="C863" s="1"/>
      <c r="D863" s="1"/>
      <c r="E863" s="1"/>
      <c r="F863" s="1" t="s">
        <v>15380</v>
      </c>
      <c r="G863" s="1"/>
      <c r="H863" s="1"/>
      <c r="I863" s="1" t="s">
        <v>15381</v>
      </c>
      <c r="J863" s="1" t="s">
        <v>4875</v>
      </c>
      <c r="K863" s="1"/>
      <c r="L863" s="1"/>
      <c r="M863" s="1" t="s">
        <v>78</v>
      </c>
      <c r="N863" s="1" t="s">
        <v>186</v>
      </c>
      <c r="O863" s="1"/>
      <c r="P863" s="1"/>
      <c r="Q863" s="1"/>
      <c r="R863" s="1"/>
      <c r="S863" s="1"/>
      <c r="T863" s="1" t="s">
        <v>15382</v>
      </c>
      <c r="U863" s="1"/>
      <c r="V863" s="1" t="s">
        <v>15383</v>
      </c>
      <c r="W863" s="1" t="s">
        <v>15384</v>
      </c>
      <c r="X863" s="1" t="s">
        <v>15385</v>
      </c>
      <c r="Y863" s="1" t="s">
        <v>15386</v>
      </c>
      <c r="Z863" s="1" t="s">
        <v>15387</v>
      </c>
      <c r="AA863" s="1" t="s">
        <v>5339</v>
      </c>
      <c r="AB863" s="1" t="s">
        <v>15388</v>
      </c>
      <c r="AC863" s="1"/>
      <c r="AD863" s="1"/>
      <c r="AE863" s="1"/>
      <c r="AF863" s="1"/>
      <c r="AG863" s="1" t="n">
        <v>10</v>
      </c>
      <c r="AH863" s="1" t="n">
        <v>28</v>
      </c>
      <c r="AI863" s="1" t="n">
        <v>28</v>
      </c>
      <c r="AJ863" s="1" t="n">
        <v>3</v>
      </c>
      <c r="AK863" s="1" t="n">
        <v>46</v>
      </c>
      <c r="AL863" s="1" t="s">
        <v>172</v>
      </c>
      <c r="AM863" s="1" t="s">
        <v>173</v>
      </c>
      <c r="AN863" s="1" t="s">
        <v>4882</v>
      </c>
      <c r="AO863" s="1" t="s">
        <v>4883</v>
      </c>
      <c r="AP863" s="1" t="s">
        <v>4884</v>
      </c>
      <c r="AQ863" s="1"/>
      <c r="AR863" s="1" t="s">
        <v>4875</v>
      </c>
      <c r="AS863" s="1" t="s">
        <v>4885</v>
      </c>
      <c r="AT863" s="1" t="s">
        <v>9995</v>
      </c>
      <c r="AU863" s="1" t="n">
        <v>2020</v>
      </c>
      <c r="AV863" s="1" t="n">
        <v>37</v>
      </c>
      <c r="AW863" s="1" t="n">
        <v>2</v>
      </c>
      <c r="AX863" s="1"/>
      <c r="AY863" s="1"/>
      <c r="AZ863" s="1"/>
      <c r="BA863" s="1"/>
      <c r="BB863" s="1" t="n">
        <v>25</v>
      </c>
      <c r="BC863" s="1" t="n">
        <v>31</v>
      </c>
      <c r="BD863" s="1"/>
      <c r="BE863" s="1" t="s">
        <v>15389</v>
      </c>
      <c r="BF863" s="1" t="str">
        <f aca="false">HYPERLINK("http://dx.doi.org/10.1109/MS.2019.2957715","http://dx.doi.org/10.1109/MS.2019.2957715")</f>
        <v>http://dx.doi.org/10.1109/MS.2019.2957715</v>
      </c>
      <c r="BG863" s="1"/>
      <c r="BH863" s="1"/>
      <c r="BI863" s="1" t="n">
        <v>7</v>
      </c>
      <c r="BJ863" s="1" t="s">
        <v>252</v>
      </c>
      <c r="BK863" s="1" t="s">
        <v>204</v>
      </c>
      <c r="BL863" s="1" t="s">
        <v>101</v>
      </c>
      <c r="BM863" s="1" t="s">
        <v>15390</v>
      </c>
      <c r="BN863" s="1"/>
      <c r="BO863" s="1" t="s">
        <v>227</v>
      </c>
      <c r="BP863" s="1"/>
      <c r="BQ863" s="1"/>
      <c r="BR863" s="1" t="s">
        <v>103</v>
      </c>
      <c r="BS863" s="1" t="s">
        <v>15391</v>
      </c>
      <c r="BT863" s="1" t="str">
        <f aca="false">HYPERLINK("https%3A%2F%2Fwww.webofscience.com%2Fwos%2Fwoscc%2Ffull-record%2FWOS:000520152900006","View Full Record in Web of Science")</f>
        <v>View Full Record in Web of Science</v>
      </c>
    </row>
    <row r="864" customFormat="false" ht="12.75" hidden="false" customHeight="false" outlineLevel="0" collapsed="false">
      <c r="A864" s="1" t="s">
        <v>181</v>
      </c>
      <c r="B864" s="1" t="s">
        <v>15392</v>
      </c>
      <c r="C864" s="1"/>
      <c r="D864" s="1"/>
      <c r="E864" s="1"/>
      <c r="F864" s="1" t="s">
        <v>15393</v>
      </c>
      <c r="G864" s="1"/>
      <c r="H864" s="1"/>
      <c r="I864" s="1" t="s">
        <v>15394</v>
      </c>
      <c r="J864" s="1" t="s">
        <v>15395</v>
      </c>
      <c r="K864" s="1"/>
      <c r="L864" s="1"/>
      <c r="M864" s="1" t="s">
        <v>78</v>
      </c>
      <c r="N864" s="1" t="s">
        <v>186</v>
      </c>
      <c r="O864" s="1"/>
      <c r="P864" s="1"/>
      <c r="Q864" s="1"/>
      <c r="R864" s="1"/>
      <c r="S864" s="1"/>
      <c r="T864" s="1" t="s">
        <v>15396</v>
      </c>
      <c r="U864" s="1"/>
      <c r="V864" s="1" t="s">
        <v>15397</v>
      </c>
      <c r="W864" s="1" t="s">
        <v>15398</v>
      </c>
      <c r="X864" s="1" t="s">
        <v>15399</v>
      </c>
      <c r="Y864" s="1" t="s">
        <v>15400</v>
      </c>
      <c r="Z864" s="1" t="s">
        <v>15401</v>
      </c>
      <c r="AA864" s="1" t="s">
        <v>15402</v>
      </c>
      <c r="AB864" s="1" t="s">
        <v>15403</v>
      </c>
      <c r="AC864" s="1" t="s">
        <v>15404</v>
      </c>
      <c r="AD864" s="1" t="s">
        <v>15013</v>
      </c>
      <c r="AE864" s="1" t="s">
        <v>15405</v>
      </c>
      <c r="AF864" s="1"/>
      <c r="AG864" s="1" t="n">
        <v>53</v>
      </c>
      <c r="AH864" s="1" t="n">
        <v>5</v>
      </c>
      <c r="AI864" s="1" t="n">
        <v>5</v>
      </c>
      <c r="AJ864" s="1" t="n">
        <v>124</v>
      </c>
      <c r="AK864" s="1" t="n">
        <v>128</v>
      </c>
      <c r="AL864" s="1" t="s">
        <v>1651</v>
      </c>
      <c r="AM864" s="1" t="s">
        <v>1026</v>
      </c>
      <c r="AN864" s="1" t="s">
        <v>1652</v>
      </c>
      <c r="AO864" s="1" t="s">
        <v>15406</v>
      </c>
      <c r="AP864" s="1" t="s">
        <v>15407</v>
      </c>
      <c r="AQ864" s="1"/>
      <c r="AR864" s="1" t="s">
        <v>15408</v>
      </c>
      <c r="AS864" s="1" t="s">
        <v>15409</v>
      </c>
      <c r="AT864" s="1" t="s">
        <v>474</v>
      </c>
      <c r="AU864" s="1" t="n">
        <v>2024</v>
      </c>
      <c r="AV864" s="1" t="n">
        <v>118</v>
      </c>
      <c r="AW864" s="1"/>
      <c r="AX864" s="1" t="s">
        <v>899</v>
      </c>
      <c r="AY864" s="1"/>
      <c r="AZ864" s="1"/>
      <c r="BA864" s="1"/>
      <c r="BB864" s="1"/>
      <c r="BC864" s="1"/>
      <c r="BD864" s="1" t="n">
        <v>109376</v>
      </c>
      <c r="BE864" s="1" t="s">
        <v>15410</v>
      </c>
      <c r="BF864" s="1" t="str">
        <f aca="false">HYPERLINK("http://dx.doi.org/10.1016/j.compeleceng.2024.109376","http://dx.doi.org/10.1016/j.compeleceng.2024.109376")</f>
        <v>http://dx.doi.org/10.1016/j.compeleceng.2024.109376</v>
      </c>
      <c r="BG864" s="1"/>
      <c r="BH864" s="1" t="s">
        <v>1658</v>
      </c>
      <c r="BI864" s="1" t="n">
        <v>15</v>
      </c>
      <c r="BJ864" s="1" t="s">
        <v>15411</v>
      </c>
      <c r="BK864" s="1" t="s">
        <v>204</v>
      </c>
      <c r="BL864" s="1" t="s">
        <v>1255</v>
      </c>
      <c r="BM864" s="1" t="s">
        <v>15412</v>
      </c>
      <c r="BN864" s="1"/>
      <c r="BO864" s="1"/>
      <c r="BP864" s="1"/>
      <c r="BQ864" s="1"/>
      <c r="BR864" s="1" t="s">
        <v>103</v>
      </c>
      <c r="BS864" s="1" t="s">
        <v>15413</v>
      </c>
      <c r="BT864" s="1" t="str">
        <f aca="false">HYPERLINK("https%3A%2F%2Fwww.webofscience.com%2Fwos%2Fwoscc%2Ffull-record%2FWOS:001283986500001","View Full Record in Web of Science")</f>
        <v>View Full Record in Web of Science</v>
      </c>
    </row>
    <row r="865" customFormat="false" ht="12.75" hidden="false" customHeight="false" outlineLevel="0" collapsed="false">
      <c r="A865" s="1" t="s">
        <v>181</v>
      </c>
      <c r="B865" s="1" t="s">
        <v>15414</v>
      </c>
      <c r="C865" s="1"/>
      <c r="D865" s="1"/>
      <c r="E865" s="1"/>
      <c r="F865" s="1" t="s">
        <v>15415</v>
      </c>
      <c r="G865" s="1"/>
      <c r="H865" s="1"/>
      <c r="I865" s="1" t="s">
        <v>15416</v>
      </c>
      <c r="J865" s="1" t="s">
        <v>15417</v>
      </c>
      <c r="K865" s="1"/>
      <c r="L865" s="1"/>
      <c r="M865" s="1" t="s">
        <v>78</v>
      </c>
      <c r="N865" s="1" t="s">
        <v>186</v>
      </c>
      <c r="O865" s="1"/>
      <c r="P865" s="1"/>
      <c r="Q865" s="1"/>
      <c r="R865" s="1"/>
      <c r="S865" s="1"/>
      <c r="T865" s="1" t="s">
        <v>15418</v>
      </c>
      <c r="U865" s="1" t="s">
        <v>15419</v>
      </c>
      <c r="V865" s="1" t="s">
        <v>15420</v>
      </c>
      <c r="W865" s="1" t="s">
        <v>15421</v>
      </c>
      <c r="X865" s="1" t="s">
        <v>15422</v>
      </c>
      <c r="Y865" s="1" t="s">
        <v>15423</v>
      </c>
      <c r="Z865" s="1" t="s">
        <v>15424</v>
      </c>
      <c r="AA865" s="1"/>
      <c r="AB865" s="1" t="s">
        <v>15425</v>
      </c>
      <c r="AC865" s="1" t="s">
        <v>15426</v>
      </c>
      <c r="AD865" s="1" t="s">
        <v>15426</v>
      </c>
      <c r="AE865" s="1" t="s">
        <v>916</v>
      </c>
      <c r="AF865" s="1"/>
      <c r="AG865" s="1" t="n">
        <v>60</v>
      </c>
      <c r="AH865" s="1" t="n">
        <v>2</v>
      </c>
      <c r="AI865" s="1" t="n">
        <v>2</v>
      </c>
      <c r="AJ865" s="1" t="n">
        <v>1</v>
      </c>
      <c r="AK865" s="1" t="n">
        <v>12</v>
      </c>
      <c r="AL865" s="1" t="s">
        <v>15427</v>
      </c>
      <c r="AM865" s="1" t="s">
        <v>5170</v>
      </c>
      <c r="AN865" s="1" t="s">
        <v>15428</v>
      </c>
      <c r="AO865" s="1" t="s">
        <v>15429</v>
      </c>
      <c r="AP865" s="1" t="s">
        <v>15430</v>
      </c>
      <c r="AQ865" s="1"/>
      <c r="AR865" s="1" t="s">
        <v>15431</v>
      </c>
      <c r="AS865" s="1" t="s">
        <v>15432</v>
      </c>
      <c r="AT865" s="1" t="s">
        <v>10033</v>
      </c>
      <c r="AU865" s="1" t="n">
        <v>2023</v>
      </c>
      <c r="AV865" s="1" t="n">
        <v>20</v>
      </c>
      <c r="AW865" s="1" t="n">
        <v>6</v>
      </c>
      <c r="AX865" s="1"/>
      <c r="AY865" s="1"/>
      <c r="AZ865" s="1"/>
      <c r="BA865" s="1"/>
      <c r="BB865" s="1"/>
      <c r="BC865" s="1"/>
      <c r="BD865" s="1" t="n">
        <v>66022</v>
      </c>
      <c r="BE865" s="1" t="s">
        <v>15433</v>
      </c>
      <c r="BF865" s="1" t="str">
        <f aca="false">HYPERLINK("http://dx.doi.org/10.1088/1741-2552/ad0e7b","http://dx.doi.org/10.1088/1741-2552/ad0e7b")</f>
        <v>http://dx.doi.org/10.1088/1741-2552/ad0e7b</v>
      </c>
      <c r="BG865" s="1"/>
      <c r="BH865" s="1"/>
      <c r="BI865" s="1" t="n">
        <v>15</v>
      </c>
      <c r="BJ865" s="1" t="s">
        <v>11963</v>
      </c>
      <c r="BK865" s="1" t="s">
        <v>204</v>
      </c>
      <c r="BL865" s="1" t="s">
        <v>1302</v>
      </c>
      <c r="BM865" s="1" t="s">
        <v>15434</v>
      </c>
      <c r="BN865" s="1" t="n">
        <v>37988748</v>
      </c>
      <c r="BO865" s="1" t="s">
        <v>207</v>
      </c>
      <c r="BP865" s="1"/>
      <c r="BQ865" s="1"/>
      <c r="BR865" s="1" t="s">
        <v>103</v>
      </c>
      <c r="BS865" s="1" t="s">
        <v>15435</v>
      </c>
      <c r="BT865" s="1" t="str">
        <f aca="false">HYPERLINK("https%3A%2F%2Fwww.webofscience.com%2Fwos%2Fwoscc%2Ffull-record%2FWOS:001119479500001","View Full Record in Web of Science")</f>
        <v>View Full Record in Web of Science</v>
      </c>
    </row>
    <row r="866" customFormat="false" ht="12.75" hidden="false" customHeight="false" outlineLevel="0" collapsed="false">
      <c r="A866" s="1" t="s">
        <v>181</v>
      </c>
      <c r="B866" s="1" t="s">
        <v>15436</v>
      </c>
      <c r="C866" s="1"/>
      <c r="D866" s="1"/>
      <c r="E866" s="1"/>
      <c r="F866" s="1" t="s">
        <v>15437</v>
      </c>
      <c r="G866" s="1"/>
      <c r="H866" s="1"/>
      <c r="I866" s="1" t="s">
        <v>15438</v>
      </c>
      <c r="J866" s="1" t="s">
        <v>1921</v>
      </c>
      <c r="K866" s="1"/>
      <c r="L866" s="1"/>
      <c r="M866" s="1" t="s">
        <v>78</v>
      </c>
      <c r="N866" s="1" t="s">
        <v>186</v>
      </c>
      <c r="O866" s="1"/>
      <c r="P866" s="1"/>
      <c r="Q866" s="1"/>
      <c r="R866" s="1"/>
      <c r="S866" s="1"/>
      <c r="T866" s="1" t="s">
        <v>15439</v>
      </c>
      <c r="U866" s="1" t="s">
        <v>15440</v>
      </c>
      <c r="V866" s="1" t="s">
        <v>15441</v>
      </c>
      <c r="W866" s="1" t="s">
        <v>15442</v>
      </c>
      <c r="X866" s="1" t="s">
        <v>15443</v>
      </c>
      <c r="Y866" s="1" t="s">
        <v>15444</v>
      </c>
      <c r="Z866" s="1" t="s">
        <v>15445</v>
      </c>
      <c r="AA866" s="1" t="s">
        <v>15446</v>
      </c>
      <c r="AB866" s="1" t="s">
        <v>15447</v>
      </c>
      <c r="AC866" s="1" t="s">
        <v>15448</v>
      </c>
      <c r="AD866" s="1" t="s">
        <v>15449</v>
      </c>
      <c r="AE866" s="1" t="s">
        <v>15450</v>
      </c>
      <c r="AF866" s="1"/>
      <c r="AG866" s="1" t="n">
        <v>42</v>
      </c>
      <c r="AH866" s="1" t="n">
        <v>7</v>
      </c>
      <c r="AI866" s="1" t="n">
        <v>8</v>
      </c>
      <c r="AJ866" s="1" t="n">
        <v>5</v>
      </c>
      <c r="AK866" s="1" t="n">
        <v>14</v>
      </c>
      <c r="AL866" s="1" t="s">
        <v>679</v>
      </c>
      <c r="AM866" s="1" t="s">
        <v>95</v>
      </c>
      <c r="AN866" s="1" t="s">
        <v>803</v>
      </c>
      <c r="AO866" s="1" t="s">
        <v>1929</v>
      </c>
      <c r="AP866" s="1" t="s">
        <v>1930</v>
      </c>
      <c r="AQ866" s="1"/>
      <c r="AR866" s="1" t="s">
        <v>1931</v>
      </c>
      <c r="AS866" s="1" t="s">
        <v>1932</v>
      </c>
      <c r="AT866" s="1" t="s">
        <v>474</v>
      </c>
      <c r="AU866" s="1" t="n">
        <v>2023</v>
      </c>
      <c r="AV866" s="1" t="n">
        <v>28</v>
      </c>
      <c r="AW866" s="1" t="n">
        <v>3</v>
      </c>
      <c r="AX866" s="1"/>
      <c r="AY866" s="1"/>
      <c r="AZ866" s="1"/>
      <c r="BA866" s="1"/>
      <c r="BB866" s="1" t="n">
        <v>377</v>
      </c>
      <c r="BC866" s="1" t="n">
        <v>409</v>
      </c>
      <c r="BD866" s="1"/>
      <c r="BE866" s="1" t="s">
        <v>15451</v>
      </c>
      <c r="BF866" s="1" t="str">
        <f aca="false">HYPERLINK("http://dx.doi.org/10.1007/s00766-023-00399-7","http://dx.doi.org/10.1007/s00766-023-00399-7")</f>
        <v>http://dx.doi.org/10.1007/s00766-023-00399-7</v>
      </c>
      <c r="BG866" s="1"/>
      <c r="BH866" s="1" t="s">
        <v>713</v>
      </c>
      <c r="BI866" s="1" t="n">
        <v>33</v>
      </c>
      <c r="BJ866" s="1" t="s">
        <v>1394</v>
      </c>
      <c r="BK866" s="1" t="s">
        <v>204</v>
      </c>
      <c r="BL866" s="1" t="s">
        <v>101</v>
      </c>
      <c r="BM866" s="1" t="s">
        <v>15452</v>
      </c>
      <c r="BN866" s="1"/>
      <c r="BO866" s="1" t="s">
        <v>282</v>
      </c>
      <c r="BP866" s="1"/>
      <c r="BQ866" s="1"/>
      <c r="BR866" s="1" t="s">
        <v>103</v>
      </c>
      <c r="BS866" s="1" t="s">
        <v>15453</v>
      </c>
      <c r="BT866" s="1" t="str">
        <f aca="false">HYPERLINK("https%3A%2F%2Fwww.webofscience.com%2Fwos%2Fwoscc%2Ffull-record%2FWOS:000976172000001","View Full Record in Web of Science")</f>
        <v>View Full Record in Web of Science</v>
      </c>
    </row>
    <row r="867" customFormat="false" ht="12.75" hidden="false" customHeight="false" outlineLevel="0" collapsed="false">
      <c r="A867" s="1" t="s">
        <v>181</v>
      </c>
      <c r="B867" s="1" t="s">
        <v>15296</v>
      </c>
      <c r="C867" s="1"/>
      <c r="D867" s="1"/>
      <c r="E867" s="1"/>
      <c r="F867" s="1" t="s">
        <v>15297</v>
      </c>
      <c r="G867" s="1"/>
      <c r="H867" s="1"/>
      <c r="I867" s="1" t="s">
        <v>15454</v>
      </c>
      <c r="J867" s="1" t="s">
        <v>5910</v>
      </c>
      <c r="K867" s="1"/>
      <c r="L867" s="1"/>
      <c r="M867" s="1" t="s">
        <v>78</v>
      </c>
      <c r="N867" s="1" t="s">
        <v>186</v>
      </c>
      <c r="O867" s="1"/>
      <c r="P867" s="1"/>
      <c r="Q867" s="1"/>
      <c r="R867" s="1"/>
      <c r="S867" s="1"/>
      <c r="T867" s="1" t="s">
        <v>15455</v>
      </c>
      <c r="U867" s="1"/>
      <c r="V867" s="1" t="s">
        <v>15456</v>
      </c>
      <c r="W867" s="1" t="s">
        <v>15457</v>
      </c>
      <c r="X867" s="1" t="s">
        <v>15303</v>
      </c>
      <c r="Y867" s="1" t="s">
        <v>15458</v>
      </c>
      <c r="Z867" s="1" t="s">
        <v>15459</v>
      </c>
      <c r="AA867" s="1" t="s">
        <v>5020</v>
      </c>
      <c r="AB867" s="1" t="s">
        <v>15460</v>
      </c>
      <c r="AC867" s="1" t="s">
        <v>15461</v>
      </c>
      <c r="AD867" s="1" t="s">
        <v>15462</v>
      </c>
      <c r="AE867" s="1" t="s">
        <v>15463</v>
      </c>
      <c r="AF867" s="1"/>
      <c r="AG867" s="1" t="n">
        <v>93</v>
      </c>
      <c r="AH867" s="1" t="n">
        <v>31</v>
      </c>
      <c r="AI867" s="1" t="n">
        <v>32</v>
      </c>
      <c r="AJ867" s="1" t="n">
        <v>5</v>
      </c>
      <c r="AK867" s="1" t="n">
        <v>24</v>
      </c>
      <c r="AL867" s="1" t="s">
        <v>172</v>
      </c>
      <c r="AM867" s="1" t="s">
        <v>173</v>
      </c>
      <c r="AN867" s="1" t="s">
        <v>4882</v>
      </c>
      <c r="AO867" s="1" t="s">
        <v>5922</v>
      </c>
      <c r="AP867" s="1" t="s">
        <v>5923</v>
      </c>
      <c r="AQ867" s="1"/>
      <c r="AR867" s="1" t="s">
        <v>5924</v>
      </c>
      <c r="AS867" s="1" t="s">
        <v>5925</v>
      </c>
      <c r="AT867" s="1" t="s">
        <v>2346</v>
      </c>
      <c r="AU867" s="1" t="n">
        <v>2021</v>
      </c>
      <c r="AV867" s="1" t="n">
        <v>47</v>
      </c>
      <c r="AW867" s="1" t="n">
        <v>3</v>
      </c>
      <c r="AX867" s="1"/>
      <c r="AY867" s="1"/>
      <c r="AZ867" s="1"/>
      <c r="BA867" s="1"/>
      <c r="BB867" s="1" t="n">
        <v>498</v>
      </c>
      <c r="BC867" s="1" t="n">
        <v>521</v>
      </c>
      <c r="BD867" s="1"/>
      <c r="BE867" s="1" t="s">
        <v>15464</v>
      </c>
      <c r="BF867" s="1" t="str">
        <f aca="false">HYPERLINK("http://dx.doi.org/10.1109/TSE.2019.2900213","http://dx.doi.org/10.1109/TSE.2019.2900213")</f>
        <v>http://dx.doi.org/10.1109/TSE.2019.2900213</v>
      </c>
      <c r="BG867" s="1"/>
      <c r="BH867" s="1"/>
      <c r="BI867" s="1" t="n">
        <v>24</v>
      </c>
      <c r="BJ867" s="1" t="s">
        <v>5928</v>
      </c>
      <c r="BK867" s="1" t="s">
        <v>204</v>
      </c>
      <c r="BL867" s="1" t="s">
        <v>1255</v>
      </c>
      <c r="BM867" s="1" t="s">
        <v>15465</v>
      </c>
      <c r="BN867" s="1"/>
      <c r="BO867" s="1" t="s">
        <v>12684</v>
      </c>
      <c r="BP867" s="1"/>
      <c r="BQ867" s="1"/>
      <c r="BR867" s="1" t="s">
        <v>103</v>
      </c>
      <c r="BS867" s="1" t="s">
        <v>15466</v>
      </c>
      <c r="BT867" s="1" t="str">
        <f aca="false">HYPERLINK("https%3A%2F%2Fwww.webofscience.com%2Fwos%2Fwoscc%2Ffull-record%2FWOS:000631200300004","View Full Record in Web of Science")</f>
        <v>View Full Record in Web of Science</v>
      </c>
    </row>
    <row r="868" customFormat="false" ht="12.75" hidden="false" customHeight="false" outlineLevel="0" collapsed="false">
      <c r="A868" s="1" t="s">
        <v>181</v>
      </c>
      <c r="B868" s="1" t="s">
        <v>15467</v>
      </c>
      <c r="C868" s="1"/>
      <c r="D868" s="1"/>
      <c r="E868" s="1"/>
      <c r="F868" s="1" t="s">
        <v>15468</v>
      </c>
      <c r="G868" s="1"/>
      <c r="H868" s="1"/>
      <c r="I868" s="1" t="s">
        <v>15469</v>
      </c>
      <c r="J868" s="1" t="s">
        <v>15470</v>
      </c>
      <c r="K868" s="1"/>
      <c r="L868" s="1"/>
      <c r="M868" s="1" t="s">
        <v>78</v>
      </c>
      <c r="N868" s="1" t="s">
        <v>186</v>
      </c>
      <c r="O868" s="1"/>
      <c r="P868" s="1"/>
      <c r="Q868" s="1"/>
      <c r="R868" s="1"/>
      <c r="S868" s="1"/>
      <c r="T868" s="1" t="s">
        <v>15471</v>
      </c>
      <c r="U868" s="1" t="s">
        <v>15472</v>
      </c>
      <c r="V868" s="1" t="s">
        <v>15473</v>
      </c>
      <c r="W868" s="1" t="s">
        <v>15474</v>
      </c>
      <c r="X868" s="1" t="s">
        <v>15119</v>
      </c>
      <c r="Y868" s="1" t="s">
        <v>15475</v>
      </c>
      <c r="Z868" s="1" t="s">
        <v>15476</v>
      </c>
      <c r="AA868" s="1" t="s">
        <v>15477</v>
      </c>
      <c r="AB868" s="1" t="s">
        <v>15478</v>
      </c>
      <c r="AC868" s="1" t="s">
        <v>15479</v>
      </c>
      <c r="AD868" s="1" t="s">
        <v>15479</v>
      </c>
      <c r="AE868" s="1" t="s">
        <v>15480</v>
      </c>
      <c r="AF868" s="1"/>
      <c r="AG868" s="1" t="n">
        <v>55</v>
      </c>
      <c r="AH868" s="1" t="n">
        <v>2</v>
      </c>
      <c r="AI868" s="1" t="n">
        <v>2</v>
      </c>
      <c r="AJ868" s="1" t="n">
        <v>0</v>
      </c>
      <c r="AK868" s="1" t="n">
        <v>4</v>
      </c>
      <c r="AL868" s="1" t="s">
        <v>15481</v>
      </c>
      <c r="AM868" s="1" t="s">
        <v>1908</v>
      </c>
      <c r="AN868" s="1" t="s">
        <v>15482</v>
      </c>
      <c r="AO868" s="1" t="s">
        <v>15483</v>
      </c>
      <c r="AP868" s="1" t="s">
        <v>15484</v>
      </c>
      <c r="AQ868" s="1"/>
      <c r="AR868" s="1" t="s">
        <v>15485</v>
      </c>
      <c r="AS868" s="1" t="s">
        <v>15486</v>
      </c>
      <c r="AT868" s="1" t="s">
        <v>711</v>
      </c>
      <c r="AU868" s="1" t="n">
        <v>2020</v>
      </c>
      <c r="AV868" s="1" t="n">
        <v>29</v>
      </c>
      <c r="AW868" s="1" t="n">
        <v>8</v>
      </c>
      <c r="AX868" s="1"/>
      <c r="AY868" s="1" t="s">
        <v>14511</v>
      </c>
      <c r="AZ868" s="1"/>
      <c r="BA868" s="1"/>
      <c r="BB868" s="1" t="s">
        <v>15487</v>
      </c>
      <c r="BC868" s="1" t="s">
        <v>15488</v>
      </c>
      <c r="BD868" s="1"/>
      <c r="BE868" s="1" t="s">
        <v>15489</v>
      </c>
      <c r="BF868" s="1" t="str">
        <f aca="false">HYPERLINK("http://dx.doi.org/10.12968/jowc.2020.29.Sup8.S18","http://dx.doi.org/10.12968/jowc.2020.29.Sup8.S18")</f>
        <v>http://dx.doi.org/10.12968/jowc.2020.29.Sup8.S18</v>
      </c>
      <c r="BG868" s="1"/>
      <c r="BH868" s="1"/>
      <c r="BI868" s="1" t="n">
        <v>10</v>
      </c>
      <c r="BJ868" s="1" t="s">
        <v>15490</v>
      </c>
      <c r="BK868" s="1" t="s">
        <v>398</v>
      </c>
      <c r="BL868" s="1" t="s">
        <v>15490</v>
      </c>
      <c r="BM868" s="1" t="s">
        <v>15491</v>
      </c>
      <c r="BN868" s="1" t="n">
        <v>32804019</v>
      </c>
      <c r="BO868" s="1"/>
      <c r="BP868" s="1"/>
      <c r="BQ868" s="1"/>
      <c r="BR868" s="1" t="s">
        <v>103</v>
      </c>
      <c r="BS868" s="1" t="s">
        <v>15492</v>
      </c>
      <c r="BT868" s="1" t="str">
        <f aca="false">HYPERLINK("https%3A%2F%2Fwww.webofscience.com%2Fwos%2Fwoscc%2Ffull-record%2FWOS:000562967700011","View Full Record in Web of Science")</f>
        <v>View Full Record in Web of Science</v>
      </c>
    </row>
    <row r="869" customFormat="false" ht="12.75" hidden="false" customHeight="false" outlineLevel="0" collapsed="false">
      <c r="A869" s="1" t="s">
        <v>181</v>
      </c>
      <c r="B869" s="1" t="s">
        <v>15493</v>
      </c>
      <c r="C869" s="1"/>
      <c r="D869" s="1"/>
      <c r="E869" s="1"/>
      <c r="F869" s="1" t="s">
        <v>15494</v>
      </c>
      <c r="G869" s="1"/>
      <c r="H869" s="1"/>
      <c r="I869" s="1" t="s">
        <v>15495</v>
      </c>
      <c r="J869" s="1" t="s">
        <v>15496</v>
      </c>
      <c r="K869" s="1"/>
      <c r="L869" s="1"/>
      <c r="M869" s="1" t="s">
        <v>78</v>
      </c>
      <c r="N869" s="1" t="s">
        <v>186</v>
      </c>
      <c r="O869" s="1"/>
      <c r="P869" s="1"/>
      <c r="Q869" s="1"/>
      <c r="R869" s="1"/>
      <c r="S869" s="1"/>
      <c r="T869" s="1" t="s">
        <v>15497</v>
      </c>
      <c r="U869" s="1" t="s">
        <v>15498</v>
      </c>
      <c r="V869" s="1" t="s">
        <v>15499</v>
      </c>
      <c r="W869" s="1" t="s">
        <v>15500</v>
      </c>
      <c r="X869" s="1" t="s">
        <v>15501</v>
      </c>
      <c r="Y869" s="1" t="s">
        <v>15502</v>
      </c>
      <c r="Z869" s="1" t="s">
        <v>15503</v>
      </c>
      <c r="AA869" s="1" t="s">
        <v>11931</v>
      </c>
      <c r="AB869" s="1" t="s">
        <v>15504</v>
      </c>
      <c r="AC869" s="1" t="s">
        <v>15505</v>
      </c>
      <c r="AD869" s="1" t="s">
        <v>15505</v>
      </c>
      <c r="AE869" s="1" t="s">
        <v>15505</v>
      </c>
      <c r="AF869" s="1"/>
      <c r="AG869" s="1" t="n">
        <v>37</v>
      </c>
      <c r="AH869" s="1" t="n">
        <v>2</v>
      </c>
      <c r="AI869" s="1" t="n">
        <v>2</v>
      </c>
      <c r="AJ869" s="1" t="n">
        <v>1</v>
      </c>
      <c r="AK869" s="1" t="n">
        <v>1</v>
      </c>
      <c r="AL869" s="1" t="s">
        <v>600</v>
      </c>
      <c r="AM869" s="1" t="s">
        <v>601</v>
      </c>
      <c r="AN869" s="1" t="s">
        <v>602</v>
      </c>
      <c r="AO869" s="1" t="s">
        <v>15506</v>
      </c>
      <c r="AP869" s="1" t="s">
        <v>15507</v>
      </c>
      <c r="AQ869" s="1"/>
      <c r="AR869" s="1" t="s">
        <v>15508</v>
      </c>
      <c r="AS869" s="1" t="s">
        <v>15509</v>
      </c>
      <c r="AT869" s="1" t="s">
        <v>1362</v>
      </c>
      <c r="AU869" s="1" t="n">
        <v>2024</v>
      </c>
      <c r="AV869" s="1" t="n">
        <v>51</v>
      </c>
      <c r="AW869" s="1" t="n">
        <v>10</v>
      </c>
      <c r="AX869" s="1"/>
      <c r="AY869" s="1"/>
      <c r="AZ869" s="1"/>
      <c r="BA869" s="1"/>
      <c r="BB869" s="1" t="n">
        <v>1267</v>
      </c>
      <c r="BC869" s="1" t="n">
        <v>1276</v>
      </c>
      <c r="BD869" s="1"/>
      <c r="BE869" s="1" t="s">
        <v>15510</v>
      </c>
      <c r="BF869" s="1" t="str">
        <f aca="false">HYPERLINK("http://dx.doi.org/10.1111/jcpe.14049","http://dx.doi.org/10.1111/jcpe.14049")</f>
        <v>http://dx.doi.org/10.1111/jcpe.14049</v>
      </c>
      <c r="BG869" s="1"/>
      <c r="BH869" s="1" t="s">
        <v>4909</v>
      </c>
      <c r="BI869" s="1" t="n">
        <v>10</v>
      </c>
      <c r="BJ869" s="1" t="s">
        <v>4910</v>
      </c>
      <c r="BK869" s="1" t="s">
        <v>204</v>
      </c>
      <c r="BL869" s="1" t="s">
        <v>4910</v>
      </c>
      <c r="BM869" s="1" t="s">
        <v>15511</v>
      </c>
      <c r="BN869" s="1" t="n">
        <v>39020503</v>
      </c>
      <c r="BO869" s="1" t="s">
        <v>282</v>
      </c>
      <c r="BP869" s="1"/>
      <c r="BQ869" s="1"/>
      <c r="BR869" s="1" t="s">
        <v>103</v>
      </c>
      <c r="BS869" s="1" t="s">
        <v>15512</v>
      </c>
      <c r="BT869" s="1" t="str">
        <f aca="false">HYPERLINK("https%3A%2F%2Fwww.webofscience.com%2Fwos%2Fwoscc%2Ffull-record%2FWOS:001270317000001","View Full Record in Web of Science")</f>
        <v>View Full Record in Web of Science</v>
      </c>
    </row>
    <row r="870" customFormat="false" ht="12.75" hidden="false" customHeight="false" outlineLevel="0" collapsed="false">
      <c r="A870" s="1" t="s">
        <v>181</v>
      </c>
      <c r="B870" s="1" t="s">
        <v>15513</v>
      </c>
      <c r="C870" s="1"/>
      <c r="D870" s="1"/>
      <c r="E870" s="1"/>
      <c r="F870" s="1" t="s">
        <v>15514</v>
      </c>
      <c r="G870" s="1"/>
      <c r="H870" s="1"/>
      <c r="I870" s="1" t="s">
        <v>15515</v>
      </c>
      <c r="J870" s="1" t="s">
        <v>15516</v>
      </c>
      <c r="K870" s="1"/>
      <c r="L870" s="1"/>
      <c r="M870" s="1" t="s">
        <v>78</v>
      </c>
      <c r="N870" s="1" t="s">
        <v>186</v>
      </c>
      <c r="O870" s="1"/>
      <c r="P870" s="1"/>
      <c r="Q870" s="1"/>
      <c r="R870" s="1"/>
      <c r="S870" s="1"/>
      <c r="T870" s="1" t="s">
        <v>15517</v>
      </c>
      <c r="U870" s="1" t="s">
        <v>15518</v>
      </c>
      <c r="V870" s="1" t="s">
        <v>15519</v>
      </c>
      <c r="W870" s="1" t="s">
        <v>15520</v>
      </c>
      <c r="X870" s="1" t="s">
        <v>15521</v>
      </c>
      <c r="Y870" s="1" t="s">
        <v>15522</v>
      </c>
      <c r="Z870" s="1" t="s">
        <v>15523</v>
      </c>
      <c r="AA870" s="1" t="s">
        <v>6855</v>
      </c>
      <c r="AB870" s="1"/>
      <c r="AC870" s="1"/>
      <c r="AD870" s="1"/>
      <c r="AE870" s="1"/>
      <c r="AF870" s="1"/>
      <c r="AG870" s="1" t="n">
        <v>30</v>
      </c>
      <c r="AH870" s="1" t="n">
        <v>10</v>
      </c>
      <c r="AI870" s="1" t="n">
        <v>10</v>
      </c>
      <c r="AJ870" s="1" t="n">
        <v>4</v>
      </c>
      <c r="AK870" s="1" t="n">
        <v>9</v>
      </c>
      <c r="AL870" s="1" t="s">
        <v>15524</v>
      </c>
      <c r="AM870" s="1" t="s">
        <v>15525</v>
      </c>
      <c r="AN870" s="1" t="s">
        <v>15526</v>
      </c>
      <c r="AO870" s="1" t="s">
        <v>15527</v>
      </c>
      <c r="AP870" s="1" t="s">
        <v>15528</v>
      </c>
      <c r="AQ870" s="1"/>
      <c r="AR870" s="1" t="s">
        <v>15529</v>
      </c>
      <c r="AS870" s="1" t="s">
        <v>15530</v>
      </c>
      <c r="AT870" s="1" t="s">
        <v>6366</v>
      </c>
      <c r="AU870" s="1" t="n">
        <v>2020</v>
      </c>
      <c r="AV870" s="1" t="n">
        <v>38</v>
      </c>
      <c r="AW870" s="1" t="n">
        <v>4</v>
      </c>
      <c r="AX870" s="1"/>
      <c r="AY870" s="1"/>
      <c r="AZ870" s="1"/>
      <c r="BA870" s="1"/>
      <c r="BB870" s="1" t="n">
        <v>699</v>
      </c>
      <c r="BC870" s="1" t="n">
        <v>704</v>
      </c>
      <c r="BD870" s="1"/>
      <c r="BE870" s="1"/>
      <c r="BF870" s="1"/>
      <c r="BG870" s="1"/>
      <c r="BH870" s="1"/>
      <c r="BI870" s="1" t="n">
        <v>6</v>
      </c>
      <c r="BJ870" s="1" t="s">
        <v>12560</v>
      </c>
      <c r="BK870" s="1" t="s">
        <v>204</v>
      </c>
      <c r="BL870" s="1" t="s">
        <v>12560</v>
      </c>
      <c r="BM870" s="1" t="s">
        <v>15531</v>
      </c>
      <c r="BN870" s="1" t="n">
        <v>31820729</v>
      </c>
      <c r="BO870" s="1"/>
      <c r="BP870" s="1"/>
      <c r="BQ870" s="1"/>
      <c r="BR870" s="1" t="s">
        <v>103</v>
      </c>
      <c r="BS870" s="1" t="s">
        <v>15532</v>
      </c>
      <c r="BT870" s="1" t="str">
        <f aca="false">HYPERLINK("https%3A%2F%2Fwww.webofscience.com%2Fwos%2Fwoscc%2Ffull-record%2FWOS:000558223300016","View Full Record in Web of Science")</f>
        <v>View Full Record in Web of Science</v>
      </c>
    </row>
    <row r="871" customFormat="false" ht="12.75" hidden="false" customHeight="false" outlineLevel="0" collapsed="false">
      <c r="A871" s="1" t="s">
        <v>181</v>
      </c>
      <c r="B871" s="1" t="s">
        <v>15533</v>
      </c>
      <c r="C871" s="1"/>
      <c r="D871" s="1"/>
      <c r="E871" s="1"/>
      <c r="F871" s="1" t="s">
        <v>15534</v>
      </c>
      <c r="G871" s="1"/>
      <c r="H871" s="1"/>
      <c r="I871" s="1" t="s">
        <v>15535</v>
      </c>
      <c r="J871" s="1" t="s">
        <v>5910</v>
      </c>
      <c r="K871" s="1"/>
      <c r="L871" s="1"/>
      <c r="M871" s="1" t="s">
        <v>78</v>
      </c>
      <c r="N871" s="1" t="s">
        <v>186</v>
      </c>
      <c r="O871" s="1"/>
      <c r="P871" s="1"/>
      <c r="Q871" s="1"/>
      <c r="R871" s="1"/>
      <c r="S871" s="1"/>
      <c r="T871" s="1" t="s">
        <v>15536</v>
      </c>
      <c r="U871" s="1"/>
      <c r="V871" s="1" t="s">
        <v>15537</v>
      </c>
      <c r="W871" s="1" t="s">
        <v>15538</v>
      </c>
      <c r="X871" s="1" t="s">
        <v>15539</v>
      </c>
      <c r="Y871" s="1" t="s">
        <v>15540</v>
      </c>
      <c r="Z871" s="1" t="s">
        <v>15541</v>
      </c>
      <c r="AA871" s="1" t="s">
        <v>15542</v>
      </c>
      <c r="AB871" s="1" t="s">
        <v>15543</v>
      </c>
      <c r="AC871" s="1" t="s">
        <v>1186</v>
      </c>
      <c r="AD871" s="1" t="s">
        <v>1186</v>
      </c>
      <c r="AE871" s="1" t="s">
        <v>15544</v>
      </c>
      <c r="AF871" s="1"/>
      <c r="AG871" s="1" t="n">
        <v>34</v>
      </c>
      <c r="AH871" s="1" t="n">
        <v>7</v>
      </c>
      <c r="AI871" s="1" t="n">
        <v>8</v>
      </c>
      <c r="AJ871" s="1" t="n">
        <v>2</v>
      </c>
      <c r="AK871" s="1" t="n">
        <v>14</v>
      </c>
      <c r="AL871" s="1" t="s">
        <v>172</v>
      </c>
      <c r="AM871" s="1" t="s">
        <v>173</v>
      </c>
      <c r="AN871" s="1" t="s">
        <v>4882</v>
      </c>
      <c r="AO871" s="1" t="s">
        <v>5922</v>
      </c>
      <c r="AP871" s="1" t="s">
        <v>5923</v>
      </c>
      <c r="AQ871" s="1"/>
      <c r="AR871" s="1" t="s">
        <v>5924</v>
      </c>
      <c r="AS871" s="1" t="s">
        <v>5925</v>
      </c>
      <c r="AT871" s="1" t="s">
        <v>15545</v>
      </c>
      <c r="AU871" s="1" t="n">
        <v>2022</v>
      </c>
      <c r="AV871" s="1" t="n">
        <v>48</v>
      </c>
      <c r="AW871" s="1" t="n">
        <v>9</v>
      </c>
      <c r="AX871" s="1"/>
      <c r="AY871" s="1"/>
      <c r="AZ871" s="1"/>
      <c r="BA871" s="1"/>
      <c r="BB871" s="1" t="n">
        <v>3310</v>
      </c>
      <c r="BC871" s="1" t="n">
        <v>3325</v>
      </c>
      <c r="BD871" s="1"/>
      <c r="BE871" s="1" t="s">
        <v>15546</v>
      </c>
      <c r="BF871" s="1" t="str">
        <f aca="false">HYPERLINK("http://dx.doi.org/10.1109/TSE.2021.3087792","http://dx.doi.org/10.1109/TSE.2021.3087792")</f>
        <v>http://dx.doi.org/10.1109/TSE.2021.3087792</v>
      </c>
      <c r="BG871" s="1"/>
      <c r="BH871" s="1"/>
      <c r="BI871" s="1" t="n">
        <v>16</v>
      </c>
      <c r="BJ871" s="1" t="s">
        <v>5928</v>
      </c>
      <c r="BK871" s="1" t="s">
        <v>204</v>
      </c>
      <c r="BL871" s="1" t="s">
        <v>1255</v>
      </c>
      <c r="BM871" s="1" t="s">
        <v>15547</v>
      </c>
      <c r="BN871" s="1"/>
      <c r="BO871" s="1" t="s">
        <v>1009</v>
      </c>
      <c r="BP871" s="1"/>
      <c r="BQ871" s="1"/>
      <c r="BR871" s="1" t="s">
        <v>103</v>
      </c>
      <c r="BS871" s="1" t="s">
        <v>15548</v>
      </c>
      <c r="BT871" s="1" t="str">
        <f aca="false">HYPERLINK("https%3A%2F%2Fwww.webofscience.com%2Fwos%2Fwoscc%2Ffull-record%2FWOS:000854591500006","View Full Record in Web of Science")</f>
        <v>View Full Record in Web of Science</v>
      </c>
    </row>
    <row r="872" customFormat="false" ht="12.75" hidden="false" customHeight="false" outlineLevel="0" collapsed="false">
      <c r="A872" s="1" t="s">
        <v>181</v>
      </c>
      <c r="B872" s="1" t="s">
        <v>15549</v>
      </c>
      <c r="C872" s="1"/>
      <c r="D872" s="1"/>
      <c r="E872" s="1"/>
      <c r="F872" s="1" t="s">
        <v>15550</v>
      </c>
      <c r="G872" s="1"/>
      <c r="H872" s="1"/>
      <c r="I872" s="1" t="s">
        <v>15551</v>
      </c>
      <c r="J872" s="1" t="s">
        <v>15552</v>
      </c>
      <c r="K872" s="1"/>
      <c r="L872" s="1"/>
      <c r="M872" s="1" t="s">
        <v>78</v>
      </c>
      <c r="N872" s="1" t="s">
        <v>186</v>
      </c>
      <c r="O872" s="1"/>
      <c r="P872" s="1"/>
      <c r="Q872" s="1"/>
      <c r="R872" s="1"/>
      <c r="S872" s="1"/>
      <c r="T872" s="1" t="s">
        <v>15553</v>
      </c>
      <c r="U872" s="1" t="s">
        <v>15554</v>
      </c>
      <c r="V872" s="1" t="s">
        <v>15555</v>
      </c>
      <c r="W872" s="1" t="s">
        <v>15556</v>
      </c>
      <c r="X872" s="1" t="s">
        <v>15557</v>
      </c>
      <c r="Y872" s="1" t="s">
        <v>15558</v>
      </c>
      <c r="Z872" s="1" t="s">
        <v>15559</v>
      </c>
      <c r="AA872" s="1" t="s">
        <v>15560</v>
      </c>
      <c r="AB872" s="1" t="s">
        <v>15561</v>
      </c>
      <c r="AC872" s="1" t="s">
        <v>15562</v>
      </c>
      <c r="AD872" s="1" t="s">
        <v>15563</v>
      </c>
      <c r="AE872" s="1" t="s">
        <v>15564</v>
      </c>
      <c r="AF872" s="1"/>
      <c r="AG872" s="1" t="n">
        <v>31</v>
      </c>
      <c r="AH872" s="1" t="n">
        <v>4</v>
      </c>
      <c r="AI872" s="1" t="n">
        <v>5</v>
      </c>
      <c r="AJ872" s="1" t="n">
        <v>0</v>
      </c>
      <c r="AK872" s="1" t="n">
        <v>6</v>
      </c>
      <c r="AL872" s="1" t="s">
        <v>600</v>
      </c>
      <c r="AM872" s="1" t="s">
        <v>601</v>
      </c>
      <c r="AN872" s="1" t="s">
        <v>602</v>
      </c>
      <c r="AO872" s="1" t="s">
        <v>15565</v>
      </c>
      <c r="AP872" s="1" t="s">
        <v>15566</v>
      </c>
      <c r="AQ872" s="1"/>
      <c r="AR872" s="1" t="s">
        <v>15567</v>
      </c>
      <c r="AS872" s="1" t="s">
        <v>15568</v>
      </c>
      <c r="AT872" s="1" t="s">
        <v>372</v>
      </c>
      <c r="AU872" s="1" t="n">
        <v>2022</v>
      </c>
      <c r="AV872" s="1" t="n">
        <v>34</v>
      </c>
      <c r="AW872" s="1" t="n">
        <v>8</v>
      </c>
      <c r="AX872" s="1"/>
      <c r="AY872" s="1"/>
      <c r="AZ872" s="1"/>
      <c r="BA872" s="1"/>
      <c r="BB872" s="1" t="n">
        <v>1206</v>
      </c>
      <c r="BC872" s="1" t="n">
        <v>1212</v>
      </c>
      <c r="BD872" s="1"/>
      <c r="BE872" s="1" t="s">
        <v>15569</v>
      </c>
      <c r="BF872" s="1" t="str">
        <f aca="false">HYPERLINK("http://dx.doi.org/10.1111/jerd.12942","http://dx.doi.org/10.1111/jerd.12942")</f>
        <v>http://dx.doi.org/10.1111/jerd.12942</v>
      </c>
      <c r="BG872" s="1"/>
      <c r="BH872" s="1" t="s">
        <v>1701</v>
      </c>
      <c r="BI872" s="1" t="n">
        <v>7</v>
      </c>
      <c r="BJ872" s="1" t="s">
        <v>4910</v>
      </c>
      <c r="BK872" s="1" t="s">
        <v>204</v>
      </c>
      <c r="BL872" s="1" t="s">
        <v>4910</v>
      </c>
      <c r="BM872" s="1" t="s">
        <v>15570</v>
      </c>
      <c r="BN872" s="1" t="n">
        <v>35851989</v>
      </c>
      <c r="BO872" s="1"/>
      <c r="BP872" s="1"/>
      <c r="BQ872" s="1"/>
      <c r="BR872" s="1" t="s">
        <v>103</v>
      </c>
      <c r="BS872" s="1" t="s">
        <v>15571</v>
      </c>
      <c r="BT872" s="1" t="str">
        <f aca="false">HYPERLINK("https%3A%2F%2Fwww.webofscience.com%2Fwos%2Fwoscc%2Ffull-record%2FWOS:000826861000001","View Full Record in Web of Science")</f>
        <v>View Full Record in Web of Science</v>
      </c>
    </row>
    <row r="873" customFormat="false" ht="12.75" hidden="false" customHeight="false" outlineLevel="0" collapsed="false">
      <c r="A873" s="1" t="s">
        <v>181</v>
      </c>
      <c r="B873" s="1" t="s">
        <v>15467</v>
      </c>
      <c r="C873" s="1"/>
      <c r="D873" s="1"/>
      <c r="E873" s="1"/>
      <c r="F873" s="1" t="s">
        <v>15468</v>
      </c>
      <c r="G873" s="1"/>
      <c r="H873" s="1"/>
      <c r="I873" s="1" t="s">
        <v>15572</v>
      </c>
      <c r="J873" s="1" t="s">
        <v>15470</v>
      </c>
      <c r="K873" s="1"/>
      <c r="L873" s="1"/>
      <c r="M873" s="1" t="s">
        <v>78</v>
      </c>
      <c r="N873" s="1" t="s">
        <v>186</v>
      </c>
      <c r="O873" s="1"/>
      <c r="P873" s="1"/>
      <c r="Q873" s="1"/>
      <c r="R873" s="1"/>
      <c r="S873" s="1"/>
      <c r="T873" s="1" t="s">
        <v>15471</v>
      </c>
      <c r="U873" s="1"/>
      <c r="V873" s="1" t="s">
        <v>15473</v>
      </c>
      <c r="W873" s="1" t="s">
        <v>15474</v>
      </c>
      <c r="X873" s="1" t="s">
        <v>15119</v>
      </c>
      <c r="Y873" s="1" t="s">
        <v>15573</v>
      </c>
      <c r="Z873" s="1" t="s">
        <v>15476</v>
      </c>
      <c r="AA873" s="1" t="s">
        <v>15477</v>
      </c>
      <c r="AB873" s="1" t="s">
        <v>15574</v>
      </c>
      <c r="AC873" s="1" t="s">
        <v>15479</v>
      </c>
      <c r="AD873" s="1" t="s">
        <v>15479</v>
      </c>
      <c r="AE873" s="1" t="s">
        <v>15575</v>
      </c>
      <c r="AF873" s="1"/>
      <c r="AG873" s="1" t="n">
        <v>6</v>
      </c>
      <c r="AH873" s="1" t="n">
        <v>2</v>
      </c>
      <c r="AI873" s="1" t="n">
        <v>2</v>
      </c>
      <c r="AJ873" s="1" t="n">
        <v>0</v>
      </c>
      <c r="AK873" s="1" t="n">
        <v>1</v>
      </c>
      <c r="AL873" s="1" t="s">
        <v>15481</v>
      </c>
      <c r="AM873" s="1" t="s">
        <v>1908</v>
      </c>
      <c r="AN873" s="1" t="s">
        <v>15482</v>
      </c>
      <c r="AO873" s="1" t="s">
        <v>15483</v>
      </c>
      <c r="AP873" s="1" t="s">
        <v>15484</v>
      </c>
      <c r="AQ873" s="1"/>
      <c r="AR873" s="1" t="s">
        <v>15485</v>
      </c>
      <c r="AS873" s="1" t="s">
        <v>15486</v>
      </c>
      <c r="AT873" s="1" t="s">
        <v>2698</v>
      </c>
      <c r="AU873" s="1" t="n">
        <v>2021</v>
      </c>
      <c r="AV873" s="1" t="n">
        <v>30</v>
      </c>
      <c r="AW873" s="1" t="n">
        <v>6</v>
      </c>
      <c r="AX873" s="1"/>
      <c r="AY873" s="1" t="s">
        <v>14511</v>
      </c>
      <c r="AZ873" s="1"/>
      <c r="BA873" s="1"/>
      <c r="BB873" s="1" t="s">
        <v>15576</v>
      </c>
      <c r="BC873" s="1" t="s">
        <v>15577</v>
      </c>
      <c r="BD873" s="1"/>
      <c r="BE873" s="1" t="s">
        <v>15578</v>
      </c>
      <c r="BF873" s="1" t="str">
        <f aca="false">HYPERLINK("http://dx.doi.org/10.12968/jowc.2021.30.Sup6.S23","http://dx.doi.org/10.12968/jowc.2021.30.Sup6.S23")</f>
        <v>http://dx.doi.org/10.12968/jowc.2021.30.Sup6.S23</v>
      </c>
      <c r="BG873" s="1"/>
      <c r="BH873" s="1"/>
      <c r="BI873" s="1" t="n">
        <v>10</v>
      </c>
      <c r="BJ873" s="1" t="s">
        <v>15490</v>
      </c>
      <c r="BK873" s="1" t="s">
        <v>204</v>
      </c>
      <c r="BL873" s="1" t="s">
        <v>15490</v>
      </c>
      <c r="BM873" s="1" t="s">
        <v>15579</v>
      </c>
      <c r="BN873" s="1" t="n">
        <v>34120467</v>
      </c>
      <c r="BO873" s="1"/>
      <c r="BP873" s="1"/>
      <c r="BQ873" s="1"/>
      <c r="BR873" s="1" t="s">
        <v>103</v>
      </c>
      <c r="BS873" s="1" t="s">
        <v>15580</v>
      </c>
      <c r="BT873" s="1" t="str">
        <f aca="false">HYPERLINK("https%3A%2F%2Fwww.webofscience.com%2Fwos%2Fwoscc%2Ffull-record%2FWOS:000662222000004","View Full Record in Web of Science")</f>
        <v>View Full Record in Web of Science</v>
      </c>
    </row>
    <row r="874" customFormat="false" ht="12.75" hidden="false" customHeight="false" outlineLevel="0" collapsed="false">
      <c r="A874" s="1" t="s">
        <v>181</v>
      </c>
      <c r="B874" s="1" t="s">
        <v>15581</v>
      </c>
      <c r="C874" s="1"/>
      <c r="D874" s="1"/>
      <c r="E874" s="1"/>
      <c r="F874" s="1" t="s">
        <v>15582</v>
      </c>
      <c r="G874" s="1"/>
      <c r="H874" s="1"/>
      <c r="I874" s="1" t="s">
        <v>15583</v>
      </c>
      <c r="J874" s="1" t="s">
        <v>12646</v>
      </c>
      <c r="K874" s="1"/>
      <c r="L874" s="1"/>
      <c r="M874" s="1" t="s">
        <v>78</v>
      </c>
      <c r="N874" s="1" t="s">
        <v>186</v>
      </c>
      <c r="O874" s="1"/>
      <c r="P874" s="1"/>
      <c r="Q874" s="1"/>
      <c r="R874" s="1"/>
      <c r="S874" s="1"/>
      <c r="T874" s="1" t="s">
        <v>15584</v>
      </c>
      <c r="U874" s="1" t="s">
        <v>15585</v>
      </c>
      <c r="V874" s="1" t="s">
        <v>15586</v>
      </c>
      <c r="W874" s="1" t="s">
        <v>15587</v>
      </c>
      <c r="X874" s="1" t="s">
        <v>15588</v>
      </c>
      <c r="Y874" s="1" t="s">
        <v>15589</v>
      </c>
      <c r="Z874" s="1" t="s">
        <v>15590</v>
      </c>
      <c r="AA874" s="1" t="s">
        <v>14489</v>
      </c>
      <c r="AB874" s="1" t="s">
        <v>14490</v>
      </c>
      <c r="AC874" s="1" t="s">
        <v>268</v>
      </c>
      <c r="AD874" s="1" t="s">
        <v>268</v>
      </c>
      <c r="AE874" s="1" t="s">
        <v>269</v>
      </c>
      <c r="AF874" s="1"/>
      <c r="AG874" s="1" t="n">
        <v>58</v>
      </c>
      <c r="AH874" s="1" t="n">
        <v>0</v>
      </c>
      <c r="AI874" s="1" t="n">
        <v>0</v>
      </c>
      <c r="AJ874" s="1" t="n">
        <v>1</v>
      </c>
      <c r="AK874" s="1" t="n">
        <v>6</v>
      </c>
      <c r="AL874" s="1" t="s">
        <v>679</v>
      </c>
      <c r="AM874" s="1" t="s">
        <v>95</v>
      </c>
      <c r="AN874" s="1" t="s">
        <v>803</v>
      </c>
      <c r="AO874" s="1" t="s">
        <v>12657</v>
      </c>
      <c r="AP874" s="1" t="s">
        <v>12658</v>
      </c>
      <c r="AQ874" s="1"/>
      <c r="AR874" s="1" t="s">
        <v>12659</v>
      </c>
      <c r="AS874" s="1" t="s">
        <v>12660</v>
      </c>
      <c r="AT874" s="1" t="s">
        <v>372</v>
      </c>
      <c r="AU874" s="1" t="n">
        <v>2022</v>
      </c>
      <c r="AV874" s="1" t="n">
        <v>69</v>
      </c>
      <c r="AW874" s="1" t="n">
        <v>3</v>
      </c>
      <c r="AX874" s="1"/>
      <c r="AY874" s="1"/>
      <c r="AZ874" s="1" t="s">
        <v>1698</v>
      </c>
      <c r="BA874" s="1"/>
      <c r="BB874" s="1" t="n">
        <v>611</v>
      </c>
      <c r="BC874" s="1" t="n">
        <v>631</v>
      </c>
      <c r="BD874" s="1"/>
      <c r="BE874" s="1" t="s">
        <v>15591</v>
      </c>
      <c r="BF874" s="1" t="str">
        <f aca="false">HYPERLINK("http://dx.doi.org/10.1007/s00168-022-01156-4","http://dx.doi.org/10.1007/s00168-022-01156-4")</f>
        <v>http://dx.doi.org/10.1007/s00168-022-01156-4</v>
      </c>
      <c r="BG874" s="1"/>
      <c r="BH874" s="1" t="s">
        <v>1701</v>
      </c>
      <c r="BI874" s="1" t="n">
        <v>21</v>
      </c>
      <c r="BJ874" s="1" t="s">
        <v>5757</v>
      </c>
      <c r="BK874" s="1" t="s">
        <v>610</v>
      </c>
      <c r="BL874" s="1" t="s">
        <v>5758</v>
      </c>
      <c r="BM874" s="1" t="s">
        <v>15592</v>
      </c>
      <c r="BN874" s="1"/>
      <c r="BO874" s="1" t="s">
        <v>282</v>
      </c>
      <c r="BP874" s="1"/>
      <c r="BQ874" s="1"/>
      <c r="BR874" s="1" t="s">
        <v>103</v>
      </c>
      <c r="BS874" s="1" t="s">
        <v>15593</v>
      </c>
      <c r="BT874" s="1" t="str">
        <f aca="false">HYPERLINK("https%3A%2F%2Fwww.webofscience.com%2Fwos%2Fwoscc%2Ffull-record%2FWOS:000825002100001","View Full Record in Web of Science")</f>
        <v>View Full Record in Web of Science</v>
      </c>
    </row>
    <row r="875" customFormat="false" ht="12.75" hidden="false" customHeight="false" outlineLevel="0" collapsed="false">
      <c r="A875" s="1" t="s">
        <v>181</v>
      </c>
      <c r="B875" s="1" t="s">
        <v>15594</v>
      </c>
      <c r="C875" s="1"/>
      <c r="D875" s="1"/>
      <c r="E875" s="1"/>
      <c r="F875" s="1" t="s">
        <v>15595</v>
      </c>
      <c r="G875" s="1"/>
      <c r="H875" s="1"/>
      <c r="I875" s="1" t="s">
        <v>15596</v>
      </c>
      <c r="J875" s="1" t="s">
        <v>671</v>
      </c>
      <c r="K875" s="1"/>
      <c r="L875" s="1"/>
      <c r="M875" s="1" t="s">
        <v>78</v>
      </c>
      <c r="N875" s="1" t="s">
        <v>186</v>
      </c>
      <c r="O875" s="1"/>
      <c r="P875" s="1"/>
      <c r="Q875" s="1"/>
      <c r="R875" s="1"/>
      <c r="S875" s="1"/>
      <c r="T875" s="1" t="s">
        <v>15597</v>
      </c>
      <c r="U875" s="1"/>
      <c r="V875" s="1" t="s">
        <v>15598</v>
      </c>
      <c r="W875" s="1" t="s">
        <v>15599</v>
      </c>
      <c r="X875" s="1" t="s">
        <v>15600</v>
      </c>
      <c r="Y875" s="1" t="s">
        <v>15601</v>
      </c>
      <c r="Z875" s="1" t="s">
        <v>15602</v>
      </c>
      <c r="AA875" s="1" t="s">
        <v>15603</v>
      </c>
      <c r="AB875" s="1" t="s">
        <v>15604</v>
      </c>
      <c r="AC875" s="1" t="s">
        <v>15605</v>
      </c>
      <c r="AD875" s="1" t="s">
        <v>15606</v>
      </c>
      <c r="AE875" s="1" t="s">
        <v>15607</v>
      </c>
      <c r="AF875" s="1"/>
      <c r="AG875" s="1" t="n">
        <v>72</v>
      </c>
      <c r="AH875" s="1" t="n">
        <v>29</v>
      </c>
      <c r="AI875" s="1" t="n">
        <v>30</v>
      </c>
      <c r="AJ875" s="1" t="n">
        <v>1</v>
      </c>
      <c r="AK875" s="1" t="n">
        <v>20</v>
      </c>
      <c r="AL875" s="1" t="s">
        <v>679</v>
      </c>
      <c r="AM875" s="1" t="s">
        <v>680</v>
      </c>
      <c r="AN875" s="1" t="s">
        <v>681</v>
      </c>
      <c r="AO875" s="1" t="s">
        <v>682</v>
      </c>
      <c r="AP875" s="1" t="s">
        <v>683</v>
      </c>
      <c r="AQ875" s="1"/>
      <c r="AR875" s="1" t="s">
        <v>684</v>
      </c>
      <c r="AS875" s="1" t="s">
        <v>685</v>
      </c>
      <c r="AT875" s="1" t="s">
        <v>15608</v>
      </c>
      <c r="AU875" s="1" t="n">
        <v>2021</v>
      </c>
      <c r="AV875" s="1" t="n">
        <v>26</v>
      </c>
      <c r="AW875" s="1" t="n">
        <v>3</v>
      </c>
      <c r="AX875" s="1"/>
      <c r="AY875" s="1"/>
      <c r="AZ875" s="1"/>
      <c r="BA875" s="1"/>
      <c r="BB875" s="1"/>
      <c r="BC875" s="1"/>
      <c r="BD875" s="1" t="n">
        <v>36</v>
      </c>
      <c r="BE875" s="1" t="s">
        <v>15609</v>
      </c>
      <c r="BF875" s="1" t="str">
        <f aca="false">HYPERLINK("http://dx.doi.org/10.1007/s10664-020-09934-4","http://dx.doi.org/10.1007/s10664-020-09934-4")</f>
        <v>http://dx.doi.org/10.1007/s10664-020-09934-4</v>
      </c>
      <c r="BG875" s="1"/>
      <c r="BH875" s="1"/>
      <c r="BI875" s="1" t="n">
        <v>51</v>
      </c>
      <c r="BJ875" s="1" t="s">
        <v>252</v>
      </c>
      <c r="BK875" s="1" t="s">
        <v>204</v>
      </c>
      <c r="BL875" s="1" t="s">
        <v>101</v>
      </c>
      <c r="BM875" s="1" t="s">
        <v>15610</v>
      </c>
      <c r="BN875" s="1" t="n">
        <v>33776548</v>
      </c>
      <c r="BO875" s="1" t="s">
        <v>15611</v>
      </c>
      <c r="BP875" s="1"/>
      <c r="BQ875" s="1"/>
      <c r="BR875" s="1" t="s">
        <v>103</v>
      </c>
      <c r="BS875" s="1" t="s">
        <v>15612</v>
      </c>
      <c r="BT875" s="1" t="str">
        <f aca="false">HYPERLINK("https%3A%2F%2Fwww.webofscience.com%2Fwos%2Fwoscc%2Ffull-record%2FWOS:000631083100001","View Full Record in Web of Science")</f>
        <v>View Full Record in Web of Science</v>
      </c>
    </row>
    <row r="876" customFormat="false" ht="12.75" hidden="false" customHeight="false" outlineLevel="0" collapsed="false">
      <c r="A876" s="1" t="s">
        <v>181</v>
      </c>
      <c r="B876" s="1" t="s">
        <v>15613</v>
      </c>
      <c r="C876" s="1"/>
      <c r="D876" s="1"/>
      <c r="E876" s="1"/>
      <c r="F876" s="1" t="s">
        <v>15614</v>
      </c>
      <c r="G876" s="1"/>
      <c r="H876" s="1"/>
      <c r="I876" s="1" t="s">
        <v>15615</v>
      </c>
      <c r="J876" s="1" t="s">
        <v>4722</v>
      </c>
      <c r="K876" s="1"/>
      <c r="L876" s="1"/>
      <c r="M876" s="1" t="s">
        <v>78</v>
      </c>
      <c r="N876" s="1" t="s">
        <v>186</v>
      </c>
      <c r="O876" s="1"/>
      <c r="P876" s="1"/>
      <c r="Q876" s="1"/>
      <c r="R876" s="1"/>
      <c r="S876" s="1"/>
      <c r="T876" s="1" t="s">
        <v>15616</v>
      </c>
      <c r="U876" s="1" t="s">
        <v>15617</v>
      </c>
      <c r="V876" s="1" t="s">
        <v>15618</v>
      </c>
      <c r="W876" s="1" t="s">
        <v>15619</v>
      </c>
      <c r="X876" s="1" t="s">
        <v>15620</v>
      </c>
      <c r="Y876" s="1" t="s">
        <v>12837</v>
      </c>
      <c r="Z876" s="1" t="s">
        <v>11231</v>
      </c>
      <c r="AA876" s="1" t="s">
        <v>15621</v>
      </c>
      <c r="AB876" s="1"/>
      <c r="AC876" s="1" t="s">
        <v>1617</v>
      </c>
      <c r="AD876" s="1" t="s">
        <v>677</v>
      </c>
      <c r="AE876" s="1" t="s">
        <v>15622</v>
      </c>
      <c r="AF876" s="1"/>
      <c r="AG876" s="1" t="n">
        <v>42</v>
      </c>
      <c r="AH876" s="1" t="n">
        <v>32</v>
      </c>
      <c r="AI876" s="1" t="n">
        <v>32</v>
      </c>
      <c r="AJ876" s="1" t="n">
        <v>2</v>
      </c>
      <c r="AK876" s="1" t="n">
        <v>35</v>
      </c>
      <c r="AL876" s="1" t="s">
        <v>893</v>
      </c>
      <c r="AM876" s="1" t="s">
        <v>894</v>
      </c>
      <c r="AN876" s="1" t="s">
        <v>895</v>
      </c>
      <c r="AO876" s="1" t="s">
        <v>4727</v>
      </c>
      <c r="AP876" s="1"/>
      <c r="AQ876" s="1"/>
      <c r="AR876" s="1" t="s">
        <v>4728</v>
      </c>
      <c r="AS876" s="1" t="s">
        <v>4729</v>
      </c>
      <c r="AT876" s="1" t="s">
        <v>15623</v>
      </c>
      <c r="AU876" s="1" t="n">
        <v>2021</v>
      </c>
      <c r="AV876" s="1" t="n">
        <v>23</v>
      </c>
      <c r="AW876" s="1"/>
      <c r="AX876" s="1"/>
      <c r="AY876" s="1"/>
      <c r="AZ876" s="1"/>
      <c r="BA876" s="1"/>
      <c r="BB876" s="1"/>
      <c r="BC876" s="1"/>
      <c r="BD876" s="1" t="n">
        <v>100182</v>
      </c>
      <c r="BE876" s="1" t="s">
        <v>15624</v>
      </c>
      <c r="BF876" s="1" t="str">
        <f aca="false">HYPERLINK("http://dx.doi.org/10.1016/j.bdr.2020.100182","http://dx.doi.org/10.1016/j.bdr.2020.100182")</f>
        <v>http://dx.doi.org/10.1016/j.bdr.2020.100182</v>
      </c>
      <c r="BG876" s="1"/>
      <c r="BH876" s="1" t="s">
        <v>2728</v>
      </c>
      <c r="BI876" s="1" t="n">
        <v>13</v>
      </c>
      <c r="BJ876" s="1" t="s">
        <v>1529</v>
      </c>
      <c r="BK876" s="1" t="s">
        <v>204</v>
      </c>
      <c r="BL876" s="1" t="s">
        <v>101</v>
      </c>
      <c r="BM876" s="1" t="s">
        <v>15625</v>
      </c>
      <c r="BN876" s="1"/>
      <c r="BO876" s="1" t="s">
        <v>207</v>
      </c>
      <c r="BP876" s="1"/>
      <c r="BQ876" s="1"/>
      <c r="BR876" s="1" t="s">
        <v>103</v>
      </c>
      <c r="BS876" s="1" t="s">
        <v>15626</v>
      </c>
      <c r="BT876" s="1" t="str">
        <f aca="false">HYPERLINK("https%3A%2F%2Fwww.webofscience.com%2Fwos%2Fwoscc%2Ffull-record%2FWOS:000609166100006","View Full Record in Web of Science")</f>
        <v>View Full Record in Web of Science</v>
      </c>
    </row>
    <row r="877" customFormat="false" ht="12.75" hidden="false" customHeight="false" outlineLevel="0" collapsed="false">
      <c r="A877" s="1" t="s">
        <v>181</v>
      </c>
      <c r="B877" s="1" t="s">
        <v>15627</v>
      </c>
      <c r="C877" s="1"/>
      <c r="D877" s="1"/>
      <c r="E877" s="1"/>
      <c r="F877" s="1" t="s">
        <v>15628</v>
      </c>
      <c r="G877" s="1"/>
      <c r="H877" s="1"/>
      <c r="I877" s="1" t="s">
        <v>15629</v>
      </c>
      <c r="J877" s="1" t="s">
        <v>15630</v>
      </c>
      <c r="K877" s="1"/>
      <c r="L877" s="1"/>
      <c r="M877" s="1" t="s">
        <v>78</v>
      </c>
      <c r="N877" s="1" t="s">
        <v>186</v>
      </c>
      <c r="O877" s="1"/>
      <c r="P877" s="1"/>
      <c r="Q877" s="1"/>
      <c r="R877" s="1"/>
      <c r="S877" s="1"/>
      <c r="T877" s="1"/>
      <c r="U877" s="1" t="s">
        <v>15631</v>
      </c>
      <c r="V877" s="1" t="s">
        <v>15632</v>
      </c>
      <c r="W877" s="1" t="s">
        <v>15633</v>
      </c>
      <c r="X877" s="1" t="s">
        <v>15634</v>
      </c>
      <c r="Y877" s="1" t="s">
        <v>15635</v>
      </c>
      <c r="Z877" s="1" t="s">
        <v>15636</v>
      </c>
      <c r="AA877" s="1"/>
      <c r="AB877" s="1" t="s">
        <v>13546</v>
      </c>
      <c r="AC877" s="1"/>
      <c r="AD877" s="1"/>
      <c r="AE877" s="1"/>
      <c r="AF877" s="1"/>
      <c r="AG877" s="1" t="n">
        <v>52</v>
      </c>
      <c r="AH877" s="1" t="n">
        <v>0</v>
      </c>
      <c r="AI877" s="1" t="n">
        <v>0</v>
      </c>
      <c r="AJ877" s="1" t="n">
        <v>0</v>
      </c>
      <c r="AK877" s="1" t="n">
        <v>0</v>
      </c>
      <c r="AL877" s="1" t="s">
        <v>15637</v>
      </c>
      <c r="AM877" s="1" t="s">
        <v>15638</v>
      </c>
      <c r="AN877" s="1" t="s">
        <v>15639</v>
      </c>
      <c r="AO877" s="1" t="s">
        <v>15640</v>
      </c>
      <c r="AP877" s="1"/>
      <c r="AQ877" s="1"/>
      <c r="AR877" s="1" t="s">
        <v>15630</v>
      </c>
      <c r="AS877" s="1" t="s">
        <v>15641</v>
      </c>
      <c r="AT877" s="1" t="s">
        <v>15642</v>
      </c>
      <c r="AU877" s="1" t="n">
        <v>2024</v>
      </c>
      <c r="AV877" s="1" t="n">
        <v>19</v>
      </c>
      <c r="AW877" s="1" t="n">
        <v>2</v>
      </c>
      <c r="AX877" s="1"/>
      <c r="AY877" s="1"/>
      <c r="AZ877" s="1"/>
      <c r="BA877" s="1"/>
      <c r="BB877" s="1"/>
      <c r="BC877" s="1"/>
      <c r="BD877" s="1" t="s">
        <v>15643</v>
      </c>
      <c r="BE877" s="1" t="s">
        <v>15644</v>
      </c>
      <c r="BF877" s="1" t="str">
        <f aca="false">HYPERLINK("http://dx.doi.org/10.1371/journal.pone.0298693","http://dx.doi.org/10.1371/journal.pone.0298693")</f>
        <v>http://dx.doi.org/10.1371/journal.pone.0298693</v>
      </c>
      <c r="BG877" s="1"/>
      <c r="BH877" s="1"/>
      <c r="BI877" s="1" t="n">
        <v>19</v>
      </c>
      <c r="BJ877" s="1" t="s">
        <v>6557</v>
      </c>
      <c r="BK877" s="1" t="s">
        <v>204</v>
      </c>
      <c r="BL877" s="1" t="s">
        <v>6558</v>
      </c>
      <c r="BM877" s="1" t="s">
        <v>15645</v>
      </c>
      <c r="BN877" s="1" t="n">
        <v>38394141</v>
      </c>
      <c r="BO877" s="1" t="s">
        <v>401</v>
      </c>
      <c r="BP877" s="1"/>
      <c r="BQ877" s="1"/>
      <c r="BR877" s="1" t="s">
        <v>103</v>
      </c>
      <c r="BS877" s="1" t="s">
        <v>15646</v>
      </c>
      <c r="BT877" s="1" t="str">
        <f aca="false">HYPERLINK("https%3A%2F%2Fwww.webofscience.com%2Fwos%2Fwoscc%2Ffull-record%2FWOS:001174439300092","View Full Record in Web of Science")</f>
        <v>View Full Record in Web of Science</v>
      </c>
    </row>
    <row r="878" customFormat="false" ht="12.75" hidden="false" customHeight="false" outlineLevel="0" collapsed="false">
      <c r="A878" s="1" t="s">
        <v>181</v>
      </c>
      <c r="B878" s="1" t="s">
        <v>11656</v>
      </c>
      <c r="C878" s="1"/>
      <c r="D878" s="1"/>
      <c r="E878" s="1"/>
      <c r="F878" s="1" t="s">
        <v>11658</v>
      </c>
      <c r="G878" s="1"/>
      <c r="H878" s="1"/>
      <c r="I878" s="1" t="s">
        <v>15647</v>
      </c>
      <c r="J878" s="1" t="s">
        <v>3700</v>
      </c>
      <c r="K878" s="1"/>
      <c r="L878" s="1"/>
      <c r="M878" s="1" t="s">
        <v>78</v>
      </c>
      <c r="N878" s="1" t="s">
        <v>186</v>
      </c>
      <c r="O878" s="1"/>
      <c r="P878" s="1"/>
      <c r="Q878" s="1"/>
      <c r="R878" s="1"/>
      <c r="S878" s="1"/>
      <c r="T878" s="1" t="s">
        <v>15648</v>
      </c>
      <c r="U878" s="1" t="s">
        <v>15649</v>
      </c>
      <c r="V878" s="1" t="s">
        <v>15650</v>
      </c>
      <c r="W878" s="1" t="s">
        <v>15651</v>
      </c>
      <c r="X878" s="1" t="s">
        <v>10183</v>
      </c>
      <c r="Y878" s="1" t="s">
        <v>15652</v>
      </c>
      <c r="Z878" s="1" t="s">
        <v>15653</v>
      </c>
      <c r="AA878" s="1" t="s">
        <v>15654</v>
      </c>
      <c r="AB878" s="1" t="s">
        <v>15655</v>
      </c>
      <c r="AC878" s="1" t="s">
        <v>15656</v>
      </c>
      <c r="AD878" s="1" t="s">
        <v>15657</v>
      </c>
      <c r="AE878" s="1" t="s">
        <v>15658</v>
      </c>
      <c r="AF878" s="1"/>
      <c r="AG878" s="1" t="n">
        <v>76</v>
      </c>
      <c r="AH878" s="1" t="n">
        <v>5</v>
      </c>
      <c r="AI878" s="1" t="n">
        <v>5</v>
      </c>
      <c r="AJ878" s="1" t="n">
        <v>0</v>
      </c>
      <c r="AK878" s="1" t="n">
        <v>11</v>
      </c>
      <c r="AL878" s="1" t="s">
        <v>3711</v>
      </c>
      <c r="AM878" s="1" t="s">
        <v>95</v>
      </c>
      <c r="AN878" s="1" t="s">
        <v>3712</v>
      </c>
      <c r="AO878" s="1" t="s">
        <v>3713</v>
      </c>
      <c r="AP878" s="1" t="s">
        <v>3714</v>
      </c>
      <c r="AQ878" s="1"/>
      <c r="AR878" s="1" t="s">
        <v>3715</v>
      </c>
      <c r="AS878" s="1" t="s">
        <v>3716</v>
      </c>
      <c r="AT878" s="1" t="s">
        <v>1453</v>
      </c>
      <c r="AU878" s="1" t="n">
        <v>2023</v>
      </c>
      <c r="AV878" s="1" t="n">
        <v>195</v>
      </c>
      <c r="AW878" s="1"/>
      <c r="AX878" s="1"/>
      <c r="AY878" s="1"/>
      <c r="AZ878" s="1"/>
      <c r="BA878" s="1"/>
      <c r="BB878" s="1"/>
      <c r="BC878" s="1"/>
      <c r="BD878" s="1" t="n">
        <v>111523</v>
      </c>
      <c r="BE878" s="1" t="s">
        <v>15659</v>
      </c>
      <c r="BF878" s="1" t="str">
        <f aca="false">HYPERLINK("http://dx.doi.org/10.1016/j.jss.2022.111523","http://dx.doi.org/10.1016/j.jss.2022.111523")</f>
        <v>http://dx.doi.org/10.1016/j.jss.2022.111523</v>
      </c>
      <c r="BG878" s="1"/>
      <c r="BH878" s="1" t="s">
        <v>2461</v>
      </c>
      <c r="BI878" s="1" t="n">
        <v>21</v>
      </c>
      <c r="BJ878" s="1" t="s">
        <v>994</v>
      </c>
      <c r="BK878" s="1" t="s">
        <v>204</v>
      </c>
      <c r="BL878" s="1" t="s">
        <v>101</v>
      </c>
      <c r="BM878" s="1" t="s">
        <v>15660</v>
      </c>
      <c r="BN878" s="1"/>
      <c r="BO878" s="1"/>
      <c r="BP878" s="1"/>
      <c r="BQ878" s="1"/>
      <c r="BR878" s="1" t="s">
        <v>103</v>
      </c>
      <c r="BS878" s="1" t="s">
        <v>15661</v>
      </c>
      <c r="BT878" s="1" t="str">
        <f aca="false">HYPERLINK("https%3A%2F%2Fwww.webofscience.com%2Fwos%2Fwoscc%2Ffull-record%2FWOS:000875835500004","View Full Record in Web of Science")</f>
        <v>View Full Record in Web of Science</v>
      </c>
    </row>
    <row r="879" customFormat="false" ht="12.75" hidden="false" customHeight="false" outlineLevel="0" collapsed="false">
      <c r="A879" s="1" t="s">
        <v>181</v>
      </c>
      <c r="B879" s="1" t="s">
        <v>15662</v>
      </c>
      <c r="C879" s="1"/>
      <c r="D879" s="1"/>
      <c r="E879" s="1"/>
      <c r="F879" s="1" t="s">
        <v>15663</v>
      </c>
      <c r="G879" s="1"/>
      <c r="H879" s="1"/>
      <c r="I879" s="1" t="s">
        <v>15664</v>
      </c>
      <c r="J879" s="1" t="s">
        <v>15665</v>
      </c>
      <c r="K879" s="1"/>
      <c r="L879" s="1"/>
      <c r="M879" s="1" t="s">
        <v>78</v>
      </c>
      <c r="N879" s="1" t="s">
        <v>186</v>
      </c>
      <c r="O879" s="1"/>
      <c r="P879" s="1"/>
      <c r="Q879" s="1"/>
      <c r="R879" s="1"/>
      <c r="S879" s="1"/>
      <c r="T879" s="1" t="s">
        <v>15666</v>
      </c>
      <c r="U879" s="1" t="s">
        <v>15667</v>
      </c>
      <c r="V879" s="1" t="s">
        <v>15668</v>
      </c>
      <c r="W879" s="1" t="s">
        <v>15669</v>
      </c>
      <c r="X879" s="1" t="s">
        <v>15670</v>
      </c>
      <c r="Y879" s="1" t="s">
        <v>15671</v>
      </c>
      <c r="Z879" s="1" t="s">
        <v>15672</v>
      </c>
      <c r="AA879" s="1"/>
      <c r="AB879" s="1" t="s">
        <v>13546</v>
      </c>
      <c r="AC879" s="1" t="s">
        <v>15673</v>
      </c>
      <c r="AD879" s="1" t="s">
        <v>15673</v>
      </c>
      <c r="AE879" s="1" t="s">
        <v>15674</v>
      </c>
      <c r="AF879" s="1"/>
      <c r="AG879" s="1" t="n">
        <v>76</v>
      </c>
      <c r="AH879" s="1" t="n">
        <v>0</v>
      </c>
      <c r="AI879" s="1" t="n">
        <v>0</v>
      </c>
      <c r="AJ879" s="1" t="n">
        <v>2</v>
      </c>
      <c r="AK879" s="1" t="n">
        <v>2</v>
      </c>
      <c r="AL879" s="1" t="s">
        <v>8218</v>
      </c>
      <c r="AM879" s="1" t="s">
        <v>1908</v>
      </c>
      <c r="AN879" s="1" t="s">
        <v>8219</v>
      </c>
      <c r="AO879" s="1"/>
      <c r="AP879" s="1" t="s">
        <v>15675</v>
      </c>
      <c r="AQ879" s="1"/>
      <c r="AR879" s="1" t="s">
        <v>15676</v>
      </c>
      <c r="AS879" s="1" t="s">
        <v>15677</v>
      </c>
      <c r="AT879" s="1" t="s">
        <v>15678</v>
      </c>
      <c r="AU879" s="1" t="n">
        <v>2024</v>
      </c>
      <c r="AV879" s="1" t="n">
        <v>24</v>
      </c>
      <c r="AW879" s="1" t="n">
        <v>1</v>
      </c>
      <c r="AX879" s="1"/>
      <c r="AY879" s="1"/>
      <c r="AZ879" s="1"/>
      <c r="BA879" s="1"/>
      <c r="BB879" s="1"/>
      <c r="BC879" s="1"/>
      <c r="BD879" s="1" t="n">
        <v>1240</v>
      </c>
      <c r="BE879" s="1" t="s">
        <v>15679</v>
      </c>
      <c r="BF879" s="1" t="str">
        <f aca="false">HYPERLINK("http://dx.doi.org/10.1186/s12913-024-11708-3","http://dx.doi.org/10.1186/s12913-024-11708-3")</f>
        <v>http://dx.doi.org/10.1186/s12913-024-11708-3</v>
      </c>
      <c r="BG879" s="1"/>
      <c r="BH879" s="1"/>
      <c r="BI879" s="1" t="n">
        <v>13</v>
      </c>
      <c r="BJ879" s="1" t="s">
        <v>4452</v>
      </c>
      <c r="BK879" s="1" t="s">
        <v>204</v>
      </c>
      <c r="BL879" s="1" t="s">
        <v>4452</v>
      </c>
      <c r="BM879" s="1" t="s">
        <v>15680</v>
      </c>
      <c r="BN879" s="1" t="n">
        <v>39415155</v>
      </c>
      <c r="BO879" s="1" t="s">
        <v>642</v>
      </c>
      <c r="BP879" s="1"/>
      <c r="BQ879" s="1"/>
      <c r="BR879" s="1" t="s">
        <v>103</v>
      </c>
      <c r="BS879" s="1" t="s">
        <v>15681</v>
      </c>
      <c r="BT879" s="1" t="str">
        <f aca="false">HYPERLINK("https%3A%2F%2Fwww.webofscience.com%2Fwos%2Fwoscc%2Ffull-record%2FWOS:001334712600001","View Full Record in Web of Science")</f>
        <v>View Full Record in Web of Science</v>
      </c>
    </row>
    <row r="880" customFormat="false" ht="12.75" hidden="false" customHeight="false" outlineLevel="0" collapsed="false">
      <c r="A880" s="1" t="s">
        <v>181</v>
      </c>
      <c r="B880" s="1" t="s">
        <v>15682</v>
      </c>
      <c r="C880" s="1"/>
      <c r="D880" s="1"/>
      <c r="E880" s="1"/>
      <c r="F880" s="1" t="s">
        <v>15683</v>
      </c>
      <c r="G880" s="1"/>
      <c r="H880" s="1"/>
      <c r="I880" s="1" t="s">
        <v>15684</v>
      </c>
      <c r="J880" s="1" t="s">
        <v>12172</v>
      </c>
      <c r="K880" s="1"/>
      <c r="L880" s="1"/>
      <c r="M880" s="1" t="s">
        <v>78</v>
      </c>
      <c r="N880" s="1" t="s">
        <v>186</v>
      </c>
      <c r="O880" s="1"/>
      <c r="P880" s="1"/>
      <c r="Q880" s="1"/>
      <c r="R880" s="1"/>
      <c r="S880" s="1"/>
      <c r="T880" s="1" t="s">
        <v>15685</v>
      </c>
      <c r="U880" s="1"/>
      <c r="V880" s="1" t="s">
        <v>15686</v>
      </c>
      <c r="W880" s="1" t="s">
        <v>15687</v>
      </c>
      <c r="X880" s="1" t="s">
        <v>15688</v>
      </c>
      <c r="Y880" s="1" t="s">
        <v>15689</v>
      </c>
      <c r="Z880" s="1" t="s">
        <v>15690</v>
      </c>
      <c r="AA880" s="1" t="s">
        <v>15691</v>
      </c>
      <c r="AB880" s="1" t="s">
        <v>15692</v>
      </c>
      <c r="AC880" s="1"/>
      <c r="AD880" s="1"/>
      <c r="AE880" s="1"/>
      <c r="AF880" s="1"/>
      <c r="AG880" s="1" t="n">
        <v>75</v>
      </c>
      <c r="AH880" s="1" t="n">
        <v>7</v>
      </c>
      <c r="AI880" s="1" t="n">
        <v>7</v>
      </c>
      <c r="AJ880" s="1" t="n">
        <v>2</v>
      </c>
      <c r="AK880" s="1" t="n">
        <v>32</v>
      </c>
      <c r="AL880" s="1" t="s">
        <v>3711</v>
      </c>
      <c r="AM880" s="1" t="s">
        <v>95</v>
      </c>
      <c r="AN880" s="1" t="s">
        <v>3712</v>
      </c>
      <c r="AO880" s="1" t="s">
        <v>12180</v>
      </c>
      <c r="AP880" s="1" t="s">
        <v>12181</v>
      </c>
      <c r="AQ880" s="1"/>
      <c r="AR880" s="1" t="s">
        <v>12182</v>
      </c>
      <c r="AS880" s="1" t="s">
        <v>12183</v>
      </c>
      <c r="AT880" s="1" t="s">
        <v>1453</v>
      </c>
      <c r="AU880" s="1" t="n">
        <v>2021</v>
      </c>
      <c r="AV880" s="1" t="n">
        <v>162</v>
      </c>
      <c r="AW880" s="1"/>
      <c r="AX880" s="1"/>
      <c r="AY880" s="1"/>
      <c r="AZ880" s="1"/>
      <c r="BA880" s="1"/>
      <c r="BB880" s="1"/>
      <c r="BC880" s="1"/>
      <c r="BD880" s="1" t="n">
        <v>120404</v>
      </c>
      <c r="BE880" s="1" t="s">
        <v>15693</v>
      </c>
      <c r="BF880" s="1" t="str">
        <f aca="false">HYPERLINK("http://dx.doi.org/10.1016/j.techfore.2020.120404","http://dx.doi.org/10.1016/j.techfore.2020.120404")</f>
        <v>http://dx.doi.org/10.1016/j.techfore.2020.120404</v>
      </c>
      <c r="BG880" s="1"/>
      <c r="BH880" s="1"/>
      <c r="BI880" s="1" t="n">
        <v>16</v>
      </c>
      <c r="BJ880" s="1" t="s">
        <v>12185</v>
      </c>
      <c r="BK880" s="1" t="s">
        <v>610</v>
      </c>
      <c r="BL880" s="1" t="s">
        <v>9153</v>
      </c>
      <c r="BM880" s="1" t="s">
        <v>15694</v>
      </c>
      <c r="BN880" s="1"/>
      <c r="BO880" s="1"/>
      <c r="BP880" s="1"/>
      <c r="BQ880" s="1"/>
      <c r="BR880" s="1" t="s">
        <v>103</v>
      </c>
      <c r="BS880" s="1" t="s">
        <v>15695</v>
      </c>
      <c r="BT880" s="1" t="str">
        <f aca="false">HYPERLINK("https%3A%2F%2Fwww.webofscience.com%2Fwos%2Fwoscc%2Ffull-record%2FWOS:000621378100019","View Full Record in Web of Science")</f>
        <v>View Full Record in Web of Science</v>
      </c>
    </row>
    <row r="881" customFormat="false" ht="12.75" hidden="false" customHeight="false" outlineLevel="0" collapsed="false">
      <c r="A881" s="1" t="s">
        <v>181</v>
      </c>
      <c r="B881" s="1" t="s">
        <v>15696</v>
      </c>
      <c r="C881" s="1"/>
      <c r="D881" s="1"/>
      <c r="E881" s="1"/>
      <c r="F881" s="1" t="s">
        <v>15697</v>
      </c>
      <c r="G881" s="1"/>
      <c r="H881" s="1"/>
      <c r="I881" s="1" t="s">
        <v>15698</v>
      </c>
      <c r="J881" s="1" t="s">
        <v>15699</v>
      </c>
      <c r="K881" s="1"/>
      <c r="L881" s="1"/>
      <c r="M881" s="1" t="s">
        <v>78</v>
      </c>
      <c r="N881" s="1" t="s">
        <v>186</v>
      </c>
      <c r="O881" s="1"/>
      <c r="P881" s="1"/>
      <c r="Q881" s="1"/>
      <c r="R881" s="1"/>
      <c r="S881" s="1"/>
      <c r="T881" s="1" t="s">
        <v>15700</v>
      </c>
      <c r="U881" s="1" t="s">
        <v>15701</v>
      </c>
      <c r="V881" s="1" t="s">
        <v>15702</v>
      </c>
      <c r="W881" s="1" t="s">
        <v>15703</v>
      </c>
      <c r="X881" s="1" t="s">
        <v>15704</v>
      </c>
      <c r="Y881" s="1" t="s">
        <v>15705</v>
      </c>
      <c r="Z881" s="1" t="s">
        <v>15706</v>
      </c>
      <c r="AA881" s="1" t="s">
        <v>7501</v>
      </c>
      <c r="AB881" s="1" t="s">
        <v>15707</v>
      </c>
      <c r="AC881" s="1" t="s">
        <v>15708</v>
      </c>
      <c r="AD881" s="1" t="s">
        <v>15709</v>
      </c>
      <c r="AE881" s="1" t="s">
        <v>15710</v>
      </c>
      <c r="AF881" s="1"/>
      <c r="AG881" s="1" t="n">
        <v>42</v>
      </c>
      <c r="AH881" s="1" t="n">
        <v>26</v>
      </c>
      <c r="AI881" s="1" t="n">
        <v>27</v>
      </c>
      <c r="AJ881" s="1" t="n">
        <v>5</v>
      </c>
      <c r="AK881" s="1" t="n">
        <v>16</v>
      </c>
      <c r="AL881" s="1" t="s">
        <v>195</v>
      </c>
      <c r="AM881" s="1" t="s">
        <v>196</v>
      </c>
      <c r="AN881" s="1" t="s">
        <v>197</v>
      </c>
      <c r="AO881" s="1" t="s">
        <v>15711</v>
      </c>
      <c r="AP881" s="1" t="s">
        <v>15712</v>
      </c>
      <c r="AQ881" s="1"/>
      <c r="AR881" s="1" t="s">
        <v>15713</v>
      </c>
      <c r="AS881" s="1" t="s">
        <v>15714</v>
      </c>
      <c r="AT881" s="1" t="s">
        <v>2698</v>
      </c>
      <c r="AU881" s="1" t="n">
        <v>2023</v>
      </c>
      <c r="AV881" s="1" t="n">
        <v>40</v>
      </c>
      <c r="AW881" s="1" t="n">
        <v>4</v>
      </c>
      <c r="AX881" s="1"/>
      <c r="AY881" s="1"/>
      <c r="AZ881" s="1"/>
      <c r="BA881" s="1"/>
      <c r="BB881" s="1" t="n">
        <v>92</v>
      </c>
      <c r="BC881" s="1" t="n">
        <v>106</v>
      </c>
      <c r="BD881" s="1"/>
      <c r="BE881" s="1" t="s">
        <v>15715</v>
      </c>
      <c r="BF881" s="1" t="str">
        <f aca="false">HYPERLINK("http://dx.doi.org/10.1109/MSP.2023.3255558","http://dx.doi.org/10.1109/MSP.2023.3255558")</f>
        <v>http://dx.doi.org/10.1109/MSP.2023.3255558</v>
      </c>
      <c r="BG881" s="1"/>
      <c r="BH881" s="1"/>
      <c r="BI881" s="1" t="n">
        <v>15</v>
      </c>
      <c r="BJ881" s="1" t="s">
        <v>4421</v>
      </c>
      <c r="BK881" s="1" t="s">
        <v>204</v>
      </c>
      <c r="BL881" s="1" t="s">
        <v>640</v>
      </c>
      <c r="BM881" s="1" t="s">
        <v>15716</v>
      </c>
      <c r="BN881" s="1"/>
      <c r="BO881" s="1" t="s">
        <v>13022</v>
      </c>
      <c r="BP881" s="1"/>
      <c r="BQ881" s="1"/>
      <c r="BR881" s="1" t="s">
        <v>103</v>
      </c>
      <c r="BS881" s="1" t="s">
        <v>15717</v>
      </c>
      <c r="BT881" s="1" t="str">
        <f aca="false">HYPERLINK("https%3A%2F%2Fwww.webofscience.com%2Fwos%2Fwoscc%2Ffull-record%2FWOS:001004238400010","View Full Record in Web of Science")</f>
        <v>View Full Record in Web of Science</v>
      </c>
    </row>
    <row r="882" customFormat="false" ht="12.75" hidden="false" customHeight="false" outlineLevel="0" collapsed="false">
      <c r="A882" s="1" t="s">
        <v>181</v>
      </c>
      <c r="B882" s="1" t="s">
        <v>15718</v>
      </c>
      <c r="C882" s="1"/>
      <c r="D882" s="1"/>
      <c r="E882" s="1"/>
      <c r="F882" s="1" t="s">
        <v>15719</v>
      </c>
      <c r="G882" s="1"/>
      <c r="H882" s="1"/>
      <c r="I882" s="1" t="s">
        <v>15720</v>
      </c>
      <c r="J882" s="1" t="s">
        <v>15721</v>
      </c>
      <c r="K882" s="1"/>
      <c r="L882" s="1"/>
      <c r="M882" s="1" t="s">
        <v>78</v>
      </c>
      <c r="N882" s="1" t="s">
        <v>186</v>
      </c>
      <c r="O882" s="1"/>
      <c r="P882" s="1"/>
      <c r="Q882" s="1"/>
      <c r="R882" s="1"/>
      <c r="S882" s="1"/>
      <c r="T882" s="1" t="s">
        <v>15722</v>
      </c>
      <c r="U882" s="1" t="s">
        <v>15723</v>
      </c>
      <c r="V882" s="1" t="s">
        <v>15724</v>
      </c>
      <c r="W882" s="1" t="s">
        <v>15725</v>
      </c>
      <c r="X882" s="1" t="s">
        <v>15726</v>
      </c>
      <c r="Y882" s="1" t="s">
        <v>15727</v>
      </c>
      <c r="Z882" s="1" t="s">
        <v>15145</v>
      </c>
      <c r="AA882" s="1" t="s">
        <v>15728</v>
      </c>
      <c r="AB882" s="1" t="s">
        <v>15729</v>
      </c>
      <c r="AC882" s="1"/>
      <c r="AD882" s="1"/>
      <c r="AE882" s="1"/>
      <c r="AF882" s="1"/>
      <c r="AG882" s="1" t="n">
        <v>56</v>
      </c>
      <c r="AH882" s="1" t="n">
        <v>4</v>
      </c>
      <c r="AI882" s="1" t="n">
        <v>4</v>
      </c>
      <c r="AJ882" s="1" t="n">
        <v>1</v>
      </c>
      <c r="AK882" s="1" t="n">
        <v>10</v>
      </c>
      <c r="AL882" s="1" t="s">
        <v>15730</v>
      </c>
      <c r="AM882" s="1" t="s">
        <v>15731</v>
      </c>
      <c r="AN882" s="1" t="s">
        <v>15732</v>
      </c>
      <c r="AO882" s="1" t="s">
        <v>15733</v>
      </c>
      <c r="AP882" s="1" t="s">
        <v>15734</v>
      </c>
      <c r="AQ882" s="1"/>
      <c r="AR882" s="1" t="s">
        <v>15735</v>
      </c>
      <c r="AS882" s="1" t="s">
        <v>15736</v>
      </c>
      <c r="AT882" s="1"/>
      <c r="AU882" s="1" t="n">
        <v>2023</v>
      </c>
      <c r="AV882" s="1" t="n">
        <v>75</v>
      </c>
      <c r="AW882" s="1" t="n">
        <v>2</v>
      </c>
      <c r="AX882" s="1"/>
      <c r="AY882" s="1"/>
      <c r="AZ882" s="1"/>
      <c r="BA882" s="1"/>
      <c r="BB882" s="1" t="n">
        <v>2491</v>
      </c>
      <c r="BC882" s="1" t="n">
        <v>2508</v>
      </c>
      <c r="BD882" s="1"/>
      <c r="BE882" s="1" t="s">
        <v>15737</v>
      </c>
      <c r="BF882" s="1" t="str">
        <f aca="false">HYPERLINK("http://dx.doi.org/10.32604/cmc.2023.033783","http://dx.doi.org/10.32604/cmc.2023.033783")</f>
        <v>http://dx.doi.org/10.32604/cmc.2023.033783</v>
      </c>
      <c r="BG882" s="1"/>
      <c r="BH882" s="1"/>
      <c r="BI882" s="1" t="n">
        <v>18</v>
      </c>
      <c r="BJ882" s="1" t="s">
        <v>15738</v>
      </c>
      <c r="BK882" s="1" t="s">
        <v>204</v>
      </c>
      <c r="BL882" s="1" t="s">
        <v>15739</v>
      </c>
      <c r="BM882" s="1" t="s">
        <v>15740</v>
      </c>
      <c r="BN882" s="1"/>
      <c r="BO882" s="1" t="s">
        <v>376</v>
      </c>
      <c r="BP882" s="1"/>
      <c r="BQ882" s="1"/>
      <c r="BR882" s="1" t="s">
        <v>103</v>
      </c>
      <c r="BS882" s="1" t="s">
        <v>15741</v>
      </c>
      <c r="BT882" s="1" t="str">
        <f aca="false">HYPERLINK("https%3A%2F%2Fwww.webofscience.com%2Fwos%2Fwoscc%2Ffull-record%2FWOS:000980836000009","View Full Record in Web of Science")</f>
        <v>View Full Record in Web of Science</v>
      </c>
    </row>
    <row r="883" customFormat="false" ht="12.75" hidden="false" customHeight="false" outlineLevel="0" collapsed="false">
      <c r="A883" s="1" t="s">
        <v>181</v>
      </c>
      <c r="B883" s="1" t="s">
        <v>15742</v>
      </c>
      <c r="C883" s="1"/>
      <c r="D883" s="1"/>
      <c r="E883" s="1"/>
      <c r="F883" s="1" t="s">
        <v>15743</v>
      </c>
      <c r="G883" s="1"/>
      <c r="H883" s="1"/>
      <c r="I883" s="1" t="s">
        <v>15744</v>
      </c>
      <c r="J883" s="1" t="s">
        <v>15745</v>
      </c>
      <c r="K883" s="1"/>
      <c r="L883" s="1"/>
      <c r="M883" s="1" t="s">
        <v>78</v>
      </c>
      <c r="N883" s="1" t="s">
        <v>186</v>
      </c>
      <c r="O883" s="1"/>
      <c r="P883" s="1"/>
      <c r="Q883" s="1"/>
      <c r="R883" s="1"/>
      <c r="S883" s="1"/>
      <c r="T883" s="1" t="s">
        <v>15746</v>
      </c>
      <c r="U883" s="1" t="s">
        <v>15747</v>
      </c>
      <c r="V883" s="1" t="s">
        <v>15748</v>
      </c>
      <c r="W883" s="1" t="s">
        <v>15749</v>
      </c>
      <c r="X883" s="1" t="s">
        <v>15750</v>
      </c>
      <c r="Y883" s="1" t="s">
        <v>15751</v>
      </c>
      <c r="Z883" s="1" t="s">
        <v>15752</v>
      </c>
      <c r="AA883" s="1" t="s">
        <v>15753</v>
      </c>
      <c r="AB883" s="1" t="s">
        <v>15754</v>
      </c>
      <c r="AC883" s="1"/>
      <c r="AD883" s="1"/>
      <c r="AE883" s="1"/>
      <c r="AF883" s="1"/>
      <c r="AG883" s="1" t="n">
        <v>92</v>
      </c>
      <c r="AH883" s="1" t="n">
        <v>0</v>
      </c>
      <c r="AI883" s="1" t="n">
        <v>0</v>
      </c>
      <c r="AJ883" s="1" t="n">
        <v>2</v>
      </c>
      <c r="AK883" s="1" t="n">
        <v>2</v>
      </c>
      <c r="AL883" s="1" t="s">
        <v>15755</v>
      </c>
      <c r="AM883" s="1" t="s">
        <v>15756</v>
      </c>
      <c r="AN883" s="1" t="s">
        <v>15757</v>
      </c>
      <c r="AO883" s="1" t="s">
        <v>15758</v>
      </c>
      <c r="AP883" s="1" t="s">
        <v>15759</v>
      </c>
      <c r="AQ883" s="1"/>
      <c r="AR883" s="1" t="s">
        <v>15760</v>
      </c>
      <c r="AS883" s="1" t="s">
        <v>15761</v>
      </c>
      <c r="AT883" s="1"/>
      <c r="AU883" s="1" t="n">
        <v>2024</v>
      </c>
      <c r="AV883" s="1" t="n">
        <v>17</v>
      </c>
      <c r="AW883" s="1" t="n">
        <v>3</v>
      </c>
      <c r="AX883" s="1"/>
      <c r="AY883" s="1"/>
      <c r="AZ883" s="1"/>
      <c r="BA883" s="1"/>
      <c r="BB883" s="1" t="n">
        <v>237</v>
      </c>
      <c r="BC883" s="1" t="n">
        <v>266</v>
      </c>
      <c r="BD883" s="1"/>
      <c r="BE883" s="1" t="s">
        <v>15762</v>
      </c>
      <c r="BF883" s="1" t="str">
        <f aca="false">HYPERLINK("http://dx.doi.org/10.14254/2071-789X.2024/17-3/13","http://dx.doi.org/10.14254/2071-789X.2024/17-3/13")</f>
        <v>http://dx.doi.org/10.14254/2071-789X.2024/17-3/13</v>
      </c>
      <c r="BG883" s="1"/>
      <c r="BH883" s="1"/>
      <c r="BI883" s="1" t="n">
        <v>30</v>
      </c>
      <c r="BJ883" s="1" t="s">
        <v>15763</v>
      </c>
      <c r="BK883" s="1" t="s">
        <v>253</v>
      </c>
      <c r="BL883" s="1" t="s">
        <v>715</v>
      </c>
      <c r="BM883" s="1" t="s">
        <v>15764</v>
      </c>
      <c r="BN883" s="1"/>
      <c r="BO883" s="1" t="s">
        <v>642</v>
      </c>
      <c r="BP883" s="1"/>
      <c r="BQ883" s="1"/>
      <c r="BR883" s="1" t="s">
        <v>103</v>
      </c>
      <c r="BS883" s="1" t="s">
        <v>15765</v>
      </c>
      <c r="BT883" s="1" t="str">
        <f aca="false">HYPERLINK("https%3A%2F%2Fwww.webofscience.com%2Fwos%2Fwoscc%2Ffull-record%2FWOS:001362063000013","View Full Record in Web of Science")</f>
        <v>View Full Record in Web of Science</v>
      </c>
    </row>
    <row r="884" customFormat="false" ht="12.75" hidden="false" customHeight="false" outlineLevel="0" collapsed="false">
      <c r="A884" s="1" t="s">
        <v>181</v>
      </c>
      <c r="B884" s="1" t="s">
        <v>15766</v>
      </c>
      <c r="C884" s="1"/>
      <c r="D884" s="1"/>
      <c r="E884" s="1"/>
      <c r="F884" s="1" t="s">
        <v>15767</v>
      </c>
      <c r="G884" s="1"/>
      <c r="H884" s="1"/>
      <c r="I884" s="1" t="s">
        <v>15768</v>
      </c>
      <c r="J884" s="1" t="s">
        <v>15769</v>
      </c>
      <c r="K884" s="1"/>
      <c r="L884" s="1"/>
      <c r="M884" s="1" t="s">
        <v>78</v>
      </c>
      <c r="N884" s="1" t="s">
        <v>5066</v>
      </c>
      <c r="O884" s="1"/>
      <c r="P884" s="1"/>
      <c r="Q884" s="1"/>
      <c r="R884" s="1"/>
      <c r="S884" s="1"/>
      <c r="T884" s="1"/>
      <c r="U884" s="1"/>
      <c r="V884" s="1"/>
      <c r="W884" s="1" t="s">
        <v>15770</v>
      </c>
      <c r="X884" s="1" t="s">
        <v>15771</v>
      </c>
      <c r="Y884" s="1" t="s">
        <v>15772</v>
      </c>
      <c r="Z884" s="1" t="s">
        <v>15773</v>
      </c>
      <c r="AA884" s="1" t="s">
        <v>15774</v>
      </c>
      <c r="AB884" s="1" t="s">
        <v>15775</v>
      </c>
      <c r="AC884" s="1"/>
      <c r="AD884" s="1"/>
      <c r="AE884" s="1"/>
      <c r="AF884" s="1"/>
      <c r="AG884" s="1" t="n">
        <v>1</v>
      </c>
      <c r="AH884" s="1" t="n">
        <v>0</v>
      </c>
      <c r="AI884" s="1" t="n">
        <v>0</v>
      </c>
      <c r="AJ884" s="1" t="n">
        <v>1</v>
      </c>
      <c r="AK884" s="1" t="n">
        <v>1</v>
      </c>
      <c r="AL884" s="1" t="s">
        <v>679</v>
      </c>
      <c r="AM884" s="1" t="s">
        <v>95</v>
      </c>
      <c r="AN884" s="1" t="s">
        <v>803</v>
      </c>
      <c r="AO884" s="1" t="s">
        <v>15776</v>
      </c>
      <c r="AP884" s="1" t="s">
        <v>15777</v>
      </c>
      <c r="AQ884" s="1"/>
      <c r="AR884" s="1" t="s">
        <v>15778</v>
      </c>
      <c r="AS884" s="1" t="s">
        <v>15779</v>
      </c>
      <c r="AT884" s="1" t="s">
        <v>15780</v>
      </c>
      <c r="AU884" s="1" t="n">
        <v>2024</v>
      </c>
      <c r="AV884" s="1" t="n">
        <v>48</v>
      </c>
      <c r="AW884" s="1" t="n">
        <v>1</v>
      </c>
      <c r="AX884" s="1"/>
      <c r="AY884" s="1"/>
      <c r="AZ884" s="1"/>
      <c r="BA884" s="1"/>
      <c r="BB884" s="1"/>
      <c r="BC884" s="1"/>
      <c r="BD884" s="1" t="n">
        <v>87</v>
      </c>
      <c r="BE884" s="1" t="s">
        <v>15781</v>
      </c>
      <c r="BF884" s="1" t="str">
        <f aca="false">HYPERLINK("http://dx.doi.org/10.1007/s10916-024-02109-4","http://dx.doi.org/10.1007/s10916-024-02109-4")</f>
        <v>http://dx.doi.org/10.1007/s10916-024-02109-4</v>
      </c>
      <c r="BG884" s="1"/>
      <c r="BH884" s="1"/>
      <c r="BI884" s="1" t="n">
        <v>1</v>
      </c>
      <c r="BJ884" s="1" t="s">
        <v>854</v>
      </c>
      <c r="BK884" s="1" t="s">
        <v>204</v>
      </c>
      <c r="BL884" s="1" t="s">
        <v>854</v>
      </c>
      <c r="BM884" s="1" t="s">
        <v>15782</v>
      </c>
      <c r="BN884" s="1" t="n">
        <v>39271578</v>
      </c>
      <c r="BO884" s="1" t="s">
        <v>282</v>
      </c>
      <c r="BP884" s="1"/>
      <c r="BQ884" s="1"/>
      <c r="BR884" s="1" t="s">
        <v>103</v>
      </c>
      <c r="BS884" s="1" t="s">
        <v>15783</v>
      </c>
      <c r="BT884" s="1" t="str">
        <f aca="false">HYPERLINK("https%3A%2F%2Fwww.webofscience.com%2Fwos%2Fwoscc%2Ffull-record%2FWOS:001313298400002","View Full Record in Web of Science")</f>
        <v>View Full Record in Web of Science</v>
      </c>
    </row>
    <row r="885" customFormat="false" ht="12.75" hidden="false" customHeight="false" outlineLevel="0" collapsed="false">
      <c r="A885" s="1" t="s">
        <v>181</v>
      </c>
      <c r="B885" s="1" t="s">
        <v>15784</v>
      </c>
      <c r="C885" s="1"/>
      <c r="D885" s="1"/>
      <c r="E885" s="1"/>
      <c r="F885" s="1" t="s">
        <v>15785</v>
      </c>
      <c r="G885" s="1"/>
      <c r="H885" s="1"/>
      <c r="I885" s="1" t="s">
        <v>15786</v>
      </c>
      <c r="J885" s="1" t="s">
        <v>816</v>
      </c>
      <c r="K885" s="1"/>
      <c r="L885" s="1"/>
      <c r="M885" s="1" t="s">
        <v>78</v>
      </c>
      <c r="N885" s="1" t="s">
        <v>186</v>
      </c>
      <c r="O885" s="1"/>
      <c r="P885" s="1"/>
      <c r="Q885" s="1"/>
      <c r="R885" s="1"/>
      <c r="S885" s="1"/>
      <c r="T885" s="1" t="s">
        <v>15787</v>
      </c>
      <c r="U885" s="1"/>
      <c r="V885" s="1" t="s">
        <v>15788</v>
      </c>
      <c r="W885" s="1" t="s">
        <v>15789</v>
      </c>
      <c r="X885" s="1" t="s">
        <v>15790</v>
      </c>
      <c r="Y885" s="1" t="s">
        <v>15791</v>
      </c>
      <c r="Z885" s="1" t="s">
        <v>15792</v>
      </c>
      <c r="AA885" s="1" t="s">
        <v>15793</v>
      </c>
      <c r="AB885" s="1" t="s">
        <v>15794</v>
      </c>
      <c r="AC885" s="1" t="s">
        <v>15795</v>
      </c>
      <c r="AD885" s="1" t="s">
        <v>15796</v>
      </c>
      <c r="AE885" s="1" t="s">
        <v>15797</v>
      </c>
      <c r="AF885" s="1"/>
      <c r="AG885" s="1" t="n">
        <v>58</v>
      </c>
      <c r="AH885" s="1" t="n">
        <v>0</v>
      </c>
      <c r="AI885" s="1" t="n">
        <v>0</v>
      </c>
      <c r="AJ885" s="1" t="n">
        <v>6</v>
      </c>
      <c r="AK885" s="1" t="n">
        <v>6</v>
      </c>
      <c r="AL885" s="1" t="s">
        <v>94</v>
      </c>
      <c r="AM885" s="1" t="s">
        <v>95</v>
      </c>
      <c r="AN885" s="1" t="s">
        <v>826</v>
      </c>
      <c r="AO885" s="1" t="s">
        <v>827</v>
      </c>
      <c r="AP885" s="1" t="s">
        <v>828</v>
      </c>
      <c r="AQ885" s="1"/>
      <c r="AR885" s="1" t="s">
        <v>829</v>
      </c>
      <c r="AS885" s="1" t="s">
        <v>830</v>
      </c>
      <c r="AT885" s="1" t="s">
        <v>808</v>
      </c>
      <c r="AU885" s="1" t="n">
        <v>2024</v>
      </c>
      <c r="AV885" s="1" t="n">
        <v>33</v>
      </c>
      <c r="AW885" s="1" t="n">
        <v>6</v>
      </c>
      <c r="AX885" s="1"/>
      <c r="AY885" s="1"/>
      <c r="AZ885" s="1"/>
      <c r="BA885" s="1"/>
      <c r="BB885" s="1"/>
      <c r="BC885" s="1"/>
      <c r="BD885" s="1" t="n">
        <v>151</v>
      </c>
      <c r="BE885" s="1" t="s">
        <v>15798</v>
      </c>
      <c r="BF885" s="1" t="str">
        <f aca="false">HYPERLINK("http://dx.doi.org/10.1145/3658669","http://dx.doi.org/10.1145/3658669")</f>
        <v>http://dx.doi.org/10.1145/3658669</v>
      </c>
      <c r="BG885" s="1"/>
      <c r="BH885" s="1"/>
      <c r="BI885" s="1" t="n">
        <v>33</v>
      </c>
      <c r="BJ885" s="1" t="s">
        <v>252</v>
      </c>
      <c r="BK885" s="1" t="s">
        <v>204</v>
      </c>
      <c r="BL885" s="1" t="s">
        <v>101</v>
      </c>
      <c r="BM885" s="1" t="s">
        <v>15799</v>
      </c>
      <c r="BN885" s="1"/>
      <c r="BO885" s="1" t="s">
        <v>13718</v>
      </c>
      <c r="BP885" s="1"/>
      <c r="BQ885" s="1"/>
      <c r="BR885" s="1" t="s">
        <v>103</v>
      </c>
      <c r="BS885" s="1" t="s">
        <v>15800</v>
      </c>
      <c r="BT885" s="1" t="str">
        <f aca="false">HYPERLINK("https%3A%2F%2Fwww.webofscience.com%2Fwos%2Fwoscc%2Ffull-record%2FWOS:001283366800012","View Full Record in Web of Science")</f>
        <v>View Full Record in Web of Science</v>
      </c>
    </row>
    <row r="886" customFormat="false" ht="12.75" hidden="false" customHeight="false" outlineLevel="0" collapsed="false">
      <c r="A886" s="1" t="s">
        <v>181</v>
      </c>
      <c r="B886" s="1" t="s">
        <v>15801</v>
      </c>
      <c r="C886" s="1"/>
      <c r="D886" s="1"/>
      <c r="E886" s="1"/>
      <c r="F886" s="1" t="s">
        <v>15802</v>
      </c>
      <c r="G886" s="1"/>
      <c r="H886" s="1"/>
      <c r="I886" s="1" t="s">
        <v>15803</v>
      </c>
      <c r="J886" s="1" t="s">
        <v>15630</v>
      </c>
      <c r="K886" s="1"/>
      <c r="L886" s="1"/>
      <c r="M886" s="1" t="s">
        <v>78</v>
      </c>
      <c r="N886" s="1" t="s">
        <v>186</v>
      </c>
      <c r="O886" s="1"/>
      <c r="P886" s="1"/>
      <c r="Q886" s="1"/>
      <c r="R886" s="1"/>
      <c r="S886" s="1"/>
      <c r="T886" s="1"/>
      <c r="U886" s="1" t="s">
        <v>15804</v>
      </c>
      <c r="V886" s="1" t="s">
        <v>15805</v>
      </c>
      <c r="W886" s="1" t="s">
        <v>15806</v>
      </c>
      <c r="X886" s="1" t="s">
        <v>15807</v>
      </c>
      <c r="Y886" s="1" t="s">
        <v>15808</v>
      </c>
      <c r="Z886" s="1" t="s">
        <v>3613</v>
      </c>
      <c r="AA886" s="1" t="s">
        <v>15809</v>
      </c>
      <c r="AB886" s="1" t="s">
        <v>15810</v>
      </c>
      <c r="AC886" s="1" t="s">
        <v>15811</v>
      </c>
      <c r="AD886" s="1" t="s">
        <v>15811</v>
      </c>
      <c r="AE886" s="1" t="s">
        <v>15812</v>
      </c>
      <c r="AF886" s="1"/>
      <c r="AG886" s="1" t="n">
        <v>56</v>
      </c>
      <c r="AH886" s="1" t="n">
        <v>6</v>
      </c>
      <c r="AI886" s="1" t="n">
        <v>6</v>
      </c>
      <c r="AJ886" s="1" t="n">
        <v>0</v>
      </c>
      <c r="AK886" s="1" t="n">
        <v>5</v>
      </c>
      <c r="AL886" s="1" t="s">
        <v>15637</v>
      </c>
      <c r="AM886" s="1" t="s">
        <v>15638</v>
      </c>
      <c r="AN886" s="1" t="s">
        <v>15639</v>
      </c>
      <c r="AO886" s="1" t="s">
        <v>15640</v>
      </c>
      <c r="AP886" s="1"/>
      <c r="AQ886" s="1"/>
      <c r="AR886" s="1" t="s">
        <v>15630</v>
      </c>
      <c r="AS886" s="1" t="s">
        <v>15641</v>
      </c>
      <c r="AT886" s="1" t="s">
        <v>5778</v>
      </c>
      <c r="AU886" s="1" t="n">
        <v>2021</v>
      </c>
      <c r="AV886" s="1" t="n">
        <v>16</v>
      </c>
      <c r="AW886" s="1" t="n">
        <v>4</v>
      </c>
      <c r="AX886" s="1"/>
      <c r="AY886" s="1"/>
      <c r="AZ886" s="1"/>
      <c r="BA886" s="1"/>
      <c r="BB886" s="1"/>
      <c r="BC886" s="1"/>
      <c r="BD886" s="1" t="s">
        <v>15813</v>
      </c>
      <c r="BE886" s="1" t="s">
        <v>15814</v>
      </c>
      <c r="BF886" s="1" t="str">
        <f aca="false">HYPERLINK("http://dx.doi.org/10.1371/journal.pone.0250122","http://dx.doi.org/10.1371/journal.pone.0250122")</f>
        <v>http://dx.doi.org/10.1371/journal.pone.0250122</v>
      </c>
      <c r="BG886" s="1"/>
      <c r="BH886" s="1"/>
      <c r="BI886" s="1" t="n">
        <v>17</v>
      </c>
      <c r="BJ886" s="1" t="s">
        <v>6557</v>
      </c>
      <c r="BK886" s="1" t="s">
        <v>398</v>
      </c>
      <c r="BL886" s="1" t="s">
        <v>6558</v>
      </c>
      <c r="BM886" s="1" t="s">
        <v>15815</v>
      </c>
      <c r="BN886" s="1" t="n">
        <v>33882100</v>
      </c>
      <c r="BO886" s="1" t="s">
        <v>401</v>
      </c>
      <c r="BP886" s="1"/>
      <c r="BQ886" s="1"/>
      <c r="BR886" s="1" t="s">
        <v>103</v>
      </c>
      <c r="BS886" s="1" t="s">
        <v>15816</v>
      </c>
      <c r="BT886" s="1" t="str">
        <f aca="false">HYPERLINK("https%3A%2F%2Fwww.webofscience.com%2Fwos%2Fwoscc%2Ffull-record%2FWOS:000644133400015","View Full Record in Web of Science")</f>
        <v>View Full Record in Web of Science</v>
      </c>
    </row>
    <row r="887" customFormat="false" ht="12.75" hidden="false" customHeight="false" outlineLevel="0" collapsed="false">
      <c r="A887" s="1" t="s">
        <v>181</v>
      </c>
      <c r="B887" s="1" t="s">
        <v>15817</v>
      </c>
      <c r="C887" s="1"/>
      <c r="D887" s="1"/>
      <c r="E887" s="1"/>
      <c r="F887" s="1" t="s">
        <v>15818</v>
      </c>
      <c r="G887" s="1"/>
      <c r="H887" s="1"/>
      <c r="I887" s="1" t="s">
        <v>15819</v>
      </c>
      <c r="J887" s="1" t="s">
        <v>15820</v>
      </c>
      <c r="K887" s="1"/>
      <c r="L887" s="1"/>
      <c r="M887" s="1" t="s">
        <v>78</v>
      </c>
      <c r="N887" s="1" t="s">
        <v>186</v>
      </c>
      <c r="O887" s="1"/>
      <c r="P887" s="1"/>
      <c r="Q887" s="1"/>
      <c r="R887" s="1"/>
      <c r="S887" s="1"/>
      <c r="T887" s="1" t="s">
        <v>15821</v>
      </c>
      <c r="U887" s="1" t="s">
        <v>15822</v>
      </c>
      <c r="V887" s="1" t="s">
        <v>15823</v>
      </c>
      <c r="W887" s="1" t="s">
        <v>15824</v>
      </c>
      <c r="X887" s="1" t="s">
        <v>15825</v>
      </c>
      <c r="Y887" s="1" t="s">
        <v>15826</v>
      </c>
      <c r="Z887" s="1" t="s">
        <v>15827</v>
      </c>
      <c r="AA887" s="1" t="s">
        <v>15828</v>
      </c>
      <c r="AB887" s="1" t="s">
        <v>14193</v>
      </c>
      <c r="AC887" s="1"/>
      <c r="AD887" s="1"/>
      <c r="AE887" s="1"/>
      <c r="AF887" s="1"/>
      <c r="AG887" s="1" t="n">
        <v>117</v>
      </c>
      <c r="AH887" s="1" t="n">
        <v>10</v>
      </c>
      <c r="AI887" s="1" t="n">
        <v>10</v>
      </c>
      <c r="AJ887" s="1" t="n">
        <v>17</v>
      </c>
      <c r="AK887" s="1" t="n">
        <v>87</v>
      </c>
      <c r="AL887" s="1" t="s">
        <v>893</v>
      </c>
      <c r="AM887" s="1" t="s">
        <v>894</v>
      </c>
      <c r="AN887" s="1" t="s">
        <v>895</v>
      </c>
      <c r="AO887" s="1" t="s">
        <v>15829</v>
      </c>
      <c r="AP887" s="1" t="s">
        <v>15830</v>
      </c>
      <c r="AQ887" s="1"/>
      <c r="AR887" s="1" t="s">
        <v>15831</v>
      </c>
      <c r="AS887" s="1" t="s">
        <v>15832</v>
      </c>
      <c r="AT887" s="1" t="s">
        <v>277</v>
      </c>
      <c r="AU887" s="1" t="n">
        <v>2023</v>
      </c>
      <c r="AV887" s="1" t="n">
        <v>52</v>
      </c>
      <c r="AW887" s="1" t="n">
        <v>2</v>
      </c>
      <c r="AX887" s="1"/>
      <c r="AY887" s="1"/>
      <c r="AZ887" s="1"/>
      <c r="BA887" s="1"/>
      <c r="BB887" s="1"/>
      <c r="BC887" s="1"/>
      <c r="BD887" s="1" t="n">
        <v>104703</v>
      </c>
      <c r="BE887" s="1" t="s">
        <v>15833</v>
      </c>
      <c r="BF887" s="1" t="str">
        <f aca="false">HYPERLINK("http://dx.doi.org/10.1016/j.respol.2022.104703","http://dx.doi.org/10.1016/j.respol.2022.104703")</f>
        <v>http://dx.doi.org/10.1016/j.respol.2022.104703</v>
      </c>
      <c r="BG887" s="1"/>
      <c r="BH887" s="1" t="s">
        <v>3236</v>
      </c>
      <c r="BI887" s="1" t="n">
        <v>17</v>
      </c>
      <c r="BJ887" s="1" t="s">
        <v>714</v>
      </c>
      <c r="BK887" s="1" t="s">
        <v>610</v>
      </c>
      <c r="BL887" s="1" t="s">
        <v>715</v>
      </c>
      <c r="BM887" s="1" t="s">
        <v>15834</v>
      </c>
      <c r="BN887" s="1"/>
      <c r="BO887" s="1" t="s">
        <v>207</v>
      </c>
      <c r="BP887" s="1"/>
      <c r="BQ887" s="1"/>
      <c r="BR887" s="1" t="s">
        <v>103</v>
      </c>
      <c r="BS887" s="1" t="s">
        <v>15835</v>
      </c>
      <c r="BT887" s="1" t="str">
        <f aca="false">HYPERLINK("https%3A%2F%2Fwww.webofscience.com%2Fwos%2Fwoscc%2Ffull-record%2FWOS:000918961300003","View Full Record in Web of Science")</f>
        <v>View Full Record in Web of Science</v>
      </c>
    </row>
    <row r="888" customFormat="false" ht="12.75" hidden="false" customHeight="false" outlineLevel="0" collapsed="false">
      <c r="A888" s="1" t="s">
        <v>181</v>
      </c>
      <c r="B888" s="1" t="s">
        <v>15836</v>
      </c>
      <c r="C888" s="1"/>
      <c r="D888" s="1"/>
      <c r="E888" s="1"/>
      <c r="F888" s="1" t="s">
        <v>15837</v>
      </c>
      <c r="G888" s="1"/>
      <c r="H888" s="1"/>
      <c r="I888" s="1" t="s">
        <v>15838</v>
      </c>
      <c r="J888" s="1" t="s">
        <v>14971</v>
      </c>
      <c r="K888" s="1"/>
      <c r="L888" s="1"/>
      <c r="M888" s="1" t="s">
        <v>78</v>
      </c>
      <c r="N888" s="1" t="s">
        <v>186</v>
      </c>
      <c r="O888" s="1"/>
      <c r="P888" s="1"/>
      <c r="Q888" s="1"/>
      <c r="R888" s="1"/>
      <c r="S888" s="1"/>
      <c r="T888" s="1" t="s">
        <v>15839</v>
      </c>
      <c r="U888" s="1" t="s">
        <v>15840</v>
      </c>
      <c r="V888" s="1" t="s">
        <v>15841</v>
      </c>
      <c r="W888" s="1" t="s">
        <v>15842</v>
      </c>
      <c r="X888" s="1" t="s">
        <v>15843</v>
      </c>
      <c r="Y888" s="1" t="s">
        <v>1352</v>
      </c>
      <c r="Z888" s="1" t="s">
        <v>1353</v>
      </c>
      <c r="AA888" s="1" t="s">
        <v>15844</v>
      </c>
      <c r="AB888" s="1"/>
      <c r="AC888" s="1" t="s">
        <v>15845</v>
      </c>
      <c r="AD888" s="1" t="s">
        <v>15845</v>
      </c>
      <c r="AE888" s="1" t="s">
        <v>15846</v>
      </c>
      <c r="AF888" s="1"/>
      <c r="AG888" s="1" t="n">
        <v>37</v>
      </c>
      <c r="AH888" s="1" t="n">
        <v>0</v>
      </c>
      <c r="AI888" s="1" t="n">
        <v>0</v>
      </c>
      <c r="AJ888" s="1" t="n">
        <v>4</v>
      </c>
      <c r="AK888" s="1" t="n">
        <v>4</v>
      </c>
      <c r="AL888" s="1" t="s">
        <v>1355</v>
      </c>
      <c r="AM888" s="1" t="s">
        <v>1356</v>
      </c>
      <c r="AN888" s="1" t="s">
        <v>1357</v>
      </c>
      <c r="AO888" s="1"/>
      <c r="AP888" s="1" t="s">
        <v>14984</v>
      </c>
      <c r="AQ888" s="1"/>
      <c r="AR888" s="1" t="s">
        <v>14985</v>
      </c>
      <c r="AS888" s="1" t="s">
        <v>14986</v>
      </c>
      <c r="AT888" s="1"/>
      <c r="AU888" s="1" t="n">
        <v>2024</v>
      </c>
      <c r="AV888" s="1" t="n">
        <v>10</v>
      </c>
      <c r="AW888" s="1"/>
      <c r="AX888" s="1"/>
      <c r="AY888" s="1"/>
      <c r="AZ888" s="1"/>
      <c r="BA888" s="1"/>
      <c r="BB888" s="1"/>
      <c r="BC888" s="1"/>
      <c r="BD888" s="1" t="n">
        <v>23337214241304900</v>
      </c>
      <c r="BE888" s="1" t="s">
        <v>15847</v>
      </c>
      <c r="BF888" s="1" t="str">
        <f aca="false">HYPERLINK("http://dx.doi.org/10.1177/23337214241304887","http://dx.doi.org/10.1177/23337214241304887")</f>
        <v>http://dx.doi.org/10.1177/23337214241304887</v>
      </c>
      <c r="BG888" s="1"/>
      <c r="BH888" s="1"/>
      <c r="BI888" s="1" t="n">
        <v>9</v>
      </c>
      <c r="BJ888" s="1" t="s">
        <v>2038</v>
      </c>
      <c r="BK888" s="1" t="s">
        <v>253</v>
      </c>
      <c r="BL888" s="1" t="s">
        <v>2038</v>
      </c>
      <c r="BM888" s="1" t="s">
        <v>15848</v>
      </c>
      <c r="BN888" s="1" t="n">
        <v>39628548</v>
      </c>
      <c r="BO888" s="1" t="s">
        <v>642</v>
      </c>
      <c r="BP888" s="1"/>
      <c r="BQ888" s="1"/>
      <c r="BR888" s="1" t="s">
        <v>103</v>
      </c>
      <c r="BS888" s="1" t="s">
        <v>15849</v>
      </c>
      <c r="BT888" s="1" t="str">
        <f aca="false">HYPERLINK("https%3A%2F%2Fwww.webofscience.com%2Fwos%2Fwoscc%2Ffull-record%2FWOS:001369413100001","View Full Record in Web of Science")</f>
        <v>View Full Record in Web of Science</v>
      </c>
    </row>
    <row r="889" customFormat="false" ht="12.75" hidden="false" customHeight="false" outlineLevel="0" collapsed="false">
      <c r="A889" s="1" t="s">
        <v>181</v>
      </c>
      <c r="B889" s="1" t="s">
        <v>15850</v>
      </c>
      <c r="C889" s="1"/>
      <c r="D889" s="1"/>
      <c r="E889" s="1"/>
      <c r="F889" s="1" t="s">
        <v>15851</v>
      </c>
      <c r="G889" s="1"/>
      <c r="H889" s="1"/>
      <c r="I889" s="1" t="s">
        <v>15852</v>
      </c>
      <c r="J889" s="1" t="s">
        <v>15853</v>
      </c>
      <c r="K889" s="1"/>
      <c r="L889" s="1"/>
      <c r="M889" s="1" t="s">
        <v>78</v>
      </c>
      <c r="N889" s="1" t="s">
        <v>186</v>
      </c>
      <c r="O889" s="1"/>
      <c r="P889" s="1"/>
      <c r="Q889" s="1"/>
      <c r="R889" s="1"/>
      <c r="S889" s="1"/>
      <c r="T889" s="1" t="s">
        <v>15854</v>
      </c>
      <c r="U889" s="1" t="s">
        <v>15855</v>
      </c>
      <c r="V889" s="1" t="s">
        <v>15856</v>
      </c>
      <c r="W889" s="1" t="s">
        <v>15857</v>
      </c>
      <c r="X889" s="1" t="s">
        <v>15858</v>
      </c>
      <c r="Y889" s="1" t="s">
        <v>15859</v>
      </c>
      <c r="Z889" s="1" t="s">
        <v>15860</v>
      </c>
      <c r="AA889" s="1" t="s">
        <v>15861</v>
      </c>
      <c r="AB889" s="1" t="s">
        <v>15862</v>
      </c>
      <c r="AC889" s="1" t="s">
        <v>15863</v>
      </c>
      <c r="AD889" s="1" t="s">
        <v>15864</v>
      </c>
      <c r="AE889" s="1" t="s">
        <v>15865</v>
      </c>
      <c r="AF889" s="1"/>
      <c r="AG889" s="1" t="n">
        <v>40</v>
      </c>
      <c r="AH889" s="1" t="n">
        <v>2</v>
      </c>
      <c r="AI889" s="1" t="n">
        <v>2</v>
      </c>
      <c r="AJ889" s="1" t="n">
        <v>4</v>
      </c>
      <c r="AK889" s="1" t="n">
        <v>27</v>
      </c>
      <c r="AL889" s="1" t="s">
        <v>367</v>
      </c>
      <c r="AM889" s="1" t="s">
        <v>368</v>
      </c>
      <c r="AN889" s="1" t="s">
        <v>369</v>
      </c>
      <c r="AO889" s="1"/>
      <c r="AP889" s="1" t="s">
        <v>15866</v>
      </c>
      <c r="AQ889" s="1"/>
      <c r="AR889" s="1" t="s">
        <v>15853</v>
      </c>
      <c r="AS889" s="1" t="s">
        <v>15867</v>
      </c>
      <c r="AT889" s="1" t="s">
        <v>474</v>
      </c>
      <c r="AU889" s="1" t="n">
        <v>2021</v>
      </c>
      <c r="AV889" s="1" t="n">
        <v>11</v>
      </c>
      <c r="AW889" s="1" t="n">
        <v>9</v>
      </c>
      <c r="AX889" s="1"/>
      <c r="AY889" s="1"/>
      <c r="AZ889" s="1"/>
      <c r="BA889" s="1"/>
      <c r="BB889" s="1"/>
      <c r="BC889" s="1"/>
      <c r="BD889" s="1" t="n">
        <v>1079</v>
      </c>
      <c r="BE889" s="1" t="s">
        <v>15868</v>
      </c>
      <c r="BF889" s="1" t="str">
        <f aca="false">HYPERLINK("http://dx.doi.org/10.3390/coatings11091079","http://dx.doi.org/10.3390/coatings11091079")</f>
        <v>http://dx.doi.org/10.3390/coatings11091079</v>
      </c>
      <c r="BG889" s="1"/>
      <c r="BH889" s="1"/>
      <c r="BI889" s="1" t="n">
        <v>22</v>
      </c>
      <c r="BJ889" s="1" t="s">
        <v>15869</v>
      </c>
      <c r="BK889" s="1" t="s">
        <v>204</v>
      </c>
      <c r="BL889" s="1" t="s">
        <v>15870</v>
      </c>
      <c r="BM889" s="1" t="s">
        <v>15871</v>
      </c>
      <c r="BN889" s="1"/>
      <c r="BO889" s="1" t="s">
        <v>542</v>
      </c>
      <c r="BP889" s="1"/>
      <c r="BQ889" s="1"/>
      <c r="BR889" s="1" t="s">
        <v>103</v>
      </c>
      <c r="BS889" s="1" t="s">
        <v>15872</v>
      </c>
      <c r="BT889" s="1" t="str">
        <f aca="false">HYPERLINK("https%3A%2F%2Fwww.webofscience.com%2Fwos%2Fwoscc%2Ffull-record%2FWOS:000699117500001","View Full Record in Web of Science")</f>
        <v>View Full Record in Web of Science</v>
      </c>
    </row>
    <row r="890" customFormat="false" ht="12.75" hidden="false" customHeight="false" outlineLevel="0" collapsed="false">
      <c r="A890" s="1" t="s">
        <v>181</v>
      </c>
      <c r="B890" s="1" t="s">
        <v>15873</v>
      </c>
      <c r="C890" s="1"/>
      <c r="D890" s="1"/>
      <c r="E890" s="1"/>
      <c r="F890" s="1" t="s">
        <v>15874</v>
      </c>
      <c r="G890" s="1"/>
      <c r="H890" s="1"/>
      <c r="I890" s="1" t="s">
        <v>15875</v>
      </c>
      <c r="J890" s="1" t="s">
        <v>12726</v>
      </c>
      <c r="K890" s="1"/>
      <c r="L890" s="1"/>
      <c r="M890" s="1" t="s">
        <v>78</v>
      </c>
      <c r="N890" s="1" t="s">
        <v>186</v>
      </c>
      <c r="O890" s="1"/>
      <c r="P890" s="1"/>
      <c r="Q890" s="1"/>
      <c r="R890" s="1"/>
      <c r="S890" s="1"/>
      <c r="T890" s="1" t="s">
        <v>15876</v>
      </c>
      <c r="U890" s="1" t="s">
        <v>15877</v>
      </c>
      <c r="V890" s="1" t="s">
        <v>15878</v>
      </c>
      <c r="W890" s="1" t="s">
        <v>15879</v>
      </c>
      <c r="X890" s="1" t="s">
        <v>15880</v>
      </c>
      <c r="Y890" s="1" t="s">
        <v>15881</v>
      </c>
      <c r="Z890" s="1" t="s">
        <v>15882</v>
      </c>
      <c r="AA890" s="1" t="s">
        <v>15883</v>
      </c>
      <c r="AB890" s="1" t="s">
        <v>7680</v>
      </c>
      <c r="AC890" s="1" t="s">
        <v>15148</v>
      </c>
      <c r="AD890" s="1" t="s">
        <v>15148</v>
      </c>
      <c r="AE890" s="1" t="s">
        <v>15884</v>
      </c>
      <c r="AF890" s="1"/>
      <c r="AG890" s="1" t="n">
        <v>73</v>
      </c>
      <c r="AH890" s="1" t="n">
        <v>6</v>
      </c>
      <c r="AI890" s="1" t="n">
        <v>6</v>
      </c>
      <c r="AJ890" s="1" t="n">
        <v>6</v>
      </c>
      <c r="AK890" s="1" t="n">
        <v>11</v>
      </c>
      <c r="AL890" s="1" t="s">
        <v>2129</v>
      </c>
      <c r="AM890" s="1" t="s">
        <v>1908</v>
      </c>
      <c r="AN890" s="1" t="s">
        <v>2130</v>
      </c>
      <c r="AO890" s="1" t="s">
        <v>12739</v>
      </c>
      <c r="AP890" s="1" t="s">
        <v>12740</v>
      </c>
      <c r="AQ890" s="1"/>
      <c r="AR890" s="1" t="s">
        <v>12741</v>
      </c>
      <c r="AS890" s="1" t="s">
        <v>12742</v>
      </c>
      <c r="AT890" s="1" t="s">
        <v>15885</v>
      </c>
      <c r="AU890" s="1" t="n">
        <v>2023</v>
      </c>
      <c r="AV890" s="1" t="n">
        <v>16</v>
      </c>
      <c r="AW890" s="1" t="n">
        <v>1</v>
      </c>
      <c r="AX890" s="1"/>
      <c r="AY890" s="1"/>
      <c r="AZ890" s="1"/>
      <c r="BA890" s="1"/>
      <c r="BB890" s="1"/>
      <c r="BC890" s="1"/>
      <c r="BD890" s="1" t="n">
        <v>188</v>
      </c>
      <c r="BE890" s="1" t="s">
        <v>15886</v>
      </c>
      <c r="BF890" s="1" t="str">
        <f aca="false">HYPERLINK("http://dx.doi.org/10.1007/s44196-023-00362-y","http://dx.doi.org/10.1007/s44196-023-00362-y")</f>
        <v>http://dx.doi.org/10.1007/s44196-023-00362-y</v>
      </c>
      <c r="BG890" s="1"/>
      <c r="BH890" s="1"/>
      <c r="BI890" s="1" t="n">
        <v>14</v>
      </c>
      <c r="BJ890" s="1" t="s">
        <v>3772</v>
      </c>
      <c r="BK890" s="1" t="s">
        <v>204</v>
      </c>
      <c r="BL890" s="1" t="s">
        <v>101</v>
      </c>
      <c r="BM890" s="1" t="s">
        <v>15887</v>
      </c>
      <c r="BN890" s="1"/>
      <c r="BO890" s="1" t="s">
        <v>401</v>
      </c>
      <c r="BP890" s="1"/>
      <c r="BQ890" s="1"/>
      <c r="BR890" s="1" t="s">
        <v>103</v>
      </c>
      <c r="BS890" s="1" t="s">
        <v>15888</v>
      </c>
      <c r="BT890" s="1" t="str">
        <f aca="false">HYPERLINK("https%3A%2F%2Fwww.webofscience.com%2Fwos%2Fwoscc%2Ffull-record%2FWOS:001114808900001","View Full Record in Web of Science")</f>
        <v>View Full Record in Web of Science</v>
      </c>
    </row>
    <row r="891" customFormat="false" ht="12.75" hidden="false" customHeight="false" outlineLevel="0" collapsed="false">
      <c r="A891" s="1" t="s">
        <v>181</v>
      </c>
      <c r="B891" s="1" t="s">
        <v>15889</v>
      </c>
      <c r="C891" s="1"/>
      <c r="D891" s="1"/>
      <c r="E891" s="1"/>
      <c r="F891" s="1" t="s">
        <v>15890</v>
      </c>
      <c r="G891" s="1"/>
      <c r="H891" s="1"/>
      <c r="I891" s="1" t="s">
        <v>15891</v>
      </c>
      <c r="J891" s="1" t="s">
        <v>381</v>
      </c>
      <c r="K891" s="1"/>
      <c r="L891" s="1"/>
      <c r="M891" s="1" t="s">
        <v>78</v>
      </c>
      <c r="N891" s="1" t="s">
        <v>186</v>
      </c>
      <c r="O891" s="1"/>
      <c r="P891" s="1"/>
      <c r="Q891" s="1"/>
      <c r="R891" s="1"/>
      <c r="S891" s="1"/>
      <c r="T891" s="1" t="s">
        <v>15892</v>
      </c>
      <c r="U891" s="1" t="s">
        <v>15893</v>
      </c>
      <c r="V891" s="1" t="s">
        <v>15894</v>
      </c>
      <c r="W891" s="1" t="s">
        <v>15895</v>
      </c>
      <c r="X891" s="1" t="s">
        <v>15896</v>
      </c>
      <c r="Y891" s="1" t="s">
        <v>15897</v>
      </c>
      <c r="Z891" s="1" t="s">
        <v>15898</v>
      </c>
      <c r="AA891" s="1"/>
      <c r="AB891" s="1" t="s">
        <v>15899</v>
      </c>
      <c r="AC891" s="1"/>
      <c r="AD891" s="1"/>
      <c r="AE891" s="1"/>
      <c r="AF891" s="1"/>
      <c r="AG891" s="1" t="n">
        <v>43</v>
      </c>
      <c r="AH891" s="1" t="n">
        <v>4</v>
      </c>
      <c r="AI891" s="1" t="n">
        <v>4</v>
      </c>
      <c r="AJ891" s="1" t="n">
        <v>2</v>
      </c>
      <c r="AK891" s="1" t="n">
        <v>20</v>
      </c>
      <c r="AL891" s="1" t="s">
        <v>367</v>
      </c>
      <c r="AM891" s="1" t="s">
        <v>368</v>
      </c>
      <c r="AN891" s="1" t="s">
        <v>369</v>
      </c>
      <c r="AO891" s="1"/>
      <c r="AP891" s="1" t="s">
        <v>393</v>
      </c>
      <c r="AQ891" s="1"/>
      <c r="AR891" s="1" t="s">
        <v>394</v>
      </c>
      <c r="AS891" s="1" t="s">
        <v>395</v>
      </c>
      <c r="AT891" s="1" t="s">
        <v>754</v>
      </c>
      <c r="AU891" s="1" t="n">
        <v>2022</v>
      </c>
      <c r="AV891" s="1" t="n">
        <v>14</v>
      </c>
      <c r="AW891" s="1" t="n">
        <v>9</v>
      </c>
      <c r="AX891" s="1"/>
      <c r="AY891" s="1"/>
      <c r="AZ891" s="1"/>
      <c r="BA891" s="1"/>
      <c r="BB891" s="1"/>
      <c r="BC891" s="1"/>
      <c r="BD891" s="1" t="n">
        <v>5070</v>
      </c>
      <c r="BE891" s="1" t="s">
        <v>15900</v>
      </c>
      <c r="BF891" s="1" t="str">
        <f aca="false">HYPERLINK("http://dx.doi.org/10.3390/su14095070","http://dx.doi.org/10.3390/su14095070")</f>
        <v>http://dx.doi.org/10.3390/su14095070</v>
      </c>
      <c r="BG891" s="1"/>
      <c r="BH891" s="1"/>
      <c r="BI891" s="1" t="n">
        <v>16</v>
      </c>
      <c r="BJ891" s="1" t="s">
        <v>397</v>
      </c>
      <c r="BK891" s="1" t="s">
        <v>398</v>
      </c>
      <c r="BL891" s="1" t="s">
        <v>399</v>
      </c>
      <c r="BM891" s="1" t="s">
        <v>15901</v>
      </c>
      <c r="BN891" s="1"/>
      <c r="BO891" s="1" t="s">
        <v>542</v>
      </c>
      <c r="BP891" s="1"/>
      <c r="BQ891" s="1"/>
      <c r="BR891" s="1" t="s">
        <v>103</v>
      </c>
      <c r="BS891" s="1" t="s">
        <v>15902</v>
      </c>
      <c r="BT891" s="1" t="str">
        <f aca="false">HYPERLINK("https%3A%2F%2Fwww.webofscience.com%2Fwos%2Fwoscc%2Ffull-record%2FWOS:000794659300001","View Full Record in Web of Science")</f>
        <v>View Full Record in Web of Science</v>
      </c>
    </row>
    <row r="892" customFormat="false" ht="12.75" hidden="false" customHeight="false" outlineLevel="0" collapsed="false">
      <c r="A892" s="1" t="s">
        <v>181</v>
      </c>
      <c r="B892" s="1" t="s">
        <v>15903</v>
      </c>
      <c r="C892" s="1"/>
      <c r="D892" s="1"/>
      <c r="E892" s="1"/>
      <c r="F892" s="1" t="s">
        <v>15904</v>
      </c>
      <c r="G892" s="1"/>
      <c r="H892" s="1"/>
      <c r="I892" s="1" t="s">
        <v>15905</v>
      </c>
      <c r="J892" s="1" t="s">
        <v>15906</v>
      </c>
      <c r="K892" s="1"/>
      <c r="L892" s="1"/>
      <c r="M892" s="1" t="s">
        <v>78</v>
      </c>
      <c r="N892" s="1" t="s">
        <v>186</v>
      </c>
      <c r="O892" s="1"/>
      <c r="P892" s="1"/>
      <c r="Q892" s="1"/>
      <c r="R892" s="1"/>
      <c r="S892" s="1"/>
      <c r="T892" s="1" t="s">
        <v>15907</v>
      </c>
      <c r="U892" s="1" t="s">
        <v>15908</v>
      </c>
      <c r="V892" s="1" t="s">
        <v>15909</v>
      </c>
      <c r="W892" s="1" t="s">
        <v>15910</v>
      </c>
      <c r="X892" s="1" t="s">
        <v>15911</v>
      </c>
      <c r="Y892" s="1" t="s">
        <v>9823</v>
      </c>
      <c r="Z892" s="1" t="s">
        <v>12697</v>
      </c>
      <c r="AA892" s="1" t="s">
        <v>15912</v>
      </c>
      <c r="AB892" s="1" t="s">
        <v>15913</v>
      </c>
      <c r="AC892" s="1" t="s">
        <v>15914</v>
      </c>
      <c r="AD892" s="1" t="s">
        <v>15915</v>
      </c>
      <c r="AE892" s="1" t="s">
        <v>15916</v>
      </c>
      <c r="AF892" s="1"/>
      <c r="AG892" s="1" t="n">
        <v>188</v>
      </c>
      <c r="AH892" s="1" t="n">
        <v>2</v>
      </c>
      <c r="AI892" s="1" t="n">
        <v>2</v>
      </c>
      <c r="AJ892" s="1" t="n">
        <v>2</v>
      </c>
      <c r="AK892" s="1" t="n">
        <v>3</v>
      </c>
      <c r="AL892" s="1" t="s">
        <v>7464</v>
      </c>
      <c r="AM892" s="1" t="s">
        <v>7465</v>
      </c>
      <c r="AN892" s="1" t="s">
        <v>7466</v>
      </c>
      <c r="AO892" s="1" t="s">
        <v>15917</v>
      </c>
      <c r="AP892" s="1" t="s">
        <v>15918</v>
      </c>
      <c r="AQ892" s="1"/>
      <c r="AR892" s="1" t="s">
        <v>15919</v>
      </c>
      <c r="AS892" s="1" t="s">
        <v>15920</v>
      </c>
      <c r="AT892" s="1" t="s">
        <v>2698</v>
      </c>
      <c r="AU892" s="1" t="n">
        <v>2024</v>
      </c>
      <c r="AV892" s="1" t="n">
        <v>10</v>
      </c>
      <c r="AW892" s="1" t="n">
        <v>3</v>
      </c>
      <c r="AX892" s="1"/>
      <c r="AY892" s="1"/>
      <c r="AZ892" s="1"/>
      <c r="BA892" s="1"/>
      <c r="BB892" s="1" t="n">
        <v>740</v>
      </c>
      <c r="BC892" s="1" t="n">
        <v>755</v>
      </c>
      <c r="BD892" s="1"/>
      <c r="BE892" s="1" t="s">
        <v>15921</v>
      </c>
      <c r="BF892" s="1" t="str">
        <f aca="false">HYPERLINK("http://dx.doi.org/10.1016/j.dcan.2022.10.006","http://dx.doi.org/10.1016/j.dcan.2022.10.006")</f>
        <v>http://dx.doi.org/10.1016/j.dcan.2022.10.006</v>
      </c>
      <c r="BG892" s="1"/>
      <c r="BH892" s="1" t="s">
        <v>1658</v>
      </c>
      <c r="BI892" s="1" t="n">
        <v>16</v>
      </c>
      <c r="BJ892" s="1" t="s">
        <v>2943</v>
      </c>
      <c r="BK892" s="1" t="s">
        <v>204</v>
      </c>
      <c r="BL892" s="1" t="s">
        <v>2943</v>
      </c>
      <c r="BM892" s="1" t="s">
        <v>15922</v>
      </c>
      <c r="BN892" s="1"/>
      <c r="BO892" s="1" t="s">
        <v>642</v>
      </c>
      <c r="BP892" s="1"/>
      <c r="BQ892" s="1"/>
      <c r="BR892" s="1" t="s">
        <v>103</v>
      </c>
      <c r="BS892" s="1" t="s">
        <v>15923</v>
      </c>
      <c r="BT892" s="1" t="str">
        <f aca="false">HYPERLINK("https%3A%2F%2Fwww.webofscience.com%2Fwos%2Fwoscc%2Ffull-record%2FWOS:001273473200001","View Full Record in Web of Science")</f>
        <v>View Full Record in Web of Science</v>
      </c>
    </row>
    <row r="893" customFormat="false" ht="12.75" hidden="false" customHeight="false" outlineLevel="0" collapsed="false">
      <c r="A893" s="1" t="s">
        <v>181</v>
      </c>
      <c r="B893" s="1" t="s">
        <v>15924</v>
      </c>
      <c r="C893" s="1"/>
      <c r="D893" s="1"/>
      <c r="E893" s="1"/>
      <c r="F893" s="1" t="s">
        <v>15925</v>
      </c>
      <c r="G893" s="1"/>
      <c r="H893" s="1"/>
      <c r="I893" s="1" t="s">
        <v>15926</v>
      </c>
      <c r="J893" s="1" t="s">
        <v>8723</v>
      </c>
      <c r="K893" s="1"/>
      <c r="L893" s="1"/>
      <c r="M893" s="1" t="s">
        <v>78</v>
      </c>
      <c r="N893" s="1" t="s">
        <v>186</v>
      </c>
      <c r="O893" s="1"/>
      <c r="P893" s="1"/>
      <c r="Q893" s="1"/>
      <c r="R893" s="1"/>
      <c r="S893" s="1"/>
      <c r="T893" s="1" t="s">
        <v>15927</v>
      </c>
      <c r="U893" s="1" t="s">
        <v>15928</v>
      </c>
      <c r="V893" s="1" t="s">
        <v>15929</v>
      </c>
      <c r="W893" s="1" t="s">
        <v>15930</v>
      </c>
      <c r="X893" s="1" t="s">
        <v>15931</v>
      </c>
      <c r="Y893" s="1" t="s">
        <v>15932</v>
      </c>
      <c r="Z893" s="1" t="s">
        <v>15933</v>
      </c>
      <c r="AA893" s="1" t="s">
        <v>15934</v>
      </c>
      <c r="AB893" s="1" t="s">
        <v>15935</v>
      </c>
      <c r="AC893" s="1" t="s">
        <v>15936</v>
      </c>
      <c r="AD893" s="1" t="s">
        <v>15937</v>
      </c>
      <c r="AE893" s="1" t="s">
        <v>15938</v>
      </c>
      <c r="AF893" s="1"/>
      <c r="AG893" s="1" t="n">
        <v>34</v>
      </c>
      <c r="AH893" s="1" t="n">
        <v>29</v>
      </c>
      <c r="AI893" s="1" t="n">
        <v>29</v>
      </c>
      <c r="AJ893" s="1" t="n">
        <v>4</v>
      </c>
      <c r="AK893" s="1" t="n">
        <v>29</v>
      </c>
      <c r="AL893" s="1" t="s">
        <v>195</v>
      </c>
      <c r="AM893" s="1" t="s">
        <v>196</v>
      </c>
      <c r="AN893" s="1" t="s">
        <v>197</v>
      </c>
      <c r="AO893" s="1" t="s">
        <v>8736</v>
      </c>
      <c r="AP893" s="1" t="s">
        <v>8737</v>
      </c>
      <c r="AQ893" s="1"/>
      <c r="AR893" s="1" t="s">
        <v>8738</v>
      </c>
      <c r="AS893" s="1" t="s">
        <v>8739</v>
      </c>
      <c r="AT893" s="1"/>
      <c r="AU893" s="1" t="n">
        <v>2021</v>
      </c>
      <c r="AV893" s="1" t="n">
        <v>14</v>
      </c>
      <c r="AW893" s="1"/>
      <c r="AX893" s="1"/>
      <c r="AY893" s="1"/>
      <c r="AZ893" s="1"/>
      <c r="BA893" s="1"/>
      <c r="BB893" s="1" t="n">
        <v>4063</v>
      </c>
      <c r="BC893" s="1" t="n">
        <v>4073</v>
      </c>
      <c r="BD893" s="1"/>
      <c r="BE893" s="1" t="s">
        <v>15939</v>
      </c>
      <c r="BF893" s="1" t="str">
        <f aca="false">HYPERLINK("http://dx.doi.org/10.1109/JSTARS.2021.3069919","http://dx.doi.org/10.1109/JSTARS.2021.3069919")</f>
        <v>http://dx.doi.org/10.1109/JSTARS.2021.3069919</v>
      </c>
      <c r="BG893" s="1"/>
      <c r="BH893" s="1"/>
      <c r="BI893" s="1" t="n">
        <v>11</v>
      </c>
      <c r="BJ893" s="1" t="s">
        <v>8741</v>
      </c>
      <c r="BK893" s="1" t="s">
        <v>204</v>
      </c>
      <c r="BL893" s="1" t="s">
        <v>8742</v>
      </c>
      <c r="BM893" s="1" t="s">
        <v>15940</v>
      </c>
      <c r="BN893" s="1"/>
      <c r="BO893" s="1" t="s">
        <v>1209</v>
      </c>
      <c r="BP893" s="1"/>
      <c r="BQ893" s="1"/>
      <c r="BR893" s="1" t="s">
        <v>103</v>
      </c>
      <c r="BS893" s="1" t="s">
        <v>15941</v>
      </c>
      <c r="BT893" s="1" t="str">
        <f aca="false">HYPERLINK("https%3A%2F%2Fwww.webofscience.com%2Fwos%2Fwoscc%2Ffull-record%2FWOS:000642765300008","View Full Record in Web of Science")</f>
        <v>View Full Record in Web of Science</v>
      </c>
    </row>
    <row r="894" customFormat="false" ht="12.75" hidden="false" customHeight="false" outlineLevel="0" collapsed="false">
      <c r="A894" s="1" t="s">
        <v>181</v>
      </c>
      <c r="B894" s="1" t="s">
        <v>15942</v>
      </c>
      <c r="C894" s="1"/>
      <c r="D894" s="1"/>
      <c r="E894" s="1"/>
      <c r="F894" s="1" t="s">
        <v>15943</v>
      </c>
      <c r="G894" s="1"/>
      <c r="H894" s="1"/>
      <c r="I894" s="1" t="s">
        <v>15944</v>
      </c>
      <c r="J894" s="1" t="s">
        <v>671</v>
      </c>
      <c r="K894" s="1"/>
      <c r="L894" s="1"/>
      <c r="M894" s="1" t="s">
        <v>78</v>
      </c>
      <c r="N894" s="1" t="s">
        <v>186</v>
      </c>
      <c r="O894" s="1"/>
      <c r="P894" s="1"/>
      <c r="Q894" s="1"/>
      <c r="R894" s="1"/>
      <c r="S894" s="1"/>
      <c r="T894" s="1" t="s">
        <v>15945</v>
      </c>
      <c r="U894" s="1"/>
      <c r="V894" s="1" t="s">
        <v>15946</v>
      </c>
      <c r="W894" s="1" t="s">
        <v>15947</v>
      </c>
      <c r="X894" s="1" t="s">
        <v>15948</v>
      </c>
      <c r="Y894" s="1" t="s">
        <v>15949</v>
      </c>
      <c r="Z894" s="1" t="s">
        <v>15950</v>
      </c>
      <c r="AA894" s="1" t="s">
        <v>5339</v>
      </c>
      <c r="AB894" s="1" t="s">
        <v>15951</v>
      </c>
      <c r="AC894" s="1"/>
      <c r="AD894" s="1"/>
      <c r="AE894" s="1"/>
      <c r="AF894" s="1"/>
      <c r="AG894" s="1" t="n">
        <v>34</v>
      </c>
      <c r="AH894" s="1" t="n">
        <v>7</v>
      </c>
      <c r="AI894" s="1" t="n">
        <v>7</v>
      </c>
      <c r="AJ894" s="1" t="n">
        <v>0</v>
      </c>
      <c r="AK894" s="1" t="n">
        <v>7</v>
      </c>
      <c r="AL894" s="1" t="s">
        <v>679</v>
      </c>
      <c r="AM894" s="1" t="s">
        <v>680</v>
      </c>
      <c r="AN894" s="1" t="s">
        <v>681</v>
      </c>
      <c r="AO894" s="1" t="s">
        <v>682</v>
      </c>
      <c r="AP894" s="1" t="s">
        <v>683</v>
      </c>
      <c r="AQ894" s="1"/>
      <c r="AR894" s="1" t="s">
        <v>684</v>
      </c>
      <c r="AS894" s="1" t="s">
        <v>685</v>
      </c>
      <c r="AT894" s="1" t="s">
        <v>474</v>
      </c>
      <c r="AU894" s="1" t="n">
        <v>2021</v>
      </c>
      <c r="AV894" s="1" t="n">
        <v>26</v>
      </c>
      <c r="AW894" s="1" t="n">
        <v>5</v>
      </c>
      <c r="AX894" s="1"/>
      <c r="AY894" s="1"/>
      <c r="AZ894" s="1"/>
      <c r="BA894" s="1"/>
      <c r="BB894" s="1"/>
      <c r="BC894" s="1"/>
      <c r="BD894" s="1" t="n">
        <v>103</v>
      </c>
      <c r="BE894" s="1" t="s">
        <v>15952</v>
      </c>
      <c r="BF894" s="1" t="str">
        <f aca="false">HYPERLINK("http://dx.doi.org/10.1007/s10664-021-10005-5","http://dx.doi.org/10.1007/s10664-021-10005-5")</f>
        <v>http://dx.doi.org/10.1007/s10664-021-10005-5</v>
      </c>
      <c r="BG894" s="1"/>
      <c r="BH894" s="1"/>
      <c r="BI894" s="1" t="n">
        <v>29</v>
      </c>
      <c r="BJ894" s="1" t="s">
        <v>252</v>
      </c>
      <c r="BK894" s="1" t="s">
        <v>398</v>
      </c>
      <c r="BL894" s="1" t="s">
        <v>101</v>
      </c>
      <c r="BM894" s="1" t="s">
        <v>15953</v>
      </c>
      <c r="BN894" s="1"/>
      <c r="BO894" s="1"/>
      <c r="BP894" s="1"/>
      <c r="BQ894" s="1"/>
      <c r="BR894" s="1" t="s">
        <v>103</v>
      </c>
      <c r="BS894" s="1" t="s">
        <v>15954</v>
      </c>
      <c r="BT894" s="1" t="str">
        <f aca="false">HYPERLINK("https%3A%2F%2Fwww.webofscience.com%2Fwos%2Fwoscc%2Ffull-record%2FWOS:000673670000001","View Full Record in Web of Science")</f>
        <v>View Full Record in Web of Science</v>
      </c>
    </row>
    <row r="895" customFormat="false" ht="12.75" hidden="false" customHeight="false" outlineLevel="0" collapsed="false">
      <c r="A895" s="1" t="s">
        <v>181</v>
      </c>
      <c r="B895" s="1" t="s">
        <v>15766</v>
      </c>
      <c r="C895" s="1"/>
      <c r="D895" s="1"/>
      <c r="E895" s="1"/>
      <c r="F895" s="1" t="s">
        <v>15955</v>
      </c>
      <c r="G895" s="1"/>
      <c r="H895" s="1"/>
      <c r="I895" s="1" t="s">
        <v>15956</v>
      </c>
      <c r="J895" s="1" t="s">
        <v>15769</v>
      </c>
      <c r="K895" s="1"/>
      <c r="L895" s="1"/>
      <c r="M895" s="1" t="s">
        <v>78</v>
      </c>
      <c r="N895" s="1" t="s">
        <v>618</v>
      </c>
      <c r="O895" s="1"/>
      <c r="P895" s="1"/>
      <c r="Q895" s="1"/>
      <c r="R895" s="1"/>
      <c r="S895" s="1"/>
      <c r="T895" s="1" t="s">
        <v>15957</v>
      </c>
      <c r="U895" s="1" t="s">
        <v>15958</v>
      </c>
      <c r="V895" s="1" t="s">
        <v>15959</v>
      </c>
      <c r="W895" s="1" t="s">
        <v>15960</v>
      </c>
      <c r="X895" s="1" t="s">
        <v>15771</v>
      </c>
      <c r="Y895" s="1" t="s">
        <v>15772</v>
      </c>
      <c r="Z895" s="1" t="s">
        <v>15773</v>
      </c>
      <c r="AA895" s="1" t="s">
        <v>15961</v>
      </c>
      <c r="AB895" s="1" t="s">
        <v>15962</v>
      </c>
      <c r="AC895" s="1"/>
      <c r="AD895" s="1"/>
      <c r="AE895" s="1"/>
      <c r="AF895" s="1"/>
      <c r="AG895" s="1" t="n">
        <v>143</v>
      </c>
      <c r="AH895" s="1" t="n">
        <v>47</v>
      </c>
      <c r="AI895" s="1" t="n">
        <v>47</v>
      </c>
      <c r="AJ895" s="1" t="n">
        <v>7</v>
      </c>
      <c r="AK895" s="1" t="n">
        <v>59</v>
      </c>
      <c r="AL895" s="1" t="s">
        <v>679</v>
      </c>
      <c r="AM895" s="1" t="s">
        <v>95</v>
      </c>
      <c r="AN895" s="1" t="s">
        <v>803</v>
      </c>
      <c r="AO895" s="1" t="s">
        <v>15776</v>
      </c>
      <c r="AP895" s="1" t="s">
        <v>15777</v>
      </c>
      <c r="AQ895" s="1"/>
      <c r="AR895" s="1" t="s">
        <v>15778</v>
      </c>
      <c r="AS895" s="1" t="s">
        <v>15779</v>
      </c>
      <c r="AT895" s="1" t="s">
        <v>3432</v>
      </c>
      <c r="AU895" s="1" t="n">
        <v>2023</v>
      </c>
      <c r="AV895" s="1" t="n">
        <v>47</v>
      </c>
      <c r="AW895" s="1" t="n">
        <v>1</v>
      </c>
      <c r="AX895" s="1"/>
      <c r="AY895" s="1"/>
      <c r="AZ895" s="1"/>
      <c r="BA895" s="1"/>
      <c r="BB895" s="1"/>
      <c r="BC895" s="1"/>
      <c r="BD895" s="1" t="n">
        <v>17</v>
      </c>
      <c r="BE895" s="1" t="s">
        <v>15963</v>
      </c>
      <c r="BF895" s="1" t="str">
        <f aca="false">HYPERLINK("http://dx.doi.org/10.1007/s10916-023-01906-7","http://dx.doi.org/10.1007/s10916-023-01906-7")</f>
        <v>http://dx.doi.org/10.1007/s10916-023-01906-7</v>
      </c>
      <c r="BG895" s="1"/>
      <c r="BH895" s="1"/>
      <c r="BI895" s="1" t="n">
        <v>25</v>
      </c>
      <c r="BJ895" s="1" t="s">
        <v>854</v>
      </c>
      <c r="BK895" s="1" t="s">
        <v>204</v>
      </c>
      <c r="BL895" s="1" t="s">
        <v>854</v>
      </c>
      <c r="BM895" s="1" t="s">
        <v>15964</v>
      </c>
      <c r="BN895" s="1" t="n">
        <v>36720727</v>
      </c>
      <c r="BO895" s="1" t="s">
        <v>207</v>
      </c>
      <c r="BP895" s="1" t="s">
        <v>10616</v>
      </c>
      <c r="BQ895" s="1" t="s">
        <v>10617</v>
      </c>
      <c r="BR895" s="1" t="s">
        <v>103</v>
      </c>
      <c r="BS895" s="1" t="s">
        <v>15965</v>
      </c>
      <c r="BT895" s="1" t="str">
        <f aca="false">HYPERLINK("https%3A%2F%2Fwww.webofscience.com%2Fwos%2Fwoscc%2Ffull-record%2FWOS:000920053700001","View Full Record in Web of Science")</f>
        <v>View Full Record in Web of Science</v>
      </c>
    </row>
    <row r="896" customFormat="false" ht="12.75" hidden="false" customHeight="false" outlineLevel="0" collapsed="false">
      <c r="A896" s="1" t="s">
        <v>181</v>
      </c>
      <c r="B896" s="1" t="s">
        <v>15966</v>
      </c>
      <c r="C896" s="1"/>
      <c r="D896" s="1"/>
      <c r="E896" s="1"/>
      <c r="F896" s="1" t="s">
        <v>15967</v>
      </c>
      <c r="G896" s="1"/>
      <c r="H896" s="1"/>
      <c r="I896" s="1" t="s">
        <v>15968</v>
      </c>
      <c r="J896" s="1" t="s">
        <v>1104</v>
      </c>
      <c r="K896" s="1"/>
      <c r="L896" s="1"/>
      <c r="M896" s="1" t="s">
        <v>78</v>
      </c>
      <c r="N896" s="1" t="s">
        <v>186</v>
      </c>
      <c r="O896" s="1"/>
      <c r="P896" s="1"/>
      <c r="Q896" s="1"/>
      <c r="R896" s="1"/>
      <c r="S896" s="1"/>
      <c r="T896" s="1" t="s">
        <v>15969</v>
      </c>
      <c r="U896" s="1" t="s">
        <v>15970</v>
      </c>
      <c r="V896" s="1" t="s">
        <v>15971</v>
      </c>
      <c r="W896" s="1" t="s">
        <v>15972</v>
      </c>
      <c r="X896" s="1" t="s">
        <v>15973</v>
      </c>
      <c r="Y896" s="1" t="s">
        <v>11230</v>
      </c>
      <c r="Z896" s="1" t="s">
        <v>15106</v>
      </c>
      <c r="AA896" s="1" t="s">
        <v>15974</v>
      </c>
      <c r="AB896" s="1" t="s">
        <v>15975</v>
      </c>
      <c r="AC896" s="1" t="s">
        <v>15976</v>
      </c>
      <c r="AD896" s="1" t="s">
        <v>532</v>
      </c>
      <c r="AE896" s="1" t="s">
        <v>15977</v>
      </c>
      <c r="AF896" s="1"/>
      <c r="AG896" s="1" t="n">
        <v>68</v>
      </c>
      <c r="AH896" s="1" t="n">
        <v>4</v>
      </c>
      <c r="AI896" s="1" t="n">
        <v>5</v>
      </c>
      <c r="AJ896" s="1" t="n">
        <v>1</v>
      </c>
      <c r="AK896" s="1" t="n">
        <v>5</v>
      </c>
      <c r="AL896" s="1" t="s">
        <v>195</v>
      </c>
      <c r="AM896" s="1" t="s">
        <v>196</v>
      </c>
      <c r="AN896" s="1" t="s">
        <v>197</v>
      </c>
      <c r="AO896" s="1" t="s">
        <v>1114</v>
      </c>
      <c r="AP896" s="1"/>
      <c r="AQ896" s="1"/>
      <c r="AR896" s="1" t="s">
        <v>1104</v>
      </c>
      <c r="AS896" s="1" t="s">
        <v>1115</v>
      </c>
      <c r="AT896" s="1"/>
      <c r="AU896" s="1" t="n">
        <v>2022</v>
      </c>
      <c r="AV896" s="1" t="n">
        <v>10</v>
      </c>
      <c r="AW896" s="1"/>
      <c r="AX896" s="1"/>
      <c r="AY896" s="1"/>
      <c r="AZ896" s="1"/>
      <c r="BA896" s="1"/>
      <c r="BB896" s="1" t="n">
        <v>55338</v>
      </c>
      <c r="BC896" s="1" t="n">
        <v>55349</v>
      </c>
      <c r="BD896" s="1"/>
      <c r="BE896" s="1" t="s">
        <v>15978</v>
      </c>
      <c r="BF896" s="1" t="str">
        <f aca="false">HYPERLINK("http://dx.doi.org/10.1109/ACCESS.2022.3175197","http://dx.doi.org/10.1109/ACCESS.2022.3175197")</f>
        <v>http://dx.doi.org/10.1109/ACCESS.2022.3175197</v>
      </c>
      <c r="BG896" s="1"/>
      <c r="BH896" s="1"/>
      <c r="BI896" s="1" t="n">
        <v>12</v>
      </c>
      <c r="BJ896" s="1" t="s">
        <v>1117</v>
      </c>
      <c r="BK896" s="1" t="s">
        <v>204</v>
      </c>
      <c r="BL896" s="1" t="s">
        <v>1118</v>
      </c>
      <c r="BM896" s="1" t="s">
        <v>15979</v>
      </c>
      <c r="BN896" s="1"/>
      <c r="BO896" s="1" t="s">
        <v>376</v>
      </c>
      <c r="BP896" s="1"/>
      <c r="BQ896" s="1"/>
      <c r="BR896" s="1" t="s">
        <v>103</v>
      </c>
      <c r="BS896" s="1" t="s">
        <v>15980</v>
      </c>
      <c r="BT896" s="1" t="str">
        <f aca="false">HYPERLINK("https%3A%2F%2Fwww.webofscience.com%2Fwos%2Fwoscc%2Ffull-record%2FWOS:000804633200001","View Full Record in Web of Science")</f>
        <v>View Full Record in Web of Science</v>
      </c>
    </row>
    <row r="897" customFormat="false" ht="12.75" hidden="false" customHeight="false" outlineLevel="0" collapsed="false">
      <c r="A897" s="1" t="s">
        <v>181</v>
      </c>
      <c r="B897" s="1" t="s">
        <v>15981</v>
      </c>
      <c r="C897" s="1"/>
      <c r="D897" s="1"/>
      <c r="E897" s="1"/>
      <c r="F897" s="1" t="s">
        <v>15982</v>
      </c>
      <c r="G897" s="1"/>
      <c r="H897" s="1"/>
      <c r="I897" s="1" t="s">
        <v>15983</v>
      </c>
      <c r="J897" s="1" t="s">
        <v>5821</v>
      </c>
      <c r="K897" s="1"/>
      <c r="L897" s="1"/>
      <c r="M897" s="1" t="s">
        <v>78</v>
      </c>
      <c r="N897" s="1" t="s">
        <v>186</v>
      </c>
      <c r="O897" s="1"/>
      <c r="P897" s="1"/>
      <c r="Q897" s="1"/>
      <c r="R897" s="1"/>
      <c r="S897" s="1"/>
      <c r="T897" s="1" t="s">
        <v>15984</v>
      </c>
      <c r="U897" s="1" t="s">
        <v>15985</v>
      </c>
      <c r="V897" s="1" t="s">
        <v>15986</v>
      </c>
      <c r="W897" s="1" t="s">
        <v>15987</v>
      </c>
      <c r="X897" s="1" t="s">
        <v>15988</v>
      </c>
      <c r="Y897" s="1" t="s">
        <v>15989</v>
      </c>
      <c r="Z897" s="1" t="s">
        <v>15990</v>
      </c>
      <c r="AA897" s="1" t="s">
        <v>15991</v>
      </c>
      <c r="AB897" s="1" t="s">
        <v>15992</v>
      </c>
      <c r="AC897" s="1" t="s">
        <v>15993</v>
      </c>
      <c r="AD897" s="1" t="s">
        <v>15994</v>
      </c>
      <c r="AE897" s="1" t="s">
        <v>15995</v>
      </c>
      <c r="AF897" s="1"/>
      <c r="AG897" s="1" t="n">
        <v>47</v>
      </c>
      <c r="AH897" s="1" t="n">
        <v>34</v>
      </c>
      <c r="AI897" s="1" t="n">
        <v>34</v>
      </c>
      <c r="AJ897" s="1" t="n">
        <v>1</v>
      </c>
      <c r="AK897" s="1" t="n">
        <v>54</v>
      </c>
      <c r="AL897" s="1" t="s">
        <v>195</v>
      </c>
      <c r="AM897" s="1" t="s">
        <v>196</v>
      </c>
      <c r="AN897" s="1" t="s">
        <v>197</v>
      </c>
      <c r="AO897" s="1" t="s">
        <v>5833</v>
      </c>
      <c r="AP897" s="1" t="s">
        <v>5834</v>
      </c>
      <c r="AQ897" s="1"/>
      <c r="AR897" s="1" t="s">
        <v>5835</v>
      </c>
      <c r="AS897" s="1" t="s">
        <v>5836</v>
      </c>
      <c r="AT897" s="1"/>
      <c r="AU897" s="1" t="n">
        <v>2022</v>
      </c>
      <c r="AV897" s="1" t="n">
        <v>60</v>
      </c>
      <c r="AW897" s="1"/>
      <c r="AX897" s="1"/>
      <c r="AY897" s="1"/>
      <c r="AZ897" s="1"/>
      <c r="BA897" s="1"/>
      <c r="BB897" s="1"/>
      <c r="BC897" s="1"/>
      <c r="BD897" s="1" t="n">
        <v>5400820</v>
      </c>
      <c r="BE897" s="1" t="s">
        <v>15996</v>
      </c>
      <c r="BF897" s="1" t="str">
        <f aca="false">HYPERLINK("http://dx.doi.org/10.1109/TGRS.2021.3063151","http://dx.doi.org/10.1109/TGRS.2021.3063151")</f>
        <v>http://dx.doi.org/10.1109/TGRS.2021.3063151</v>
      </c>
      <c r="BG897" s="1"/>
      <c r="BH897" s="1"/>
      <c r="BI897" s="1" t="n">
        <v>20</v>
      </c>
      <c r="BJ897" s="1" t="s">
        <v>203</v>
      </c>
      <c r="BK897" s="1" t="s">
        <v>204</v>
      </c>
      <c r="BL897" s="1" t="s">
        <v>205</v>
      </c>
      <c r="BM897" s="1" t="s">
        <v>15997</v>
      </c>
      <c r="BN897" s="1"/>
      <c r="BO897" s="1"/>
      <c r="BP897" s="1"/>
      <c r="BQ897" s="1"/>
      <c r="BR897" s="1" t="s">
        <v>103</v>
      </c>
      <c r="BS897" s="1" t="s">
        <v>15998</v>
      </c>
      <c r="BT897" s="1" t="str">
        <f aca="false">HYPERLINK("https%3A%2F%2Fwww.webofscience.com%2Fwos%2Fwoscc%2Ffull-record%2FWOS:000728266600088","View Full Record in Web of Science")</f>
        <v>View Full Record in Web of Science</v>
      </c>
    </row>
    <row r="898" customFormat="false" ht="12.75" hidden="false" customHeight="false" outlineLevel="0" collapsed="false">
      <c r="A898" s="1" t="s">
        <v>181</v>
      </c>
      <c r="B898" s="1" t="s">
        <v>15999</v>
      </c>
      <c r="C898" s="1"/>
      <c r="D898" s="1"/>
      <c r="E898" s="1"/>
      <c r="F898" s="1" t="s">
        <v>16000</v>
      </c>
      <c r="G898" s="1"/>
      <c r="H898" s="1"/>
      <c r="I898" s="1" t="s">
        <v>16001</v>
      </c>
      <c r="J898" s="1" t="s">
        <v>3700</v>
      </c>
      <c r="K898" s="1"/>
      <c r="L898" s="1"/>
      <c r="M898" s="1" t="s">
        <v>78</v>
      </c>
      <c r="N898" s="1" t="s">
        <v>186</v>
      </c>
      <c r="O898" s="1"/>
      <c r="P898" s="1"/>
      <c r="Q898" s="1"/>
      <c r="R898" s="1"/>
      <c r="S898" s="1"/>
      <c r="T898" s="1" t="s">
        <v>16002</v>
      </c>
      <c r="U898" s="1" t="s">
        <v>16003</v>
      </c>
      <c r="V898" s="1" t="s">
        <v>16004</v>
      </c>
      <c r="W898" s="1" t="s">
        <v>16005</v>
      </c>
      <c r="X898" s="1" t="s">
        <v>16006</v>
      </c>
      <c r="Y898" s="1" t="s">
        <v>10157</v>
      </c>
      <c r="Z898" s="1" t="s">
        <v>16007</v>
      </c>
      <c r="AA898" s="1" t="s">
        <v>16008</v>
      </c>
      <c r="AB898" s="1" t="s">
        <v>16009</v>
      </c>
      <c r="AC898" s="1"/>
      <c r="AD898" s="1"/>
      <c r="AE898" s="1"/>
      <c r="AF898" s="1"/>
      <c r="AG898" s="1" t="n">
        <v>50</v>
      </c>
      <c r="AH898" s="1" t="n">
        <v>5</v>
      </c>
      <c r="AI898" s="1" t="n">
        <v>5</v>
      </c>
      <c r="AJ898" s="1" t="n">
        <v>0</v>
      </c>
      <c r="AK898" s="1" t="n">
        <v>10</v>
      </c>
      <c r="AL898" s="1" t="s">
        <v>3711</v>
      </c>
      <c r="AM898" s="1" t="s">
        <v>95</v>
      </c>
      <c r="AN898" s="1" t="s">
        <v>3712</v>
      </c>
      <c r="AO898" s="1" t="s">
        <v>3713</v>
      </c>
      <c r="AP898" s="1" t="s">
        <v>3714</v>
      </c>
      <c r="AQ898" s="1"/>
      <c r="AR898" s="1" t="s">
        <v>3715</v>
      </c>
      <c r="AS898" s="1" t="s">
        <v>3716</v>
      </c>
      <c r="AT898" s="1" t="s">
        <v>2698</v>
      </c>
      <c r="AU898" s="1" t="n">
        <v>2021</v>
      </c>
      <c r="AV898" s="1" t="n">
        <v>176</v>
      </c>
      <c r="AW898" s="1"/>
      <c r="AX898" s="1"/>
      <c r="AY898" s="1"/>
      <c r="AZ898" s="1"/>
      <c r="BA898" s="1"/>
      <c r="BB898" s="1"/>
      <c r="BC898" s="1"/>
      <c r="BD898" s="1" t="n">
        <v>110937</v>
      </c>
      <c r="BE898" s="1" t="s">
        <v>16010</v>
      </c>
      <c r="BF898" s="1" t="str">
        <f aca="false">HYPERLINK("http://dx.doi.org/10.1016/j.jss.2021.110937","http://dx.doi.org/10.1016/j.jss.2021.110937")</f>
        <v>http://dx.doi.org/10.1016/j.jss.2021.110937</v>
      </c>
      <c r="BG898" s="1"/>
      <c r="BH898" s="1" t="s">
        <v>1749</v>
      </c>
      <c r="BI898" s="1" t="n">
        <v>17</v>
      </c>
      <c r="BJ898" s="1" t="s">
        <v>994</v>
      </c>
      <c r="BK898" s="1" t="s">
        <v>204</v>
      </c>
      <c r="BL898" s="1" t="s">
        <v>101</v>
      </c>
      <c r="BM898" s="1" t="s">
        <v>16011</v>
      </c>
      <c r="BN898" s="1"/>
      <c r="BO898" s="1" t="s">
        <v>10036</v>
      </c>
      <c r="BP898" s="1"/>
      <c r="BQ898" s="1"/>
      <c r="BR898" s="1" t="s">
        <v>103</v>
      </c>
      <c r="BS898" s="1" t="s">
        <v>16012</v>
      </c>
      <c r="BT898" s="1" t="str">
        <f aca="false">HYPERLINK("https%3A%2F%2Fwww.webofscience.com%2Fwos%2Fwoscc%2Ffull-record%2FWOS:000636371400011","View Full Record in Web of Science")</f>
        <v>View Full Record in Web of Science</v>
      </c>
    </row>
    <row r="899" customFormat="false" ht="12.75" hidden="false" customHeight="false" outlineLevel="0" collapsed="false">
      <c r="A899" s="1" t="s">
        <v>72</v>
      </c>
      <c r="B899" s="1" t="s">
        <v>16013</v>
      </c>
      <c r="C899" s="1"/>
      <c r="D899" s="1" t="s">
        <v>9932</v>
      </c>
      <c r="E899" s="1"/>
      <c r="F899" s="1" t="s">
        <v>16014</v>
      </c>
      <c r="G899" s="1"/>
      <c r="H899" s="1"/>
      <c r="I899" s="1" t="s">
        <v>16015</v>
      </c>
      <c r="J899" s="1" t="s">
        <v>9935</v>
      </c>
      <c r="K899" s="1" t="s">
        <v>976</v>
      </c>
      <c r="L899" s="1"/>
      <c r="M899" s="1" t="s">
        <v>78</v>
      </c>
      <c r="N899" s="1" t="s">
        <v>79</v>
      </c>
      <c r="O899" s="1" t="s">
        <v>9936</v>
      </c>
      <c r="P899" s="1" t="s">
        <v>9937</v>
      </c>
      <c r="Q899" s="1" t="s">
        <v>320</v>
      </c>
      <c r="R899" s="1"/>
      <c r="S899" s="1"/>
      <c r="T899" s="1" t="s">
        <v>16016</v>
      </c>
      <c r="U899" s="1"/>
      <c r="V899" s="1" t="s">
        <v>16017</v>
      </c>
      <c r="W899" s="1" t="s">
        <v>16018</v>
      </c>
      <c r="X899" s="1" t="s">
        <v>16019</v>
      </c>
      <c r="Y899" s="1" t="s">
        <v>16020</v>
      </c>
      <c r="Z899" s="1" t="s">
        <v>16021</v>
      </c>
      <c r="AA899" s="1" t="s">
        <v>13674</v>
      </c>
      <c r="AB899" s="1" t="s">
        <v>16022</v>
      </c>
      <c r="AC899" s="1" t="s">
        <v>16023</v>
      </c>
      <c r="AD899" s="1" t="s">
        <v>16024</v>
      </c>
      <c r="AE899" s="1" t="s">
        <v>16025</v>
      </c>
      <c r="AF899" s="1"/>
      <c r="AG899" s="1" t="n">
        <v>31</v>
      </c>
      <c r="AH899" s="1" t="n">
        <v>10</v>
      </c>
      <c r="AI899" s="1" t="n">
        <v>11</v>
      </c>
      <c r="AJ899" s="1" t="n">
        <v>1</v>
      </c>
      <c r="AK899" s="1" t="n">
        <v>12</v>
      </c>
      <c r="AL899" s="1" t="s">
        <v>302</v>
      </c>
      <c r="AM899" s="1" t="s">
        <v>303</v>
      </c>
      <c r="AN899" s="1" t="s">
        <v>304</v>
      </c>
      <c r="AO899" s="1" t="s">
        <v>989</v>
      </c>
      <c r="AP899" s="1" t="s">
        <v>990</v>
      </c>
      <c r="AQ899" s="1" t="s">
        <v>9948</v>
      </c>
      <c r="AR899" s="1" t="s">
        <v>992</v>
      </c>
      <c r="AS899" s="1"/>
      <c r="AT899" s="1"/>
      <c r="AU899" s="1" t="n">
        <v>2020</v>
      </c>
      <c r="AV899" s="1" t="n">
        <v>12562</v>
      </c>
      <c r="AW899" s="1"/>
      <c r="AX899" s="1"/>
      <c r="AY899" s="1"/>
      <c r="AZ899" s="1"/>
      <c r="BA899" s="1"/>
      <c r="BB899" s="1" t="n">
        <v>434</v>
      </c>
      <c r="BC899" s="1" t="n">
        <v>452</v>
      </c>
      <c r="BD899" s="1"/>
      <c r="BE899" s="1" t="s">
        <v>16026</v>
      </c>
      <c r="BF899" s="1" t="str">
        <f aca="false">HYPERLINK("http://dx.doi.org/10.1007/978-3-030-64148-1_27","http://dx.doi.org/10.1007/978-3-030-64148-1_27")</f>
        <v>http://dx.doi.org/10.1007/978-3-030-64148-1_27</v>
      </c>
      <c r="BG899" s="1"/>
      <c r="BH899" s="1"/>
      <c r="BI899" s="1" t="n">
        <v>19</v>
      </c>
      <c r="BJ899" s="1" t="s">
        <v>994</v>
      </c>
      <c r="BK899" s="1" t="s">
        <v>100</v>
      </c>
      <c r="BL899" s="1" t="s">
        <v>101</v>
      </c>
      <c r="BM899" s="1" t="s">
        <v>9950</v>
      </c>
      <c r="BN899" s="1"/>
      <c r="BO899" s="1"/>
      <c r="BP899" s="1"/>
      <c r="BQ899" s="1"/>
      <c r="BR899" s="1" t="s">
        <v>103</v>
      </c>
      <c r="BS899" s="1" t="s">
        <v>16027</v>
      </c>
      <c r="BT899" s="1" t="str">
        <f aca="false">HYPERLINK("https%3A%2F%2Fwww.webofscience.com%2Fwos%2Fwoscc%2Ffull-record%2FWOS:000766320200027","View Full Record in Web of Science")</f>
        <v>View Full Record in Web of Science</v>
      </c>
    </row>
    <row r="900" customFormat="false" ht="12.75" hidden="false" customHeight="false" outlineLevel="0" collapsed="false">
      <c r="A900" s="1" t="s">
        <v>181</v>
      </c>
      <c r="B900" s="1" t="s">
        <v>16028</v>
      </c>
      <c r="C900" s="1"/>
      <c r="D900" s="1"/>
      <c r="E900" s="1"/>
      <c r="F900" s="1" t="s">
        <v>16029</v>
      </c>
      <c r="G900" s="1"/>
      <c r="H900" s="1"/>
      <c r="I900" s="1" t="s">
        <v>16030</v>
      </c>
      <c r="J900" s="1" t="s">
        <v>1378</v>
      </c>
      <c r="K900" s="1"/>
      <c r="L900" s="1"/>
      <c r="M900" s="1" t="s">
        <v>78</v>
      </c>
      <c r="N900" s="1" t="s">
        <v>1996</v>
      </c>
      <c r="O900" s="1"/>
      <c r="P900" s="1"/>
      <c r="Q900" s="1"/>
      <c r="R900" s="1"/>
      <c r="S900" s="1"/>
      <c r="T900" s="1"/>
      <c r="U900" s="1"/>
      <c r="V900" s="1"/>
      <c r="W900" s="1" t="s">
        <v>16031</v>
      </c>
      <c r="X900" s="1" t="s">
        <v>16032</v>
      </c>
      <c r="Y900" s="1" t="s">
        <v>12614</v>
      </c>
      <c r="Z900" s="1"/>
      <c r="AA900" s="1" t="s">
        <v>6797</v>
      </c>
      <c r="AB900" s="1"/>
      <c r="AC900" s="1"/>
      <c r="AD900" s="1"/>
      <c r="AE900" s="1"/>
      <c r="AF900" s="1"/>
      <c r="AG900" s="1" t="n">
        <v>3</v>
      </c>
      <c r="AH900" s="1" t="n">
        <v>1</v>
      </c>
      <c r="AI900" s="1" t="n">
        <v>1</v>
      </c>
      <c r="AJ900" s="1" t="n">
        <v>0</v>
      </c>
      <c r="AK900" s="1" t="n">
        <v>2</v>
      </c>
      <c r="AL900" s="1" t="s">
        <v>893</v>
      </c>
      <c r="AM900" s="1" t="s">
        <v>894</v>
      </c>
      <c r="AN900" s="1" t="s">
        <v>895</v>
      </c>
      <c r="AO900" s="1" t="s">
        <v>1387</v>
      </c>
      <c r="AP900" s="1" t="s">
        <v>1388</v>
      </c>
      <c r="AQ900" s="1"/>
      <c r="AR900" s="1" t="s">
        <v>1389</v>
      </c>
      <c r="AS900" s="1" t="s">
        <v>1390</v>
      </c>
      <c r="AT900" s="1" t="s">
        <v>421</v>
      </c>
      <c r="AU900" s="1" t="n">
        <v>2022</v>
      </c>
      <c r="AV900" s="1" t="n">
        <v>144</v>
      </c>
      <c r="AW900" s="1"/>
      <c r="AX900" s="1"/>
      <c r="AY900" s="1"/>
      <c r="AZ900" s="1"/>
      <c r="BA900" s="1"/>
      <c r="BB900" s="1"/>
      <c r="BC900" s="1"/>
      <c r="BD900" s="1" t="n">
        <v>106801</v>
      </c>
      <c r="BE900" s="1" t="s">
        <v>16033</v>
      </c>
      <c r="BF900" s="1" t="str">
        <f aca="false">HYPERLINK("http://dx.doi.org/10.1016/j.infsof.2021.106801","http://dx.doi.org/10.1016/j.infsof.2021.106801")</f>
        <v>http://dx.doi.org/10.1016/j.infsof.2021.106801</v>
      </c>
      <c r="BG900" s="1"/>
      <c r="BH900" s="1" t="s">
        <v>2540</v>
      </c>
      <c r="BI900" s="1" t="n">
        <v>3</v>
      </c>
      <c r="BJ900" s="1" t="s">
        <v>1394</v>
      </c>
      <c r="BK900" s="1" t="s">
        <v>204</v>
      </c>
      <c r="BL900" s="1" t="s">
        <v>101</v>
      </c>
      <c r="BM900" s="1" t="s">
        <v>16034</v>
      </c>
      <c r="BN900" s="1"/>
      <c r="BO900" s="1"/>
      <c r="BP900" s="1"/>
      <c r="BQ900" s="1"/>
      <c r="BR900" s="1" t="s">
        <v>103</v>
      </c>
      <c r="BS900" s="1" t="s">
        <v>16035</v>
      </c>
      <c r="BT900" s="1" t="str">
        <f aca="false">HYPERLINK("https%3A%2F%2Fwww.webofscience.com%2Fwos%2Fwoscc%2Ffull-record%2FWOS:000745098800015","View Full Record in Web of Science")</f>
        <v>View Full Record in Web of Science</v>
      </c>
    </row>
    <row r="901" customFormat="false" ht="12.75" hidden="false" customHeight="false" outlineLevel="0" collapsed="false">
      <c r="A901" s="1" t="s">
        <v>181</v>
      </c>
      <c r="B901" s="1" t="s">
        <v>16036</v>
      </c>
      <c r="C901" s="1"/>
      <c r="D901" s="1"/>
      <c r="E901" s="1"/>
      <c r="F901" s="1" t="s">
        <v>16037</v>
      </c>
      <c r="G901" s="1"/>
      <c r="H901" s="1"/>
      <c r="I901" s="1" t="s">
        <v>16038</v>
      </c>
      <c r="J901" s="1" t="s">
        <v>406</v>
      </c>
      <c r="K901" s="1"/>
      <c r="L901" s="1"/>
      <c r="M901" s="1" t="s">
        <v>78</v>
      </c>
      <c r="N901" s="1" t="s">
        <v>186</v>
      </c>
      <c r="O901" s="1"/>
      <c r="P901" s="1"/>
      <c r="Q901" s="1"/>
      <c r="R901" s="1"/>
      <c r="S901" s="1"/>
      <c r="T901" s="1" t="s">
        <v>16039</v>
      </c>
      <c r="U901" s="1" t="s">
        <v>16040</v>
      </c>
      <c r="V901" s="1" t="s">
        <v>16041</v>
      </c>
      <c r="W901" s="1" t="s">
        <v>16042</v>
      </c>
      <c r="X901" s="1" t="s">
        <v>16043</v>
      </c>
      <c r="Y901" s="1" t="s">
        <v>16044</v>
      </c>
      <c r="Z901" s="1" t="s">
        <v>16045</v>
      </c>
      <c r="AA901" s="1"/>
      <c r="AB901" s="1" t="s">
        <v>16046</v>
      </c>
      <c r="AC901" s="1" t="s">
        <v>13018</v>
      </c>
      <c r="AD901" s="1" t="s">
        <v>11955</v>
      </c>
      <c r="AE901" s="1" t="s">
        <v>16047</v>
      </c>
      <c r="AF901" s="1"/>
      <c r="AG901" s="1" t="n">
        <v>30</v>
      </c>
      <c r="AH901" s="1" t="n">
        <v>7</v>
      </c>
      <c r="AI901" s="1" t="n">
        <v>7</v>
      </c>
      <c r="AJ901" s="1" t="n">
        <v>0</v>
      </c>
      <c r="AK901" s="1" t="n">
        <v>2</v>
      </c>
      <c r="AL901" s="1" t="s">
        <v>367</v>
      </c>
      <c r="AM901" s="1" t="s">
        <v>368</v>
      </c>
      <c r="AN901" s="1" t="s">
        <v>369</v>
      </c>
      <c r="AO901" s="1"/>
      <c r="AP901" s="1" t="s">
        <v>418</v>
      </c>
      <c r="AQ901" s="1"/>
      <c r="AR901" s="1" t="s">
        <v>419</v>
      </c>
      <c r="AS901" s="1" t="s">
        <v>420</v>
      </c>
      <c r="AT901" s="1" t="s">
        <v>711</v>
      </c>
      <c r="AU901" s="1" t="n">
        <v>2020</v>
      </c>
      <c r="AV901" s="1" t="n">
        <v>17</v>
      </c>
      <c r="AW901" s="1" t="n">
        <v>15</v>
      </c>
      <c r="AX901" s="1"/>
      <c r="AY901" s="1"/>
      <c r="AZ901" s="1"/>
      <c r="BA901" s="1"/>
      <c r="BB901" s="1"/>
      <c r="BC901" s="1"/>
      <c r="BD901" s="1" t="n">
        <v>5434</v>
      </c>
      <c r="BE901" s="1" t="s">
        <v>16048</v>
      </c>
      <c r="BF901" s="1" t="str">
        <f aca="false">HYPERLINK("http://dx.doi.org/10.3390/ijerph17155434","http://dx.doi.org/10.3390/ijerph17155434")</f>
        <v>http://dx.doi.org/10.3390/ijerph17155434</v>
      </c>
      <c r="BG901" s="1"/>
      <c r="BH901" s="1"/>
      <c r="BI901" s="1" t="n">
        <v>11</v>
      </c>
      <c r="BJ901" s="1" t="s">
        <v>423</v>
      </c>
      <c r="BK901" s="1" t="s">
        <v>398</v>
      </c>
      <c r="BL901" s="1" t="s">
        <v>424</v>
      </c>
      <c r="BM901" s="1" t="s">
        <v>16049</v>
      </c>
      <c r="BN901" s="1" t="n">
        <v>32731539</v>
      </c>
      <c r="BO901" s="1" t="s">
        <v>401</v>
      </c>
      <c r="BP901" s="1"/>
      <c r="BQ901" s="1"/>
      <c r="BR901" s="1" t="s">
        <v>103</v>
      </c>
      <c r="BS901" s="1" t="s">
        <v>16050</v>
      </c>
      <c r="BT901" s="1" t="str">
        <f aca="false">HYPERLINK("https%3A%2F%2Fwww.webofscience.com%2Fwos%2Fwoscc%2Ffull-record%2FWOS:000559104900001","View Full Record in Web of Science")</f>
        <v>View Full Record in Web of Science</v>
      </c>
    </row>
    <row r="902" customFormat="false" ht="12.75" hidden="false" customHeight="false" outlineLevel="0" collapsed="false">
      <c r="A902" s="1" t="s">
        <v>72</v>
      </c>
      <c r="B902" s="1" t="s">
        <v>16051</v>
      </c>
      <c r="C902" s="1"/>
      <c r="D902" s="1" t="s">
        <v>3061</v>
      </c>
      <c r="E902" s="1"/>
      <c r="F902" s="1" t="s">
        <v>16052</v>
      </c>
      <c r="G902" s="1"/>
      <c r="H902" s="1"/>
      <c r="I902" s="1" t="s">
        <v>16053</v>
      </c>
      <c r="J902" s="1" t="s">
        <v>3064</v>
      </c>
      <c r="K902" s="1" t="s">
        <v>3065</v>
      </c>
      <c r="L902" s="1"/>
      <c r="M902" s="1" t="s">
        <v>78</v>
      </c>
      <c r="N902" s="1" t="s">
        <v>79</v>
      </c>
      <c r="O902" s="1" t="s">
        <v>3066</v>
      </c>
      <c r="P902" s="1" t="s">
        <v>3067</v>
      </c>
      <c r="Q902" s="1" t="s">
        <v>320</v>
      </c>
      <c r="R902" s="1" t="s">
        <v>3068</v>
      </c>
      <c r="S902" s="1"/>
      <c r="T902" s="1" t="s">
        <v>16054</v>
      </c>
      <c r="U902" s="1"/>
      <c r="V902" s="1" t="s">
        <v>16055</v>
      </c>
      <c r="W902" s="1" t="s">
        <v>16056</v>
      </c>
      <c r="X902" s="1" t="s">
        <v>16057</v>
      </c>
      <c r="Y902" s="1" t="s">
        <v>10157</v>
      </c>
      <c r="Z902" s="1" t="s">
        <v>16058</v>
      </c>
      <c r="AA902" s="1" t="s">
        <v>16008</v>
      </c>
      <c r="AB902" s="1" t="s">
        <v>16009</v>
      </c>
      <c r="AC902" s="1" t="s">
        <v>10161</v>
      </c>
      <c r="AD902" s="1" t="s">
        <v>10162</v>
      </c>
      <c r="AE902" s="1" t="s">
        <v>10163</v>
      </c>
      <c r="AF902" s="1"/>
      <c r="AG902" s="1" t="n">
        <v>20</v>
      </c>
      <c r="AH902" s="1" t="n">
        <v>4</v>
      </c>
      <c r="AI902" s="1" t="n">
        <v>5</v>
      </c>
      <c r="AJ902" s="1" t="n">
        <v>0</v>
      </c>
      <c r="AK902" s="1" t="n">
        <v>1</v>
      </c>
      <c r="AL902" s="1" t="s">
        <v>172</v>
      </c>
      <c r="AM902" s="1" t="s">
        <v>173</v>
      </c>
      <c r="AN902" s="1" t="s">
        <v>174</v>
      </c>
      <c r="AO902" s="1" t="s">
        <v>3078</v>
      </c>
      <c r="AP902" s="1"/>
      <c r="AQ902" s="1" t="s">
        <v>3079</v>
      </c>
      <c r="AR902" s="1" t="s">
        <v>3080</v>
      </c>
      <c r="AS902" s="1"/>
      <c r="AT902" s="1"/>
      <c r="AU902" s="1" t="n">
        <v>2020</v>
      </c>
      <c r="AV902" s="1"/>
      <c r="AW902" s="1"/>
      <c r="AX902" s="1"/>
      <c r="AY902" s="1"/>
      <c r="AZ902" s="1"/>
      <c r="BA902" s="1"/>
      <c r="BB902" s="1" t="n">
        <v>276</v>
      </c>
      <c r="BC902" s="1" t="n">
        <v>283</v>
      </c>
      <c r="BD902" s="1"/>
      <c r="BE902" s="1" t="s">
        <v>16059</v>
      </c>
      <c r="BF902" s="1" t="str">
        <f aca="false">HYPERLINK("http://dx.doi.org/10.1109/SEAA51224.2020.00054","http://dx.doi.org/10.1109/SEAA51224.2020.00054")</f>
        <v>http://dx.doi.org/10.1109/SEAA51224.2020.00054</v>
      </c>
      <c r="BG902" s="1"/>
      <c r="BH902" s="1"/>
      <c r="BI902" s="1" t="n">
        <v>8</v>
      </c>
      <c r="BJ902" s="1" t="s">
        <v>3082</v>
      </c>
      <c r="BK902" s="1" t="s">
        <v>100</v>
      </c>
      <c r="BL902" s="1" t="s">
        <v>1255</v>
      </c>
      <c r="BM902" s="1" t="s">
        <v>3083</v>
      </c>
      <c r="BN902" s="1"/>
      <c r="BO902" s="1" t="s">
        <v>227</v>
      </c>
      <c r="BP902" s="1"/>
      <c r="BQ902" s="1"/>
      <c r="BR902" s="1" t="s">
        <v>103</v>
      </c>
      <c r="BS902" s="1" t="s">
        <v>16060</v>
      </c>
      <c r="BT902" s="1" t="str">
        <f aca="false">HYPERLINK("https%3A%2F%2Fwww.webofscience.com%2Fwos%2Fwoscc%2Ffull-record%2FWOS:000702094100043","View Full Record in Web of Science")</f>
        <v>View Full Record in Web of Science</v>
      </c>
    </row>
    <row r="903" customFormat="false" ht="12.75" hidden="false" customHeight="false" outlineLevel="0" collapsed="false">
      <c r="A903" s="1" t="s">
        <v>181</v>
      </c>
      <c r="B903" s="1" t="s">
        <v>16061</v>
      </c>
      <c r="C903" s="1"/>
      <c r="D903" s="1"/>
      <c r="E903" s="1"/>
      <c r="F903" s="1" t="s">
        <v>16062</v>
      </c>
      <c r="G903" s="1"/>
      <c r="H903" s="1"/>
      <c r="I903" s="1" t="s">
        <v>16063</v>
      </c>
      <c r="J903" s="1" t="s">
        <v>16064</v>
      </c>
      <c r="K903" s="1"/>
      <c r="L903" s="1"/>
      <c r="M903" s="1" t="s">
        <v>78</v>
      </c>
      <c r="N903" s="1" t="s">
        <v>618</v>
      </c>
      <c r="O903" s="1"/>
      <c r="P903" s="1"/>
      <c r="Q903" s="1"/>
      <c r="R903" s="1"/>
      <c r="S903" s="1"/>
      <c r="T903" s="1" t="s">
        <v>16065</v>
      </c>
      <c r="U903" s="1" t="s">
        <v>16066</v>
      </c>
      <c r="V903" s="1" t="s">
        <v>16067</v>
      </c>
      <c r="W903" s="1" t="s">
        <v>16068</v>
      </c>
      <c r="X903" s="1" t="s">
        <v>16069</v>
      </c>
      <c r="Y903" s="1" t="s">
        <v>16070</v>
      </c>
      <c r="Z903" s="1" t="s">
        <v>16071</v>
      </c>
      <c r="AA903" s="1" t="s">
        <v>16072</v>
      </c>
      <c r="AB903" s="1" t="s">
        <v>16073</v>
      </c>
      <c r="AC903" s="1" t="s">
        <v>16074</v>
      </c>
      <c r="AD903" s="1" t="s">
        <v>16075</v>
      </c>
      <c r="AE903" s="1" t="s">
        <v>16076</v>
      </c>
      <c r="AF903" s="1"/>
      <c r="AG903" s="1" t="n">
        <v>218</v>
      </c>
      <c r="AH903" s="1" t="n">
        <v>1</v>
      </c>
      <c r="AI903" s="1" t="n">
        <v>1</v>
      </c>
      <c r="AJ903" s="1" t="n">
        <v>8</v>
      </c>
      <c r="AK903" s="1" t="n">
        <v>33</v>
      </c>
      <c r="AL903" s="1" t="s">
        <v>16077</v>
      </c>
      <c r="AM903" s="1" t="s">
        <v>16078</v>
      </c>
      <c r="AN903" s="1" t="s">
        <v>16079</v>
      </c>
      <c r="AO903" s="1" t="s">
        <v>16080</v>
      </c>
      <c r="AP903" s="1" t="s">
        <v>16081</v>
      </c>
      <c r="AQ903" s="1"/>
      <c r="AR903" s="1" t="s">
        <v>16082</v>
      </c>
      <c r="AS903" s="1" t="s">
        <v>16083</v>
      </c>
      <c r="AT903" s="1" t="s">
        <v>372</v>
      </c>
      <c r="AU903" s="1" t="n">
        <v>2023</v>
      </c>
      <c r="AV903" s="1" t="n">
        <v>24</v>
      </c>
      <c r="AW903" s="1" t="n">
        <v>12</v>
      </c>
      <c r="AX903" s="1"/>
      <c r="AY903" s="1"/>
      <c r="AZ903" s="1"/>
      <c r="BA903" s="1"/>
      <c r="BB903" s="1" t="n">
        <v>2153</v>
      </c>
      <c r="BC903" s="1" t="n">
        <v>2176</v>
      </c>
      <c r="BD903" s="1"/>
      <c r="BE903" s="1" t="s">
        <v>16084</v>
      </c>
      <c r="BF903" s="1" t="str">
        <f aca="false">HYPERLINK("http://dx.doi.org/10.1175/JHM-D-22-0122.1","http://dx.doi.org/10.1175/JHM-D-22-0122.1")</f>
        <v>http://dx.doi.org/10.1175/JHM-D-22-0122.1</v>
      </c>
      <c r="BG903" s="1"/>
      <c r="BH903" s="1"/>
      <c r="BI903" s="1" t="n">
        <v>24</v>
      </c>
      <c r="BJ903" s="1" t="s">
        <v>3932</v>
      </c>
      <c r="BK903" s="1" t="s">
        <v>204</v>
      </c>
      <c r="BL903" s="1" t="s">
        <v>3932</v>
      </c>
      <c r="BM903" s="1" t="s">
        <v>16085</v>
      </c>
      <c r="BN903" s="1"/>
      <c r="BO903" s="1"/>
      <c r="BP903" s="1"/>
      <c r="BQ903" s="1"/>
      <c r="BR903" s="1" t="s">
        <v>103</v>
      </c>
      <c r="BS903" s="1" t="s">
        <v>16086</v>
      </c>
      <c r="BT903" s="1" t="str">
        <f aca="false">HYPERLINK("https%3A%2F%2Fwww.webofscience.com%2Fwos%2Fwoscc%2Ffull-record%2FWOS:001101195800001","View Full Record in Web of Science")</f>
        <v>View Full Record in Web of Science</v>
      </c>
    </row>
    <row r="904" customFormat="false" ht="12.75" hidden="false" customHeight="false" outlineLevel="0" collapsed="false">
      <c r="A904" s="1" t="s">
        <v>181</v>
      </c>
      <c r="B904" s="1" t="s">
        <v>16087</v>
      </c>
      <c r="C904" s="1"/>
      <c r="D904" s="1"/>
      <c r="E904" s="1"/>
      <c r="F904" s="1" t="s">
        <v>16088</v>
      </c>
      <c r="G904" s="1"/>
      <c r="H904" s="1"/>
      <c r="I904" s="1" t="s">
        <v>16089</v>
      </c>
      <c r="J904" s="1" t="s">
        <v>4875</v>
      </c>
      <c r="K904" s="1"/>
      <c r="L904" s="1"/>
      <c r="M904" s="1" t="s">
        <v>78</v>
      </c>
      <c r="N904" s="1" t="s">
        <v>186</v>
      </c>
      <c r="O904" s="1"/>
      <c r="P904" s="1"/>
      <c r="Q904" s="1"/>
      <c r="R904" s="1"/>
      <c r="S904" s="1"/>
      <c r="T904" s="1" t="s">
        <v>16090</v>
      </c>
      <c r="U904" s="1"/>
      <c r="V904" s="1" t="s">
        <v>16091</v>
      </c>
      <c r="W904" s="1" t="s">
        <v>16092</v>
      </c>
      <c r="X904" s="1" t="s">
        <v>16093</v>
      </c>
      <c r="Y904" s="1" t="s">
        <v>16094</v>
      </c>
      <c r="Z904" s="1" t="s">
        <v>16095</v>
      </c>
      <c r="AA904" s="1" t="s">
        <v>16096</v>
      </c>
      <c r="AB904" s="1" t="s">
        <v>16097</v>
      </c>
      <c r="AC904" s="1"/>
      <c r="AD904" s="1"/>
      <c r="AE904" s="1"/>
      <c r="AF904" s="1"/>
      <c r="AG904" s="1" t="n">
        <v>14</v>
      </c>
      <c r="AH904" s="1" t="n">
        <v>83</v>
      </c>
      <c r="AI904" s="1" t="n">
        <v>90</v>
      </c>
      <c r="AJ904" s="1" t="n">
        <v>7</v>
      </c>
      <c r="AK904" s="1" t="n">
        <v>74</v>
      </c>
      <c r="AL904" s="1" t="s">
        <v>172</v>
      </c>
      <c r="AM904" s="1" t="s">
        <v>173</v>
      </c>
      <c r="AN904" s="1" t="s">
        <v>4882</v>
      </c>
      <c r="AO904" s="1" t="s">
        <v>4883</v>
      </c>
      <c r="AP904" s="1" t="s">
        <v>4884</v>
      </c>
      <c r="AQ904" s="1"/>
      <c r="AR904" s="1" t="s">
        <v>4875</v>
      </c>
      <c r="AS904" s="1" t="s">
        <v>4885</v>
      </c>
      <c r="AT904" s="1" t="s">
        <v>9995</v>
      </c>
      <c r="AU904" s="1" t="n">
        <v>2020</v>
      </c>
      <c r="AV904" s="1" t="n">
        <v>37</v>
      </c>
      <c r="AW904" s="1" t="n">
        <v>2</v>
      </c>
      <c r="AX904" s="1"/>
      <c r="AY904" s="1"/>
      <c r="AZ904" s="1"/>
      <c r="BA904" s="1"/>
      <c r="BB904" s="1" t="n">
        <v>68</v>
      </c>
      <c r="BC904" s="1" t="n">
        <v>77</v>
      </c>
      <c r="BD904" s="1"/>
      <c r="BE904" s="1" t="s">
        <v>16098</v>
      </c>
      <c r="BF904" s="1" t="str">
        <f aca="false">HYPERLINK("http://dx.doi.org/10.1109/MS.2018.2880823","http://dx.doi.org/10.1109/MS.2018.2880823")</f>
        <v>http://dx.doi.org/10.1109/MS.2018.2880823</v>
      </c>
      <c r="BG904" s="1"/>
      <c r="BH904" s="1"/>
      <c r="BI904" s="1" t="n">
        <v>10</v>
      </c>
      <c r="BJ904" s="1" t="s">
        <v>252</v>
      </c>
      <c r="BK904" s="1" t="s">
        <v>204</v>
      </c>
      <c r="BL904" s="1" t="s">
        <v>101</v>
      </c>
      <c r="BM904" s="1" t="s">
        <v>15390</v>
      </c>
      <c r="BN904" s="1"/>
      <c r="BO904" s="1" t="s">
        <v>10852</v>
      </c>
      <c r="BP904" s="1"/>
      <c r="BQ904" s="1"/>
      <c r="BR904" s="1" t="s">
        <v>103</v>
      </c>
      <c r="BS904" s="1" t="s">
        <v>16099</v>
      </c>
      <c r="BT904" s="1" t="str">
        <f aca="false">HYPERLINK("https%3A%2F%2Fwww.webofscience.com%2Fwos%2Fwoscc%2Ffull-record%2FWOS:000520152900012","View Full Record in Web of Science")</f>
        <v>View Full Record in Web of Science</v>
      </c>
    </row>
    <row r="905" customFormat="false" ht="12.75" hidden="false" customHeight="false" outlineLevel="0" collapsed="false">
      <c r="A905" s="1" t="s">
        <v>181</v>
      </c>
      <c r="B905" s="1" t="s">
        <v>16100</v>
      </c>
      <c r="C905" s="1"/>
      <c r="D905" s="1"/>
      <c r="E905" s="1"/>
      <c r="F905" s="1" t="s">
        <v>16101</v>
      </c>
      <c r="G905" s="1"/>
      <c r="H905" s="1"/>
      <c r="I905" s="1" t="s">
        <v>16102</v>
      </c>
      <c r="J905" s="1" t="s">
        <v>1104</v>
      </c>
      <c r="K905" s="1"/>
      <c r="L905" s="1"/>
      <c r="M905" s="1" t="s">
        <v>78</v>
      </c>
      <c r="N905" s="1" t="s">
        <v>618</v>
      </c>
      <c r="O905" s="1"/>
      <c r="P905" s="1"/>
      <c r="Q905" s="1"/>
      <c r="R905" s="1"/>
      <c r="S905" s="1"/>
      <c r="T905" s="1" t="s">
        <v>16103</v>
      </c>
      <c r="U905" s="1" t="s">
        <v>16104</v>
      </c>
      <c r="V905" s="1" t="s">
        <v>16105</v>
      </c>
      <c r="W905" s="1" t="s">
        <v>16106</v>
      </c>
      <c r="X905" s="1" t="s">
        <v>16107</v>
      </c>
      <c r="Y905" s="1" t="s">
        <v>16108</v>
      </c>
      <c r="Z905" s="1" t="s">
        <v>16109</v>
      </c>
      <c r="AA905" s="1" t="s">
        <v>16110</v>
      </c>
      <c r="AB905" s="1" t="s">
        <v>16111</v>
      </c>
      <c r="AC905" s="1" t="s">
        <v>16112</v>
      </c>
      <c r="AD905" s="1" t="s">
        <v>16113</v>
      </c>
      <c r="AE905" s="1" t="s">
        <v>16114</v>
      </c>
      <c r="AF905" s="1"/>
      <c r="AG905" s="1" t="n">
        <v>165</v>
      </c>
      <c r="AH905" s="1" t="n">
        <v>44</v>
      </c>
      <c r="AI905" s="1" t="n">
        <v>45</v>
      </c>
      <c r="AJ905" s="1" t="n">
        <v>3</v>
      </c>
      <c r="AK905" s="1" t="n">
        <v>21</v>
      </c>
      <c r="AL905" s="1" t="s">
        <v>195</v>
      </c>
      <c r="AM905" s="1" t="s">
        <v>196</v>
      </c>
      <c r="AN905" s="1" t="s">
        <v>197</v>
      </c>
      <c r="AO905" s="1" t="s">
        <v>1114</v>
      </c>
      <c r="AP905" s="1"/>
      <c r="AQ905" s="1"/>
      <c r="AR905" s="1" t="s">
        <v>1104</v>
      </c>
      <c r="AS905" s="1" t="s">
        <v>1115</v>
      </c>
      <c r="AT905" s="1"/>
      <c r="AU905" s="1" t="n">
        <v>2020</v>
      </c>
      <c r="AV905" s="1" t="n">
        <v>8</v>
      </c>
      <c r="AW905" s="1"/>
      <c r="AX905" s="1"/>
      <c r="AY905" s="1"/>
      <c r="AZ905" s="1"/>
      <c r="BA905" s="1"/>
      <c r="BB905" s="1" t="n">
        <v>36226</v>
      </c>
      <c r="BC905" s="1" t="n">
        <v>36243</v>
      </c>
      <c r="BD905" s="1"/>
      <c r="BE905" s="1" t="s">
        <v>16115</v>
      </c>
      <c r="BF905" s="1" t="str">
        <f aca="false">HYPERLINK("http://dx.doi.org/10.1109/ACCESS.2020.2971712","http://dx.doi.org/10.1109/ACCESS.2020.2971712")</f>
        <v>http://dx.doi.org/10.1109/ACCESS.2020.2971712</v>
      </c>
      <c r="BG905" s="1"/>
      <c r="BH905" s="1"/>
      <c r="BI905" s="1" t="n">
        <v>18</v>
      </c>
      <c r="BJ905" s="1" t="s">
        <v>1117</v>
      </c>
      <c r="BK905" s="1" t="s">
        <v>398</v>
      </c>
      <c r="BL905" s="1" t="s">
        <v>1118</v>
      </c>
      <c r="BM905" s="1" t="s">
        <v>16116</v>
      </c>
      <c r="BN905" s="1"/>
      <c r="BO905" s="1" t="s">
        <v>642</v>
      </c>
      <c r="BP905" s="1"/>
      <c r="BQ905" s="1"/>
      <c r="BR905" s="1" t="s">
        <v>103</v>
      </c>
      <c r="BS905" s="1" t="s">
        <v>16117</v>
      </c>
      <c r="BT905" s="1" t="str">
        <f aca="false">HYPERLINK("https%3A%2F%2Fwww.webofscience.com%2Fwos%2Fwoscc%2Ffull-record%2FWOS:000524612800017","View Full Record in Web of Science")</f>
        <v>View Full Record in Web of Science</v>
      </c>
    </row>
    <row r="906" customFormat="false" ht="12.75" hidden="false" customHeight="false" outlineLevel="0" collapsed="false">
      <c r="A906" s="1" t="s">
        <v>181</v>
      </c>
      <c r="B906" s="1" t="s">
        <v>16118</v>
      </c>
      <c r="C906" s="1"/>
      <c r="D906" s="1"/>
      <c r="E906" s="1"/>
      <c r="F906" s="1" t="s">
        <v>16119</v>
      </c>
      <c r="G906" s="1"/>
      <c r="H906" s="1"/>
      <c r="I906" s="1" t="s">
        <v>16120</v>
      </c>
      <c r="J906" s="1" t="s">
        <v>11104</v>
      </c>
      <c r="K906" s="1"/>
      <c r="L906" s="1"/>
      <c r="M906" s="1" t="s">
        <v>78</v>
      </c>
      <c r="N906" s="1" t="s">
        <v>186</v>
      </c>
      <c r="O906" s="1"/>
      <c r="P906" s="1"/>
      <c r="Q906" s="1"/>
      <c r="R906" s="1"/>
      <c r="S906" s="1"/>
      <c r="T906" s="1" t="s">
        <v>16121</v>
      </c>
      <c r="U906" s="1" t="s">
        <v>16122</v>
      </c>
      <c r="V906" s="1" t="s">
        <v>16123</v>
      </c>
      <c r="W906" s="1" t="s">
        <v>16124</v>
      </c>
      <c r="X906" s="1" t="s">
        <v>16125</v>
      </c>
      <c r="Y906" s="1" t="s">
        <v>16126</v>
      </c>
      <c r="Z906" s="1" t="s">
        <v>16127</v>
      </c>
      <c r="AA906" s="1" t="s">
        <v>16128</v>
      </c>
      <c r="AB906" s="1" t="s">
        <v>16129</v>
      </c>
      <c r="AC906" s="1" t="s">
        <v>16130</v>
      </c>
      <c r="AD906" s="1" t="s">
        <v>16131</v>
      </c>
      <c r="AE906" s="1" t="s">
        <v>16132</v>
      </c>
      <c r="AF906" s="1"/>
      <c r="AG906" s="1" t="n">
        <v>64</v>
      </c>
      <c r="AH906" s="1" t="n">
        <v>0</v>
      </c>
      <c r="AI906" s="1" t="n">
        <v>0</v>
      </c>
      <c r="AJ906" s="1" t="n">
        <v>4</v>
      </c>
      <c r="AK906" s="1" t="n">
        <v>4</v>
      </c>
      <c r="AL906" s="1" t="s">
        <v>11116</v>
      </c>
      <c r="AM906" s="1" t="s">
        <v>10580</v>
      </c>
      <c r="AN906" s="1" t="s">
        <v>11117</v>
      </c>
      <c r="AO906" s="1" t="s">
        <v>11118</v>
      </c>
      <c r="AP906" s="1" t="s">
        <v>11119</v>
      </c>
      <c r="AQ906" s="1"/>
      <c r="AR906" s="1" t="s">
        <v>11120</v>
      </c>
      <c r="AS906" s="1" t="s">
        <v>11121</v>
      </c>
      <c r="AT906" s="1" t="s">
        <v>277</v>
      </c>
      <c r="AU906" s="1" t="n">
        <v>2025</v>
      </c>
      <c r="AV906" s="1" t="n">
        <v>18</v>
      </c>
      <c r="AW906" s="1" t="n">
        <v>1</v>
      </c>
      <c r="AX906" s="1"/>
      <c r="AY906" s="1"/>
      <c r="AZ906" s="1"/>
      <c r="BA906" s="1"/>
      <c r="BB906" s="1"/>
      <c r="BC906" s="1"/>
      <c r="BD906" s="1" t="n">
        <v>5</v>
      </c>
      <c r="BE906" s="1" t="s">
        <v>16133</v>
      </c>
      <c r="BF906" s="1" t="str">
        <f aca="false">HYPERLINK("http://dx.doi.org/10.1007/s12289-024-01869-1","http://dx.doi.org/10.1007/s12289-024-01869-1")</f>
        <v>http://dx.doi.org/10.1007/s12289-024-01869-1</v>
      </c>
      <c r="BG906" s="1"/>
      <c r="BH906" s="1"/>
      <c r="BI906" s="1" t="n">
        <v>16</v>
      </c>
      <c r="BJ906" s="1" t="s">
        <v>11123</v>
      </c>
      <c r="BK906" s="1" t="s">
        <v>204</v>
      </c>
      <c r="BL906" s="1" t="s">
        <v>5176</v>
      </c>
      <c r="BM906" s="1" t="s">
        <v>16134</v>
      </c>
      <c r="BN906" s="1"/>
      <c r="BO906" s="1" t="s">
        <v>282</v>
      </c>
      <c r="BP906" s="1"/>
      <c r="BQ906" s="1"/>
      <c r="BR906" s="1" t="s">
        <v>103</v>
      </c>
      <c r="BS906" s="1" t="s">
        <v>16135</v>
      </c>
      <c r="BT906" s="1" t="str">
        <f aca="false">HYPERLINK("https%3A%2F%2Fwww.webofscience.com%2Fwos%2Fwoscc%2Ffull-record%2FWOS:001371208200001","View Full Record in Web of Science")</f>
        <v>View Full Record in Web of Science</v>
      </c>
    </row>
    <row r="907" customFormat="false" ht="12.75" hidden="false" customHeight="false" outlineLevel="0" collapsed="false">
      <c r="A907" s="1" t="s">
        <v>181</v>
      </c>
      <c r="B907" s="1" t="s">
        <v>16136</v>
      </c>
      <c r="C907" s="1"/>
      <c r="D907" s="1"/>
      <c r="E907" s="1"/>
      <c r="F907" s="1" t="s">
        <v>16137</v>
      </c>
      <c r="G907" s="1"/>
      <c r="H907" s="1"/>
      <c r="I907" s="1" t="s">
        <v>16138</v>
      </c>
      <c r="J907" s="1" t="s">
        <v>4178</v>
      </c>
      <c r="K907" s="1"/>
      <c r="L907" s="1"/>
      <c r="M907" s="1" t="s">
        <v>78</v>
      </c>
      <c r="N907" s="1" t="s">
        <v>186</v>
      </c>
      <c r="O907" s="1"/>
      <c r="P907" s="1"/>
      <c r="Q907" s="1"/>
      <c r="R907" s="1"/>
      <c r="S907" s="1"/>
      <c r="T907" s="1" t="s">
        <v>16139</v>
      </c>
      <c r="U907" s="1"/>
      <c r="V907" s="1" t="s">
        <v>16140</v>
      </c>
      <c r="W907" s="1" t="s">
        <v>16141</v>
      </c>
      <c r="X907" s="1" t="s">
        <v>16142</v>
      </c>
      <c r="Y907" s="1" t="s">
        <v>16143</v>
      </c>
      <c r="Z907" s="1" t="s">
        <v>16144</v>
      </c>
      <c r="AA907" s="1" t="s">
        <v>16145</v>
      </c>
      <c r="AB907" s="1" t="s">
        <v>16146</v>
      </c>
      <c r="AC907" s="1" t="s">
        <v>16147</v>
      </c>
      <c r="AD907" s="1" t="s">
        <v>16148</v>
      </c>
      <c r="AE907" s="1" t="s">
        <v>16149</v>
      </c>
      <c r="AF907" s="1"/>
      <c r="AG907" s="1" t="n">
        <v>35</v>
      </c>
      <c r="AH907" s="1" t="n">
        <v>0</v>
      </c>
      <c r="AI907" s="1" t="n">
        <v>0</v>
      </c>
      <c r="AJ907" s="1" t="n">
        <v>2</v>
      </c>
      <c r="AK907" s="1" t="n">
        <v>2</v>
      </c>
      <c r="AL907" s="1" t="s">
        <v>600</v>
      </c>
      <c r="AM907" s="1" t="s">
        <v>601</v>
      </c>
      <c r="AN907" s="1" t="s">
        <v>602</v>
      </c>
      <c r="AO907" s="1" t="s">
        <v>4190</v>
      </c>
      <c r="AP907" s="1" t="s">
        <v>4191</v>
      </c>
      <c r="AQ907" s="1"/>
      <c r="AR907" s="1" t="s">
        <v>4192</v>
      </c>
      <c r="AS907" s="1" t="s">
        <v>4193</v>
      </c>
      <c r="AT907" s="1" t="s">
        <v>1453</v>
      </c>
      <c r="AU907" s="1" t="n">
        <v>2025</v>
      </c>
      <c r="AV907" s="1" t="n">
        <v>37</v>
      </c>
      <c r="AW907" s="1" t="n">
        <v>1</v>
      </c>
      <c r="AX907" s="1"/>
      <c r="AY907" s="1"/>
      <c r="AZ907" s="1"/>
      <c r="BA907" s="1"/>
      <c r="BB907" s="1"/>
      <c r="BC907" s="1"/>
      <c r="BD907" s="1"/>
      <c r="BE907" s="1" t="s">
        <v>16150</v>
      </c>
      <c r="BF907" s="1" t="str">
        <f aca="false">HYPERLINK("http://dx.doi.org/10.1002/smr.2748","http://dx.doi.org/10.1002/smr.2748")</f>
        <v>http://dx.doi.org/10.1002/smr.2748</v>
      </c>
      <c r="BG907" s="1"/>
      <c r="BH907" s="1" t="s">
        <v>9347</v>
      </c>
      <c r="BI907" s="1" t="n">
        <v>18</v>
      </c>
      <c r="BJ907" s="1" t="s">
        <v>252</v>
      </c>
      <c r="BK907" s="1" t="s">
        <v>204</v>
      </c>
      <c r="BL907" s="1" t="s">
        <v>101</v>
      </c>
      <c r="BM907" s="1" t="s">
        <v>16151</v>
      </c>
      <c r="BN907" s="1"/>
      <c r="BO907" s="1"/>
      <c r="BP907" s="1"/>
      <c r="BQ907" s="1"/>
      <c r="BR907" s="1" t="s">
        <v>103</v>
      </c>
      <c r="BS907" s="1" t="s">
        <v>16152</v>
      </c>
      <c r="BT907" s="1" t="str">
        <f aca="false">HYPERLINK("https%3A%2F%2Fwww.webofscience.com%2Fwos%2Fwoscc%2Ffull-record%2FWOS:001368569100001","View Full Record in Web of Science")</f>
        <v>View Full Record in Web of Science</v>
      </c>
    </row>
    <row r="908" customFormat="false" ht="12.75" hidden="false" customHeight="false" outlineLevel="0" collapsed="false">
      <c r="A908" s="1" t="s">
        <v>181</v>
      </c>
      <c r="B908" s="1" t="s">
        <v>16153</v>
      </c>
      <c r="C908" s="1"/>
      <c r="D908" s="1"/>
      <c r="E908" s="1"/>
      <c r="F908" s="1" t="s">
        <v>16154</v>
      </c>
      <c r="G908" s="1"/>
      <c r="H908" s="1"/>
      <c r="I908" s="1" t="s">
        <v>16155</v>
      </c>
      <c r="J908" s="1" t="s">
        <v>5545</v>
      </c>
      <c r="K908" s="1"/>
      <c r="L908" s="1"/>
      <c r="M908" s="1" t="s">
        <v>78</v>
      </c>
      <c r="N908" s="1" t="s">
        <v>186</v>
      </c>
      <c r="O908" s="1"/>
      <c r="P908" s="1"/>
      <c r="Q908" s="1"/>
      <c r="R908" s="1"/>
      <c r="S908" s="1"/>
      <c r="T908" s="1" t="s">
        <v>16156</v>
      </c>
      <c r="U908" s="1" t="s">
        <v>16157</v>
      </c>
      <c r="V908" s="1" t="s">
        <v>16158</v>
      </c>
      <c r="W908" s="1" t="s">
        <v>16159</v>
      </c>
      <c r="X908" s="1" t="s">
        <v>16160</v>
      </c>
      <c r="Y908" s="1" t="s">
        <v>16161</v>
      </c>
      <c r="Z908" s="1" t="s">
        <v>16162</v>
      </c>
      <c r="AA908" s="1" t="s">
        <v>16163</v>
      </c>
      <c r="AB908" s="1" t="s">
        <v>14490</v>
      </c>
      <c r="AC908" s="1" t="s">
        <v>268</v>
      </c>
      <c r="AD908" s="1" t="s">
        <v>268</v>
      </c>
      <c r="AE908" s="1" t="s">
        <v>269</v>
      </c>
      <c r="AF908" s="1"/>
      <c r="AG908" s="1" t="n">
        <v>50</v>
      </c>
      <c r="AH908" s="1" t="n">
        <v>5</v>
      </c>
      <c r="AI908" s="1" t="n">
        <v>5</v>
      </c>
      <c r="AJ908" s="1" t="n">
        <v>7</v>
      </c>
      <c r="AK908" s="1" t="n">
        <v>29</v>
      </c>
      <c r="AL908" s="1" t="s">
        <v>679</v>
      </c>
      <c r="AM908" s="1" t="s">
        <v>680</v>
      </c>
      <c r="AN908" s="1" t="s">
        <v>681</v>
      </c>
      <c r="AO908" s="1" t="s">
        <v>5556</v>
      </c>
      <c r="AP908" s="1" t="s">
        <v>5557</v>
      </c>
      <c r="AQ908" s="1"/>
      <c r="AR908" s="1" t="s">
        <v>5558</v>
      </c>
      <c r="AS908" s="1" t="s">
        <v>5559</v>
      </c>
      <c r="AT908" s="1" t="s">
        <v>421</v>
      </c>
      <c r="AU908" s="1" t="n">
        <v>2023</v>
      </c>
      <c r="AV908" s="1" t="n">
        <v>60</v>
      </c>
      <c r="AW908" s="1" t="n">
        <v>4</v>
      </c>
      <c r="AX908" s="1"/>
      <c r="AY908" s="1"/>
      <c r="AZ908" s="1" t="s">
        <v>1698</v>
      </c>
      <c r="BA908" s="1"/>
      <c r="BB908" s="1" t="n">
        <v>1683</v>
      </c>
      <c r="BC908" s="1" t="n">
        <v>1698</v>
      </c>
      <c r="BD908" s="1"/>
      <c r="BE908" s="1" t="s">
        <v>16164</v>
      </c>
      <c r="BF908" s="1" t="str">
        <f aca="false">HYPERLINK("http://dx.doi.org/10.1007/s11187-022-00673-y","http://dx.doi.org/10.1007/s11187-022-00673-y")</f>
        <v>http://dx.doi.org/10.1007/s11187-022-00673-y</v>
      </c>
      <c r="BG908" s="1"/>
      <c r="BH908" s="1" t="s">
        <v>3679</v>
      </c>
      <c r="BI908" s="1" t="n">
        <v>16</v>
      </c>
      <c r="BJ908" s="1" t="s">
        <v>5562</v>
      </c>
      <c r="BK908" s="1" t="s">
        <v>610</v>
      </c>
      <c r="BL908" s="1" t="s">
        <v>715</v>
      </c>
      <c r="BM908" s="1" t="s">
        <v>16165</v>
      </c>
      <c r="BN908" s="1"/>
      <c r="BO908" s="1" t="s">
        <v>612</v>
      </c>
      <c r="BP908" s="1"/>
      <c r="BQ908" s="1"/>
      <c r="BR908" s="1" t="s">
        <v>103</v>
      </c>
      <c r="BS908" s="1" t="s">
        <v>16166</v>
      </c>
      <c r="BT908" s="1" t="str">
        <f aca="false">HYPERLINK("https%3A%2F%2Fwww.webofscience.com%2Fwos%2Fwoscc%2Ffull-record%2FWOS:000849463700002","View Full Record in Web of Science")</f>
        <v>View Full Record in Web of Science</v>
      </c>
    </row>
    <row r="909" customFormat="false" ht="12.75" hidden="false" customHeight="false" outlineLevel="0" collapsed="false">
      <c r="A909" s="1" t="s">
        <v>181</v>
      </c>
      <c r="B909" s="1" t="s">
        <v>16167</v>
      </c>
      <c r="C909" s="1"/>
      <c r="D909" s="1"/>
      <c r="E909" s="1"/>
      <c r="F909" s="1" t="s">
        <v>16168</v>
      </c>
      <c r="G909" s="1"/>
      <c r="H909" s="1"/>
      <c r="I909" s="1" t="s">
        <v>16169</v>
      </c>
      <c r="J909" s="1" t="s">
        <v>185</v>
      </c>
      <c r="K909" s="1"/>
      <c r="L909" s="1"/>
      <c r="M909" s="1" t="s">
        <v>78</v>
      </c>
      <c r="N909" s="1" t="s">
        <v>186</v>
      </c>
      <c r="O909" s="1"/>
      <c r="P909" s="1"/>
      <c r="Q909" s="1"/>
      <c r="R909" s="1"/>
      <c r="S909" s="1"/>
      <c r="T909" s="1" t="s">
        <v>16170</v>
      </c>
      <c r="U909" s="1" t="s">
        <v>16171</v>
      </c>
      <c r="V909" s="1" t="s">
        <v>16172</v>
      </c>
      <c r="W909" s="1" t="s">
        <v>16173</v>
      </c>
      <c r="X909" s="1" t="s">
        <v>16174</v>
      </c>
      <c r="Y909" s="1" t="s">
        <v>16175</v>
      </c>
      <c r="Z909" s="1" t="s">
        <v>14107</v>
      </c>
      <c r="AA909" s="1" t="s">
        <v>16176</v>
      </c>
      <c r="AB909" s="1" t="s">
        <v>16177</v>
      </c>
      <c r="AC909" s="1" t="s">
        <v>7376</v>
      </c>
      <c r="AD909" s="1" t="s">
        <v>7377</v>
      </c>
      <c r="AE909" s="1" t="s">
        <v>7378</v>
      </c>
      <c r="AF909" s="1"/>
      <c r="AG909" s="1" t="n">
        <v>37</v>
      </c>
      <c r="AH909" s="1" t="n">
        <v>17</v>
      </c>
      <c r="AI909" s="1" t="n">
        <v>17</v>
      </c>
      <c r="AJ909" s="1" t="n">
        <v>0</v>
      </c>
      <c r="AK909" s="1" t="n">
        <v>5</v>
      </c>
      <c r="AL909" s="1" t="s">
        <v>195</v>
      </c>
      <c r="AM909" s="1" t="s">
        <v>196</v>
      </c>
      <c r="AN909" s="1" t="s">
        <v>197</v>
      </c>
      <c r="AO909" s="1" t="s">
        <v>198</v>
      </c>
      <c r="AP909" s="1" t="s">
        <v>199</v>
      </c>
      <c r="AQ909" s="1"/>
      <c r="AR909" s="1" t="s">
        <v>200</v>
      </c>
      <c r="AS909" s="1" t="s">
        <v>201</v>
      </c>
      <c r="AT909" s="1" t="s">
        <v>537</v>
      </c>
      <c r="AU909" s="1" t="n">
        <v>2020</v>
      </c>
      <c r="AV909" s="1" t="n">
        <v>17</v>
      </c>
      <c r="AW909" s="1" t="n">
        <v>2</v>
      </c>
      <c r="AX909" s="1"/>
      <c r="AY909" s="1"/>
      <c r="AZ909" s="1"/>
      <c r="BA909" s="1"/>
      <c r="BB909" s="1" t="n">
        <v>227</v>
      </c>
      <c r="BC909" s="1" t="n">
        <v>231</v>
      </c>
      <c r="BD909" s="1"/>
      <c r="BE909" s="1" t="s">
        <v>16178</v>
      </c>
      <c r="BF909" s="1" t="str">
        <f aca="false">HYPERLINK("http://dx.doi.org/10.1109/LGRS.2019.2917627","http://dx.doi.org/10.1109/LGRS.2019.2917627")</f>
        <v>http://dx.doi.org/10.1109/LGRS.2019.2917627</v>
      </c>
      <c r="BG909" s="1"/>
      <c r="BH909" s="1"/>
      <c r="BI909" s="1" t="n">
        <v>5</v>
      </c>
      <c r="BJ909" s="1" t="s">
        <v>203</v>
      </c>
      <c r="BK909" s="1" t="s">
        <v>204</v>
      </c>
      <c r="BL909" s="1" t="s">
        <v>205</v>
      </c>
      <c r="BM909" s="1" t="s">
        <v>16179</v>
      </c>
      <c r="BN909" s="1"/>
      <c r="BO909" s="1"/>
      <c r="BP909" s="1"/>
      <c r="BQ909" s="1"/>
      <c r="BR909" s="1" t="s">
        <v>103</v>
      </c>
      <c r="BS909" s="1" t="s">
        <v>16180</v>
      </c>
      <c r="BT909" s="1" t="str">
        <f aca="false">HYPERLINK("https%3A%2F%2Fwww.webofscience.com%2Fwos%2Fwoscc%2Ffull-record%2FWOS:000510900300009","View Full Record in Web of Science")</f>
        <v>View Full Record in Web of Science</v>
      </c>
    </row>
    <row r="910" customFormat="false" ht="12.75" hidden="false" customHeight="false" outlineLevel="0" collapsed="false">
      <c r="A910" s="1" t="s">
        <v>181</v>
      </c>
      <c r="B910" s="1" t="s">
        <v>16181</v>
      </c>
      <c r="C910" s="1"/>
      <c r="D910" s="1"/>
      <c r="E910" s="1"/>
      <c r="F910" s="1" t="s">
        <v>16182</v>
      </c>
      <c r="G910" s="1"/>
      <c r="H910" s="1"/>
      <c r="I910" s="1" t="s">
        <v>16183</v>
      </c>
      <c r="J910" s="1" t="s">
        <v>16184</v>
      </c>
      <c r="K910" s="1"/>
      <c r="L910" s="1"/>
      <c r="M910" s="1" t="s">
        <v>78</v>
      </c>
      <c r="N910" s="1" t="s">
        <v>186</v>
      </c>
      <c r="O910" s="1"/>
      <c r="P910" s="1"/>
      <c r="Q910" s="1"/>
      <c r="R910" s="1"/>
      <c r="S910" s="1"/>
      <c r="T910" s="1" t="s">
        <v>16185</v>
      </c>
      <c r="U910" s="1"/>
      <c r="V910" s="1" t="s">
        <v>16186</v>
      </c>
      <c r="W910" s="1" t="s">
        <v>16187</v>
      </c>
      <c r="X910" s="1" t="s">
        <v>16188</v>
      </c>
      <c r="Y910" s="1" t="s">
        <v>16189</v>
      </c>
      <c r="Z910" s="1" t="s">
        <v>16190</v>
      </c>
      <c r="AA910" s="1"/>
      <c r="AB910" s="1"/>
      <c r="AC910" s="1" t="s">
        <v>16191</v>
      </c>
      <c r="AD910" s="1" t="s">
        <v>16191</v>
      </c>
      <c r="AE910" s="1" t="s">
        <v>16192</v>
      </c>
      <c r="AF910" s="1"/>
      <c r="AG910" s="1" t="n">
        <v>46</v>
      </c>
      <c r="AH910" s="1" t="n">
        <v>0</v>
      </c>
      <c r="AI910" s="1" t="n">
        <v>0</v>
      </c>
      <c r="AJ910" s="1" t="n">
        <v>0</v>
      </c>
      <c r="AK910" s="1" t="n">
        <v>0</v>
      </c>
      <c r="AL910" s="1" t="s">
        <v>2129</v>
      </c>
      <c r="AM910" s="1" t="s">
        <v>1908</v>
      </c>
      <c r="AN910" s="1" t="s">
        <v>2130</v>
      </c>
      <c r="AO910" s="1" t="s">
        <v>16193</v>
      </c>
      <c r="AP910" s="1" t="s">
        <v>16194</v>
      </c>
      <c r="AQ910" s="1"/>
      <c r="AR910" s="1" t="s">
        <v>16195</v>
      </c>
      <c r="AS910" s="1" t="s">
        <v>16196</v>
      </c>
      <c r="AT910" s="1" t="s">
        <v>2698</v>
      </c>
      <c r="AU910" s="1" t="n">
        <v>2024</v>
      </c>
      <c r="AV910" s="1" t="n">
        <v>13</v>
      </c>
      <c r="AW910" s="1" t="n">
        <v>2</v>
      </c>
      <c r="AX910" s="1"/>
      <c r="AY910" s="1"/>
      <c r="AZ910" s="1"/>
      <c r="BA910" s="1"/>
      <c r="BB910" s="1" t="n">
        <v>101</v>
      </c>
      <c r="BC910" s="1" t="n">
        <v>117</v>
      </c>
      <c r="BD910" s="1"/>
      <c r="BE910" s="1" t="s">
        <v>16197</v>
      </c>
      <c r="BF910" s="1" t="str">
        <f aca="false">HYPERLINK("http://dx.doi.org/10.1007/s13748-024-00322-3","http://dx.doi.org/10.1007/s13748-024-00322-3")</f>
        <v>http://dx.doi.org/10.1007/s13748-024-00322-3</v>
      </c>
      <c r="BG910" s="1"/>
      <c r="BH910" s="1" t="s">
        <v>1658</v>
      </c>
      <c r="BI910" s="1" t="n">
        <v>17</v>
      </c>
      <c r="BJ910" s="1" t="s">
        <v>1625</v>
      </c>
      <c r="BK910" s="1" t="s">
        <v>253</v>
      </c>
      <c r="BL910" s="1" t="s">
        <v>101</v>
      </c>
      <c r="BM910" s="1" t="s">
        <v>16198</v>
      </c>
      <c r="BN910" s="1"/>
      <c r="BO910" s="1" t="s">
        <v>282</v>
      </c>
      <c r="BP910" s="1"/>
      <c r="BQ910" s="1"/>
      <c r="BR910" s="1" t="s">
        <v>103</v>
      </c>
      <c r="BS910" s="1" t="s">
        <v>16199</v>
      </c>
      <c r="BT910" s="1" t="str">
        <f aca="false">HYPERLINK("https%3A%2F%2Fwww.webofscience.com%2Fwos%2Fwoscc%2Ffull-record%2FWOS:001242726300001","View Full Record in Web of Science")</f>
        <v>View Full Record in Web of Science</v>
      </c>
    </row>
    <row r="911" customFormat="false" ht="12.75" hidden="false" customHeight="false" outlineLevel="0" collapsed="false">
      <c r="A911" s="1" t="s">
        <v>72</v>
      </c>
      <c r="B911" s="1" t="s">
        <v>16200</v>
      </c>
      <c r="C911" s="1"/>
      <c r="D911" s="1" t="s">
        <v>3194</v>
      </c>
      <c r="E911" s="1"/>
      <c r="F911" s="1" t="s">
        <v>16201</v>
      </c>
      <c r="G911" s="1"/>
      <c r="H911" s="1"/>
      <c r="I911" s="1" t="s">
        <v>16202</v>
      </c>
      <c r="J911" s="1" t="s">
        <v>3197</v>
      </c>
      <c r="K911" s="1"/>
      <c r="L911" s="1"/>
      <c r="M911" s="1" t="s">
        <v>78</v>
      </c>
      <c r="N911" s="1" t="s">
        <v>79</v>
      </c>
      <c r="O911" s="1" t="s">
        <v>3198</v>
      </c>
      <c r="P911" s="1" t="s">
        <v>3199</v>
      </c>
      <c r="Q911" s="1" t="s">
        <v>3200</v>
      </c>
      <c r="R911" s="1" t="s">
        <v>3201</v>
      </c>
      <c r="S911" s="1"/>
      <c r="T911" s="1" t="s">
        <v>16203</v>
      </c>
      <c r="U911" s="1" t="s">
        <v>16204</v>
      </c>
      <c r="V911" s="1" t="s">
        <v>16205</v>
      </c>
      <c r="W911" s="1" t="s">
        <v>16206</v>
      </c>
      <c r="X911" s="1" t="s">
        <v>16207</v>
      </c>
      <c r="Y911" s="1" t="s">
        <v>16208</v>
      </c>
      <c r="Z911" s="1" t="s">
        <v>16209</v>
      </c>
      <c r="AA911" s="1" t="s">
        <v>16210</v>
      </c>
      <c r="AB911" s="1" t="s">
        <v>16211</v>
      </c>
      <c r="AC911" s="1"/>
      <c r="AD911" s="1"/>
      <c r="AE911" s="1"/>
      <c r="AF911" s="1"/>
      <c r="AG911" s="1" t="n">
        <v>72</v>
      </c>
      <c r="AH911" s="1" t="n">
        <v>0</v>
      </c>
      <c r="AI911" s="1" t="n">
        <v>0</v>
      </c>
      <c r="AJ911" s="1" t="n">
        <v>1</v>
      </c>
      <c r="AK911" s="1" t="n">
        <v>6</v>
      </c>
      <c r="AL911" s="1" t="s">
        <v>106</v>
      </c>
      <c r="AM911" s="1" t="s">
        <v>95</v>
      </c>
      <c r="AN911" s="1" t="s">
        <v>122</v>
      </c>
      <c r="AO911" s="1"/>
      <c r="AP911" s="1"/>
      <c r="AQ911" s="1" t="s">
        <v>3211</v>
      </c>
      <c r="AR911" s="1"/>
      <c r="AS911" s="1"/>
      <c r="AT911" s="1"/>
      <c r="AU911" s="1" t="n">
        <v>2023</v>
      </c>
      <c r="AV911" s="1"/>
      <c r="AW911" s="1"/>
      <c r="AX911" s="1"/>
      <c r="AY911" s="1"/>
      <c r="AZ911" s="1"/>
      <c r="BA911" s="1"/>
      <c r="BB911" s="1" t="n">
        <v>42</v>
      </c>
      <c r="BC911" s="1" t="n">
        <v>51</v>
      </c>
      <c r="BD911" s="1"/>
      <c r="BE911" s="1" t="s">
        <v>16212</v>
      </c>
      <c r="BF911" s="1" t="str">
        <f aca="false">HYPERLINK("http://dx.doi.org/10.1109/FMEC59375.2023.10305886","http://dx.doi.org/10.1109/FMEC59375.2023.10305886")</f>
        <v>http://dx.doi.org/10.1109/FMEC59375.2023.10305886</v>
      </c>
      <c r="BG911" s="1"/>
      <c r="BH911" s="1"/>
      <c r="BI911" s="1" t="n">
        <v>10</v>
      </c>
      <c r="BJ911" s="1" t="s">
        <v>2136</v>
      </c>
      <c r="BK911" s="1" t="s">
        <v>100</v>
      </c>
      <c r="BL911" s="1" t="s">
        <v>101</v>
      </c>
      <c r="BM911" s="1" t="s">
        <v>3213</v>
      </c>
      <c r="BN911" s="1"/>
      <c r="BO911" s="1" t="s">
        <v>179</v>
      </c>
      <c r="BP911" s="1"/>
      <c r="BQ911" s="1"/>
      <c r="BR911" s="1" t="s">
        <v>103</v>
      </c>
      <c r="BS911" s="1" t="s">
        <v>16213</v>
      </c>
      <c r="BT911" s="1" t="str">
        <f aca="false">HYPERLINK("https%3A%2F%2Fwww.webofscience.com%2Fwos%2Fwoscc%2Ffull-record%2FWOS:001103180200006","View Full Record in Web of Science")</f>
        <v>View Full Record in Web of Science</v>
      </c>
    </row>
    <row r="912" customFormat="false" ht="12.75" hidden="false" customHeight="false" outlineLevel="0" collapsed="false">
      <c r="A912" s="1" t="s">
        <v>181</v>
      </c>
      <c r="B912" s="1" t="s">
        <v>16214</v>
      </c>
      <c r="C912" s="1"/>
      <c r="D912" s="1"/>
      <c r="E912" s="1"/>
      <c r="F912" s="1" t="s">
        <v>16215</v>
      </c>
      <c r="G912" s="1"/>
      <c r="H912" s="1"/>
      <c r="I912" s="1" t="s">
        <v>16216</v>
      </c>
      <c r="J912" s="1" t="s">
        <v>12646</v>
      </c>
      <c r="K912" s="1"/>
      <c r="L912" s="1"/>
      <c r="M912" s="1" t="s">
        <v>78</v>
      </c>
      <c r="N912" s="1" t="s">
        <v>186</v>
      </c>
      <c r="O912" s="1"/>
      <c r="P912" s="1"/>
      <c r="Q912" s="1"/>
      <c r="R912" s="1"/>
      <c r="S912" s="1"/>
      <c r="T912" s="1" t="s">
        <v>16217</v>
      </c>
      <c r="U912" s="1" t="s">
        <v>16218</v>
      </c>
      <c r="V912" s="1" t="s">
        <v>16219</v>
      </c>
      <c r="W912" s="1" t="s">
        <v>16220</v>
      </c>
      <c r="X912" s="1" t="s">
        <v>16221</v>
      </c>
      <c r="Y912" s="1" t="s">
        <v>16222</v>
      </c>
      <c r="Z912" s="1" t="s">
        <v>16223</v>
      </c>
      <c r="AA912" s="1" t="s">
        <v>14489</v>
      </c>
      <c r="AB912" s="1" t="s">
        <v>14490</v>
      </c>
      <c r="AC912" s="1" t="s">
        <v>268</v>
      </c>
      <c r="AD912" s="1" t="s">
        <v>268</v>
      </c>
      <c r="AE912" s="1" t="s">
        <v>269</v>
      </c>
      <c r="AF912" s="1"/>
      <c r="AG912" s="1" t="n">
        <v>31</v>
      </c>
      <c r="AH912" s="1" t="n">
        <v>0</v>
      </c>
      <c r="AI912" s="1" t="n">
        <v>0</v>
      </c>
      <c r="AJ912" s="1" t="n">
        <v>7</v>
      </c>
      <c r="AK912" s="1" t="n">
        <v>7</v>
      </c>
      <c r="AL912" s="1" t="s">
        <v>679</v>
      </c>
      <c r="AM912" s="1" t="s">
        <v>95</v>
      </c>
      <c r="AN912" s="1" t="s">
        <v>803</v>
      </c>
      <c r="AO912" s="1" t="s">
        <v>12657</v>
      </c>
      <c r="AP912" s="1" t="s">
        <v>12658</v>
      </c>
      <c r="AQ912" s="1"/>
      <c r="AR912" s="1" t="s">
        <v>12659</v>
      </c>
      <c r="AS912" s="1" t="s">
        <v>12660</v>
      </c>
      <c r="AT912" s="1" t="s">
        <v>372</v>
      </c>
      <c r="AU912" s="1" t="n">
        <v>2024</v>
      </c>
      <c r="AV912" s="1" t="n">
        <v>73</v>
      </c>
      <c r="AW912" s="1" t="n">
        <v>4</v>
      </c>
      <c r="AX912" s="1"/>
      <c r="AY912" s="1"/>
      <c r="AZ912" s="1"/>
      <c r="BA912" s="1"/>
      <c r="BB912" s="1" t="n">
        <v>1517</v>
      </c>
      <c r="BC912" s="1" t="n">
        <v>1538</v>
      </c>
      <c r="BD912" s="1"/>
      <c r="BE912" s="1" t="s">
        <v>16224</v>
      </c>
      <c r="BF912" s="1" t="str">
        <f aca="false">HYPERLINK("http://dx.doi.org/10.1007/s00168-024-01322-w","http://dx.doi.org/10.1007/s00168-024-01322-w")</f>
        <v>http://dx.doi.org/10.1007/s00168-024-01322-w</v>
      </c>
      <c r="BG912" s="1"/>
      <c r="BH912" s="1" t="s">
        <v>5135</v>
      </c>
      <c r="BI912" s="1" t="n">
        <v>22</v>
      </c>
      <c r="BJ912" s="1" t="s">
        <v>5757</v>
      </c>
      <c r="BK912" s="1" t="s">
        <v>610</v>
      </c>
      <c r="BL912" s="1" t="s">
        <v>5758</v>
      </c>
      <c r="BM912" s="1" t="s">
        <v>12662</v>
      </c>
      <c r="BN912" s="1"/>
      <c r="BO912" s="1" t="s">
        <v>282</v>
      </c>
      <c r="BP912" s="1"/>
      <c r="BQ912" s="1"/>
      <c r="BR912" s="1" t="s">
        <v>103</v>
      </c>
      <c r="BS912" s="1" t="s">
        <v>16225</v>
      </c>
      <c r="BT912" s="1" t="str">
        <f aca="false">HYPERLINK("https%3A%2F%2Fwww.webofscience.com%2Fwos%2Fwoscc%2Ffull-record%2FWOS:001333424500002","View Full Record in Web of Science")</f>
        <v>View Full Record in Web of Science</v>
      </c>
    </row>
    <row r="913" customFormat="false" ht="12.75" hidden="false" customHeight="false" outlineLevel="0" collapsed="false">
      <c r="A913" s="1" t="s">
        <v>181</v>
      </c>
      <c r="B913" s="1" t="s">
        <v>16226</v>
      </c>
      <c r="C913" s="1"/>
      <c r="D913" s="1"/>
      <c r="E913" s="1"/>
      <c r="F913" s="1" t="s">
        <v>16227</v>
      </c>
      <c r="G913" s="1"/>
      <c r="H913" s="1"/>
      <c r="I913" s="1" t="s">
        <v>16228</v>
      </c>
      <c r="J913" s="1" t="s">
        <v>16229</v>
      </c>
      <c r="K913" s="1"/>
      <c r="L913" s="1"/>
      <c r="M913" s="1" t="s">
        <v>78</v>
      </c>
      <c r="N913" s="1" t="s">
        <v>186</v>
      </c>
      <c r="O913" s="1"/>
      <c r="P913" s="1"/>
      <c r="Q913" s="1"/>
      <c r="R913" s="1"/>
      <c r="S913" s="1"/>
      <c r="T913" s="1" t="s">
        <v>16230</v>
      </c>
      <c r="U913" s="1" t="s">
        <v>16231</v>
      </c>
      <c r="V913" s="1" t="s">
        <v>16232</v>
      </c>
      <c r="W913" s="1" t="s">
        <v>16233</v>
      </c>
      <c r="X913" s="1" t="s">
        <v>16234</v>
      </c>
      <c r="Y913" s="1" t="s">
        <v>16235</v>
      </c>
      <c r="Z913" s="1" t="s">
        <v>16236</v>
      </c>
      <c r="AA913" s="1"/>
      <c r="AB913" s="1" t="s">
        <v>16237</v>
      </c>
      <c r="AC913" s="1"/>
      <c r="AD913" s="1"/>
      <c r="AE913" s="1"/>
      <c r="AF913" s="1"/>
      <c r="AG913" s="1" t="n">
        <v>76</v>
      </c>
      <c r="AH913" s="1" t="n">
        <v>0</v>
      </c>
      <c r="AI913" s="1" t="n">
        <v>0</v>
      </c>
      <c r="AJ913" s="1" t="n">
        <v>4</v>
      </c>
      <c r="AK913" s="1" t="n">
        <v>6</v>
      </c>
      <c r="AL913" s="1" t="s">
        <v>1673</v>
      </c>
      <c r="AM913" s="1" t="s">
        <v>1026</v>
      </c>
      <c r="AN913" s="1" t="s">
        <v>1674</v>
      </c>
      <c r="AO913" s="1" t="s">
        <v>16238</v>
      </c>
      <c r="AP913" s="1" t="s">
        <v>16239</v>
      </c>
      <c r="AQ913" s="1"/>
      <c r="AR913" s="1" t="s">
        <v>16240</v>
      </c>
      <c r="AS913" s="1" t="s">
        <v>16241</v>
      </c>
      <c r="AT913" s="1" t="s">
        <v>16242</v>
      </c>
      <c r="AU913" s="1" t="n">
        <v>2023</v>
      </c>
      <c r="AV913" s="1" t="n">
        <v>39</v>
      </c>
      <c r="AW913" s="1" t="n">
        <v>4</v>
      </c>
      <c r="AX913" s="1"/>
      <c r="AY913" s="1"/>
      <c r="AZ913" s="1" t="s">
        <v>1698</v>
      </c>
      <c r="BA913" s="1"/>
      <c r="BB913" s="1" t="n">
        <v>667</v>
      </c>
      <c r="BC913" s="1" t="n">
        <v>679</v>
      </c>
      <c r="BD913" s="1"/>
      <c r="BE913" s="1" t="s">
        <v>16243</v>
      </c>
      <c r="BF913" s="1" t="str">
        <f aca="false">HYPERLINK("http://dx.doi.org/10.1093/oxrep/grad047","http://dx.doi.org/10.1093/oxrep/grad047")</f>
        <v>http://dx.doi.org/10.1093/oxrep/grad047</v>
      </c>
      <c r="BG913" s="1"/>
      <c r="BH913" s="1"/>
      <c r="BI913" s="1" t="n">
        <v>13</v>
      </c>
      <c r="BJ913" s="1" t="s">
        <v>3680</v>
      </c>
      <c r="BK913" s="1" t="s">
        <v>610</v>
      </c>
      <c r="BL913" s="1" t="s">
        <v>715</v>
      </c>
      <c r="BM913" s="1" t="s">
        <v>16244</v>
      </c>
      <c r="BN913" s="1"/>
      <c r="BO913" s="1"/>
      <c r="BP913" s="1"/>
      <c r="BQ913" s="1"/>
      <c r="BR913" s="1" t="s">
        <v>103</v>
      </c>
      <c r="BS913" s="1" t="s">
        <v>16245</v>
      </c>
      <c r="BT913" s="1" t="str">
        <f aca="false">HYPERLINK("https%3A%2F%2Fwww.webofscience.com%2Fwos%2Fwoscc%2Ffull-record%2FWOS:001107708100006","View Full Record in Web of Science")</f>
        <v>View Full Record in Web of Science</v>
      </c>
    </row>
    <row r="914" customFormat="false" ht="12.75" hidden="false" customHeight="false" outlineLevel="0" collapsed="false">
      <c r="A914" s="1" t="s">
        <v>181</v>
      </c>
      <c r="B914" s="1" t="s">
        <v>16246</v>
      </c>
      <c r="C914" s="1"/>
      <c r="D914" s="1"/>
      <c r="E914" s="1"/>
      <c r="F914" s="1" t="s">
        <v>16247</v>
      </c>
      <c r="G914" s="1"/>
      <c r="H914" s="1"/>
      <c r="I914" s="1" t="s">
        <v>16248</v>
      </c>
      <c r="J914" s="1" t="s">
        <v>1041</v>
      </c>
      <c r="K914" s="1"/>
      <c r="L914" s="1"/>
      <c r="M914" s="1" t="s">
        <v>78</v>
      </c>
      <c r="N914" s="1" t="s">
        <v>618</v>
      </c>
      <c r="O914" s="1"/>
      <c r="P914" s="1"/>
      <c r="Q914" s="1"/>
      <c r="R914" s="1"/>
      <c r="S914" s="1"/>
      <c r="T914" s="1" t="s">
        <v>16249</v>
      </c>
      <c r="U914" s="1" t="s">
        <v>16250</v>
      </c>
      <c r="V914" s="1" t="s">
        <v>16251</v>
      </c>
      <c r="W914" s="1" t="s">
        <v>16252</v>
      </c>
      <c r="X914" s="1" t="s">
        <v>16253</v>
      </c>
      <c r="Y914" s="1" t="s">
        <v>16254</v>
      </c>
      <c r="Z914" s="1" t="s">
        <v>16255</v>
      </c>
      <c r="AA914" s="1" t="s">
        <v>16256</v>
      </c>
      <c r="AB914" s="1" t="s">
        <v>16257</v>
      </c>
      <c r="AC914" s="1" t="s">
        <v>16258</v>
      </c>
      <c r="AD914" s="1" t="s">
        <v>15340</v>
      </c>
      <c r="AE914" s="1" t="s">
        <v>16259</v>
      </c>
      <c r="AF914" s="1"/>
      <c r="AG914" s="1" t="n">
        <v>78</v>
      </c>
      <c r="AH914" s="1" t="n">
        <v>27</v>
      </c>
      <c r="AI914" s="1" t="n">
        <v>26</v>
      </c>
      <c r="AJ914" s="1" t="n">
        <v>12</v>
      </c>
      <c r="AK914" s="1" t="n">
        <v>110</v>
      </c>
      <c r="AL914" s="1" t="s">
        <v>600</v>
      </c>
      <c r="AM914" s="1" t="s">
        <v>601</v>
      </c>
      <c r="AN914" s="1" t="s">
        <v>602</v>
      </c>
      <c r="AO914" s="1" t="s">
        <v>1048</v>
      </c>
      <c r="AP914" s="1" t="s">
        <v>1049</v>
      </c>
      <c r="AQ914" s="1"/>
      <c r="AR914" s="1" t="s">
        <v>1050</v>
      </c>
      <c r="AS914" s="1" t="s">
        <v>1051</v>
      </c>
      <c r="AT914" s="1" t="s">
        <v>421</v>
      </c>
      <c r="AU914" s="1" t="n">
        <v>2023</v>
      </c>
      <c r="AV914" s="1" t="n">
        <v>31</v>
      </c>
      <c r="AW914" s="1" t="n">
        <v>2</v>
      </c>
      <c r="AX914" s="1"/>
      <c r="AY914" s="1"/>
      <c r="AZ914" s="1"/>
      <c r="BA914" s="1"/>
      <c r="BB914" s="1" t="n">
        <v>587</v>
      </c>
      <c r="BC914" s="1" t="n">
        <v>599</v>
      </c>
      <c r="BD914" s="1"/>
      <c r="BE914" s="1" t="s">
        <v>16260</v>
      </c>
      <c r="BF914" s="1" t="str">
        <f aca="false">HYPERLINK("http://dx.doi.org/10.1002/sd.2410","http://dx.doi.org/10.1002/sd.2410")</f>
        <v>http://dx.doi.org/10.1002/sd.2410</v>
      </c>
      <c r="BG914" s="1"/>
      <c r="BH914" s="1" t="s">
        <v>3679</v>
      </c>
      <c r="BI914" s="1" t="n">
        <v>13</v>
      </c>
      <c r="BJ914" s="1" t="s">
        <v>1055</v>
      </c>
      <c r="BK914" s="1" t="s">
        <v>610</v>
      </c>
      <c r="BL914" s="1" t="s">
        <v>1056</v>
      </c>
      <c r="BM914" s="1" t="s">
        <v>16261</v>
      </c>
      <c r="BN914" s="1"/>
      <c r="BO914" s="1"/>
      <c r="BP914" s="1"/>
      <c r="BQ914" s="1"/>
      <c r="BR914" s="1" t="s">
        <v>103</v>
      </c>
      <c r="BS914" s="1" t="s">
        <v>16262</v>
      </c>
      <c r="BT914" s="1" t="str">
        <f aca="false">HYPERLINK("https%3A%2F%2Fwww.webofscience.com%2Fwos%2Fwoscc%2Ffull-record%2FWOS:000854573400001","View Full Record in Web of Science")</f>
        <v>View Full Record in Web of Science</v>
      </c>
    </row>
    <row r="915" customFormat="false" ht="12.75" hidden="false" customHeight="false" outlineLevel="0" collapsed="false">
      <c r="A915" s="1" t="s">
        <v>181</v>
      </c>
      <c r="B915" s="1" t="s">
        <v>16263</v>
      </c>
      <c r="C915" s="1"/>
      <c r="D915" s="1"/>
      <c r="E915" s="1"/>
      <c r="F915" s="1" t="s">
        <v>16264</v>
      </c>
      <c r="G915" s="1"/>
      <c r="H915" s="1"/>
      <c r="I915" s="1" t="s">
        <v>16265</v>
      </c>
      <c r="J915" s="1" t="s">
        <v>1104</v>
      </c>
      <c r="K915" s="1"/>
      <c r="L915" s="1"/>
      <c r="M915" s="1" t="s">
        <v>78</v>
      </c>
      <c r="N915" s="1" t="s">
        <v>618</v>
      </c>
      <c r="O915" s="1"/>
      <c r="P915" s="1"/>
      <c r="Q915" s="1"/>
      <c r="R915" s="1"/>
      <c r="S915" s="1"/>
      <c r="T915" s="1" t="s">
        <v>16266</v>
      </c>
      <c r="U915" s="1" t="s">
        <v>16267</v>
      </c>
      <c r="V915" s="1" t="s">
        <v>16268</v>
      </c>
      <c r="W915" s="1" t="s">
        <v>16269</v>
      </c>
      <c r="X915" s="1" t="s">
        <v>16270</v>
      </c>
      <c r="Y915" s="1" t="s">
        <v>16271</v>
      </c>
      <c r="Z915" s="1" t="s">
        <v>16272</v>
      </c>
      <c r="AA915" s="1" t="s">
        <v>16273</v>
      </c>
      <c r="AB915" s="1" t="s">
        <v>16274</v>
      </c>
      <c r="AC915" s="1" t="s">
        <v>16275</v>
      </c>
      <c r="AD915" s="1" t="s">
        <v>16276</v>
      </c>
      <c r="AE915" s="1" t="s">
        <v>16277</v>
      </c>
      <c r="AF915" s="1"/>
      <c r="AG915" s="1" t="n">
        <v>153</v>
      </c>
      <c r="AH915" s="1" t="n">
        <v>11</v>
      </c>
      <c r="AI915" s="1" t="n">
        <v>11</v>
      </c>
      <c r="AJ915" s="1" t="n">
        <v>1</v>
      </c>
      <c r="AK915" s="1" t="n">
        <v>40</v>
      </c>
      <c r="AL915" s="1" t="s">
        <v>195</v>
      </c>
      <c r="AM915" s="1" t="s">
        <v>196</v>
      </c>
      <c r="AN915" s="1" t="s">
        <v>197</v>
      </c>
      <c r="AO915" s="1" t="s">
        <v>1114</v>
      </c>
      <c r="AP915" s="1"/>
      <c r="AQ915" s="1"/>
      <c r="AR915" s="1" t="s">
        <v>1104</v>
      </c>
      <c r="AS915" s="1" t="s">
        <v>1115</v>
      </c>
      <c r="AT915" s="1"/>
      <c r="AU915" s="1" t="n">
        <v>2022</v>
      </c>
      <c r="AV915" s="1" t="n">
        <v>10</v>
      </c>
      <c r="AW915" s="1"/>
      <c r="AX915" s="1"/>
      <c r="AY915" s="1"/>
      <c r="AZ915" s="1"/>
      <c r="BA915" s="1"/>
      <c r="BB915" s="1" t="n">
        <v>79419</v>
      </c>
      <c r="BC915" s="1" t="n">
        <v>79443</v>
      </c>
      <c r="BD915" s="1"/>
      <c r="BE915" s="1" t="s">
        <v>16278</v>
      </c>
      <c r="BF915" s="1" t="str">
        <f aca="false">HYPERLINK("http://dx.doi.org/10.1109/ACCESS.2022.3194145","http://dx.doi.org/10.1109/ACCESS.2022.3194145")</f>
        <v>http://dx.doi.org/10.1109/ACCESS.2022.3194145</v>
      </c>
      <c r="BG915" s="1"/>
      <c r="BH915" s="1"/>
      <c r="BI915" s="1" t="n">
        <v>25</v>
      </c>
      <c r="BJ915" s="1" t="s">
        <v>1117</v>
      </c>
      <c r="BK915" s="1" t="s">
        <v>204</v>
      </c>
      <c r="BL915" s="1" t="s">
        <v>1118</v>
      </c>
      <c r="BM915" s="1" t="s">
        <v>16279</v>
      </c>
      <c r="BN915" s="1"/>
      <c r="BO915" s="1" t="s">
        <v>1209</v>
      </c>
      <c r="BP915" s="1"/>
      <c r="BQ915" s="1"/>
      <c r="BR915" s="1" t="s">
        <v>103</v>
      </c>
      <c r="BS915" s="1" t="s">
        <v>16280</v>
      </c>
      <c r="BT915" s="1" t="str">
        <f aca="false">HYPERLINK("https%3A%2F%2Fwww.webofscience.com%2Fwos%2Fwoscc%2Ffull-record%2FWOS:000836601900001","View Full Record in Web of Science")</f>
        <v>View Full Record in Web of Science</v>
      </c>
    </row>
    <row r="916" customFormat="false" ht="12.75" hidden="false" customHeight="false" outlineLevel="0" collapsed="false">
      <c r="A916" s="1" t="s">
        <v>181</v>
      </c>
      <c r="B916" s="1" t="s">
        <v>16281</v>
      </c>
      <c r="C916" s="1"/>
      <c r="D916" s="1"/>
      <c r="E916" s="1"/>
      <c r="F916" s="1" t="s">
        <v>16282</v>
      </c>
      <c r="G916" s="1"/>
      <c r="H916" s="1"/>
      <c r="I916" s="1" t="s">
        <v>16283</v>
      </c>
      <c r="J916" s="1" t="s">
        <v>3723</v>
      </c>
      <c r="K916" s="1"/>
      <c r="L916" s="1"/>
      <c r="M916" s="1" t="s">
        <v>78</v>
      </c>
      <c r="N916" s="1" t="s">
        <v>618</v>
      </c>
      <c r="O916" s="1"/>
      <c r="P916" s="1"/>
      <c r="Q916" s="1"/>
      <c r="R916" s="1"/>
      <c r="S916" s="1"/>
      <c r="T916" s="1" t="s">
        <v>16284</v>
      </c>
      <c r="U916" s="1"/>
      <c r="V916" s="1" t="s">
        <v>16285</v>
      </c>
      <c r="W916" s="1" t="s">
        <v>16286</v>
      </c>
      <c r="X916" s="1" t="s">
        <v>16287</v>
      </c>
      <c r="Y916" s="1" t="s">
        <v>16288</v>
      </c>
      <c r="Z916" s="1" t="s">
        <v>16289</v>
      </c>
      <c r="AA916" s="1" t="s">
        <v>6797</v>
      </c>
      <c r="AB916" s="1" t="s">
        <v>16290</v>
      </c>
      <c r="AC916" s="1"/>
      <c r="AD916" s="1"/>
      <c r="AE916" s="1"/>
      <c r="AF916" s="1"/>
      <c r="AG916" s="1" t="n">
        <v>81</v>
      </c>
      <c r="AH916" s="1" t="n">
        <v>1</v>
      </c>
      <c r="AI916" s="1" t="n">
        <v>1</v>
      </c>
      <c r="AJ916" s="1" t="n">
        <v>0</v>
      </c>
      <c r="AK916" s="1" t="n">
        <v>3</v>
      </c>
      <c r="AL916" s="1" t="s">
        <v>16291</v>
      </c>
      <c r="AM916" s="1" t="s">
        <v>16292</v>
      </c>
      <c r="AN916" s="1" t="s">
        <v>16293</v>
      </c>
      <c r="AO916" s="1" t="s">
        <v>3728</v>
      </c>
      <c r="AP916" s="1" t="s">
        <v>3729</v>
      </c>
      <c r="AQ916" s="1"/>
      <c r="AR916" s="1" t="s">
        <v>3730</v>
      </c>
      <c r="AS916" s="1" t="s">
        <v>3731</v>
      </c>
      <c r="AT916" s="1" t="s">
        <v>372</v>
      </c>
      <c r="AU916" s="1" t="n">
        <v>2020</v>
      </c>
      <c r="AV916" s="1" t="n">
        <v>14</v>
      </c>
      <c r="AW916" s="1" t="n">
        <v>6</v>
      </c>
      <c r="AX916" s="1"/>
      <c r="AY916" s="1"/>
      <c r="AZ916" s="1"/>
      <c r="BA916" s="1"/>
      <c r="BB916" s="1" t="n">
        <v>665</v>
      </c>
      <c r="BC916" s="1" t="n">
        <v>676</v>
      </c>
      <c r="BD916" s="1"/>
      <c r="BE916" s="1" t="s">
        <v>16294</v>
      </c>
      <c r="BF916" s="1" t="str">
        <f aca="false">HYPERLINK("http://dx.doi.org/10.1049/iet-sen.2020.0109","http://dx.doi.org/10.1049/iet-sen.2020.0109")</f>
        <v>http://dx.doi.org/10.1049/iet-sen.2020.0109</v>
      </c>
      <c r="BG916" s="1"/>
      <c r="BH916" s="1"/>
      <c r="BI916" s="1" t="n">
        <v>12</v>
      </c>
      <c r="BJ916" s="1" t="s">
        <v>252</v>
      </c>
      <c r="BK916" s="1" t="s">
        <v>204</v>
      </c>
      <c r="BL916" s="1" t="s">
        <v>101</v>
      </c>
      <c r="BM916" s="1" t="s">
        <v>16295</v>
      </c>
      <c r="BN916" s="1"/>
      <c r="BO916" s="1" t="s">
        <v>10852</v>
      </c>
      <c r="BP916" s="1"/>
      <c r="BQ916" s="1"/>
      <c r="BR916" s="1" t="s">
        <v>103</v>
      </c>
      <c r="BS916" s="1" t="s">
        <v>16296</v>
      </c>
      <c r="BT916" s="1" t="str">
        <f aca="false">HYPERLINK("https%3A%2F%2Fwww.webofscience.com%2Fwos%2Fwoscc%2Ffull-record%2FWOS:000596571800008","View Full Record in Web of Science")</f>
        <v>View Full Record in Web of Science</v>
      </c>
    </row>
    <row r="917" customFormat="false" ht="12.75" hidden="false" customHeight="false" outlineLevel="0" collapsed="false">
      <c r="A917" s="1" t="s">
        <v>181</v>
      </c>
      <c r="B917" s="1" t="s">
        <v>16297</v>
      </c>
      <c r="C917" s="1"/>
      <c r="D917" s="1"/>
      <c r="E917" s="1"/>
      <c r="F917" s="1" t="s">
        <v>16298</v>
      </c>
      <c r="G917" s="1"/>
      <c r="H917" s="1"/>
      <c r="I917" s="1" t="s">
        <v>16299</v>
      </c>
      <c r="J917" s="1" t="s">
        <v>381</v>
      </c>
      <c r="K917" s="1"/>
      <c r="L917" s="1"/>
      <c r="M917" s="1" t="s">
        <v>78</v>
      </c>
      <c r="N917" s="1" t="s">
        <v>186</v>
      </c>
      <c r="O917" s="1"/>
      <c r="P917" s="1"/>
      <c r="Q917" s="1"/>
      <c r="R917" s="1"/>
      <c r="S917" s="1"/>
      <c r="T917" s="1" t="s">
        <v>16300</v>
      </c>
      <c r="U917" s="1" t="s">
        <v>16301</v>
      </c>
      <c r="V917" s="1" t="s">
        <v>16302</v>
      </c>
      <c r="W917" s="1" t="s">
        <v>16303</v>
      </c>
      <c r="X917" s="1" t="s">
        <v>16304</v>
      </c>
      <c r="Y917" s="1" t="s">
        <v>16305</v>
      </c>
      <c r="Z917" s="1" t="s">
        <v>16306</v>
      </c>
      <c r="AA917" s="1" t="s">
        <v>16307</v>
      </c>
      <c r="AB917" s="1" t="s">
        <v>16308</v>
      </c>
      <c r="AC917" s="1" t="s">
        <v>391</v>
      </c>
      <c r="AD917" s="1" t="s">
        <v>391</v>
      </c>
      <c r="AE917" s="1" t="s">
        <v>13285</v>
      </c>
      <c r="AF917" s="1"/>
      <c r="AG917" s="1" t="n">
        <v>76</v>
      </c>
      <c r="AH917" s="1" t="n">
        <v>31</v>
      </c>
      <c r="AI917" s="1" t="n">
        <v>34</v>
      </c>
      <c r="AJ917" s="1" t="n">
        <v>8</v>
      </c>
      <c r="AK917" s="1" t="n">
        <v>106</v>
      </c>
      <c r="AL917" s="1" t="s">
        <v>367</v>
      </c>
      <c r="AM917" s="1" t="s">
        <v>368</v>
      </c>
      <c r="AN917" s="1" t="s">
        <v>369</v>
      </c>
      <c r="AO917" s="1"/>
      <c r="AP917" s="1" t="s">
        <v>393</v>
      </c>
      <c r="AQ917" s="1"/>
      <c r="AR917" s="1" t="s">
        <v>394</v>
      </c>
      <c r="AS917" s="1" t="s">
        <v>395</v>
      </c>
      <c r="AT917" s="1" t="s">
        <v>1362</v>
      </c>
      <c r="AU917" s="1" t="n">
        <v>2020</v>
      </c>
      <c r="AV917" s="1" t="n">
        <v>12</v>
      </c>
      <c r="AW917" s="1" t="n">
        <v>19</v>
      </c>
      <c r="AX917" s="1"/>
      <c r="AY917" s="1"/>
      <c r="AZ917" s="1"/>
      <c r="BA917" s="1"/>
      <c r="BB917" s="1"/>
      <c r="BC917" s="1"/>
      <c r="BD917" s="1" t="n">
        <v>8174</v>
      </c>
      <c r="BE917" s="1" t="s">
        <v>16309</v>
      </c>
      <c r="BF917" s="1" t="str">
        <f aca="false">HYPERLINK("http://dx.doi.org/10.3390/su12198174","http://dx.doi.org/10.3390/su12198174")</f>
        <v>http://dx.doi.org/10.3390/su12198174</v>
      </c>
      <c r="BG917" s="1"/>
      <c r="BH917" s="1"/>
      <c r="BI917" s="1" t="n">
        <v>28</v>
      </c>
      <c r="BJ917" s="1" t="s">
        <v>397</v>
      </c>
      <c r="BK917" s="1" t="s">
        <v>398</v>
      </c>
      <c r="BL917" s="1" t="s">
        <v>399</v>
      </c>
      <c r="BM917" s="1" t="s">
        <v>16310</v>
      </c>
      <c r="BN917" s="1"/>
      <c r="BO917" s="1" t="s">
        <v>6278</v>
      </c>
      <c r="BP917" s="1"/>
      <c r="BQ917" s="1"/>
      <c r="BR917" s="1" t="s">
        <v>103</v>
      </c>
      <c r="BS917" s="1" t="s">
        <v>16311</v>
      </c>
      <c r="BT917" s="1" t="str">
        <f aca="false">HYPERLINK("https%3A%2F%2Fwww.webofscience.com%2Fwos%2Fwoscc%2Ffull-record%2FWOS:000586456900001","View Full Record in Web of Science")</f>
        <v>View Full Record in Web of Science</v>
      </c>
    </row>
    <row r="918" customFormat="false" ht="12.75" hidden="false" customHeight="false" outlineLevel="0" collapsed="false">
      <c r="A918" s="1" t="s">
        <v>181</v>
      </c>
      <c r="B918" s="1" t="s">
        <v>16312</v>
      </c>
      <c r="C918" s="1"/>
      <c r="D918" s="1"/>
      <c r="E918" s="1"/>
      <c r="F918" s="1" t="s">
        <v>16313</v>
      </c>
      <c r="G918" s="1"/>
      <c r="H918" s="1"/>
      <c r="I918" s="1" t="s">
        <v>16314</v>
      </c>
      <c r="J918" s="1" t="s">
        <v>16315</v>
      </c>
      <c r="K918" s="1"/>
      <c r="L918" s="1"/>
      <c r="M918" s="1" t="s">
        <v>78</v>
      </c>
      <c r="N918" s="1" t="s">
        <v>186</v>
      </c>
      <c r="O918" s="1"/>
      <c r="P918" s="1"/>
      <c r="Q918" s="1"/>
      <c r="R918" s="1"/>
      <c r="S918" s="1"/>
      <c r="T918" s="1" t="s">
        <v>16316</v>
      </c>
      <c r="U918" s="1" t="s">
        <v>16317</v>
      </c>
      <c r="V918" s="1" t="s">
        <v>16318</v>
      </c>
      <c r="W918" s="1" t="s">
        <v>16319</v>
      </c>
      <c r="X918" s="1" t="s">
        <v>16320</v>
      </c>
      <c r="Y918" s="1" t="s">
        <v>16321</v>
      </c>
      <c r="Z918" s="1" t="s">
        <v>16322</v>
      </c>
      <c r="AA918" s="1" t="s">
        <v>16323</v>
      </c>
      <c r="AB918" s="1" t="s">
        <v>16324</v>
      </c>
      <c r="AC918" s="1" t="s">
        <v>16325</v>
      </c>
      <c r="AD918" s="1" t="s">
        <v>16326</v>
      </c>
      <c r="AE918" s="1" t="s">
        <v>16327</v>
      </c>
      <c r="AF918" s="1"/>
      <c r="AG918" s="1" t="n">
        <v>127</v>
      </c>
      <c r="AH918" s="1" t="n">
        <v>25</v>
      </c>
      <c r="AI918" s="1" t="n">
        <v>25</v>
      </c>
      <c r="AJ918" s="1" t="n">
        <v>14</v>
      </c>
      <c r="AK918" s="1" t="n">
        <v>55</v>
      </c>
      <c r="AL918" s="1" t="s">
        <v>1025</v>
      </c>
      <c r="AM918" s="1" t="s">
        <v>3615</v>
      </c>
      <c r="AN918" s="1" t="s">
        <v>3616</v>
      </c>
      <c r="AO918" s="1" t="s">
        <v>16328</v>
      </c>
      <c r="AP918" s="1" t="s">
        <v>16329</v>
      </c>
      <c r="AQ918" s="1"/>
      <c r="AR918" s="1" t="s">
        <v>16330</v>
      </c>
      <c r="AS918" s="1" t="s">
        <v>16331</v>
      </c>
      <c r="AT918" s="1" t="s">
        <v>711</v>
      </c>
      <c r="AU918" s="1" t="n">
        <v>2023</v>
      </c>
      <c r="AV918" s="1" t="n">
        <v>97</v>
      </c>
      <c r="AW918" s="1"/>
      <c r="AX918" s="1"/>
      <c r="AY918" s="1"/>
      <c r="AZ918" s="1"/>
      <c r="BA918" s="1"/>
      <c r="BB918" s="1"/>
      <c r="BC918" s="1"/>
      <c r="BD918" s="1" t="n">
        <v>104720</v>
      </c>
      <c r="BE918" s="1" t="s">
        <v>16332</v>
      </c>
      <c r="BF918" s="1" t="str">
        <f aca="false">HYPERLINK("http://dx.doi.org/10.1016/j.tourman.2023.104720","http://dx.doi.org/10.1016/j.tourman.2023.104720")</f>
        <v>http://dx.doi.org/10.1016/j.tourman.2023.104720</v>
      </c>
      <c r="BG918" s="1"/>
      <c r="BH918" s="1" t="s">
        <v>3946</v>
      </c>
      <c r="BI918" s="1" t="n">
        <v>14</v>
      </c>
      <c r="BJ918" s="1" t="s">
        <v>16333</v>
      </c>
      <c r="BK918" s="1" t="s">
        <v>610</v>
      </c>
      <c r="BL918" s="1" t="s">
        <v>16334</v>
      </c>
      <c r="BM918" s="1" t="s">
        <v>16335</v>
      </c>
      <c r="BN918" s="1"/>
      <c r="BO918" s="1" t="s">
        <v>612</v>
      </c>
      <c r="BP918" s="1"/>
      <c r="BQ918" s="1"/>
      <c r="BR918" s="1" t="s">
        <v>103</v>
      </c>
      <c r="BS918" s="1" t="s">
        <v>16336</v>
      </c>
      <c r="BT918" s="1" t="str">
        <f aca="false">HYPERLINK("https%3A%2F%2Fwww.webofscience.com%2Fwos%2Fwoscc%2Ffull-record%2FWOS:000961260600001","View Full Record in Web of Science")</f>
        <v>View Full Record in Web of Science</v>
      </c>
    </row>
    <row r="919" customFormat="false" ht="12.75" hidden="false" customHeight="false" outlineLevel="0" collapsed="false">
      <c r="A919" s="1" t="s">
        <v>181</v>
      </c>
      <c r="B919" s="1" t="s">
        <v>16051</v>
      </c>
      <c r="C919" s="1"/>
      <c r="D919" s="1"/>
      <c r="E919" s="1"/>
      <c r="F919" s="1" t="s">
        <v>16052</v>
      </c>
      <c r="G919" s="1"/>
      <c r="H919" s="1"/>
      <c r="I919" s="1" t="s">
        <v>16337</v>
      </c>
      <c r="J919" s="1" t="s">
        <v>3700</v>
      </c>
      <c r="K919" s="1"/>
      <c r="L919" s="1"/>
      <c r="M919" s="1" t="s">
        <v>78</v>
      </c>
      <c r="N919" s="1" t="s">
        <v>186</v>
      </c>
      <c r="O919" s="1"/>
      <c r="P919" s="1"/>
      <c r="Q919" s="1"/>
      <c r="R919" s="1"/>
      <c r="S919" s="1"/>
      <c r="T919" s="1" t="s">
        <v>16338</v>
      </c>
      <c r="U919" s="1"/>
      <c r="V919" s="1" t="s">
        <v>16339</v>
      </c>
      <c r="W919" s="1" t="s">
        <v>16340</v>
      </c>
      <c r="X919" s="1" t="s">
        <v>16341</v>
      </c>
      <c r="Y919" s="1" t="s">
        <v>10157</v>
      </c>
      <c r="Z919" s="1" t="s">
        <v>16342</v>
      </c>
      <c r="AA919" s="1" t="s">
        <v>16343</v>
      </c>
      <c r="AB919" s="1" t="s">
        <v>16344</v>
      </c>
      <c r="AC919" s="1"/>
      <c r="AD919" s="1"/>
      <c r="AE919" s="1"/>
      <c r="AF919" s="1"/>
      <c r="AG919" s="1" t="n">
        <v>37</v>
      </c>
      <c r="AH919" s="1" t="n">
        <v>3</v>
      </c>
      <c r="AI919" s="1" t="n">
        <v>13</v>
      </c>
      <c r="AJ919" s="1" t="n">
        <v>1</v>
      </c>
      <c r="AK919" s="1" t="n">
        <v>8</v>
      </c>
      <c r="AL919" s="1" t="s">
        <v>3711</v>
      </c>
      <c r="AM919" s="1" t="s">
        <v>95</v>
      </c>
      <c r="AN919" s="1" t="s">
        <v>3712</v>
      </c>
      <c r="AO919" s="1" t="s">
        <v>3713</v>
      </c>
      <c r="AP919" s="1" t="s">
        <v>3714</v>
      </c>
      <c r="AQ919" s="1"/>
      <c r="AR919" s="1" t="s">
        <v>3715</v>
      </c>
      <c r="AS919" s="1" t="s">
        <v>3716</v>
      </c>
      <c r="AT919" s="1" t="s">
        <v>372</v>
      </c>
      <c r="AU919" s="1" t="n">
        <v>2021</v>
      </c>
      <c r="AV919" s="1" t="n">
        <v>182</v>
      </c>
      <c r="AW919" s="1"/>
      <c r="AX919" s="1"/>
      <c r="AY919" s="1"/>
      <c r="AZ919" s="1"/>
      <c r="BA919" s="1"/>
      <c r="BB919" s="1"/>
      <c r="BC919" s="1"/>
      <c r="BD919" s="1" t="n">
        <v>111068</v>
      </c>
      <c r="BE919" s="1" t="s">
        <v>16345</v>
      </c>
      <c r="BF919" s="1" t="str">
        <f aca="false">HYPERLINK("http://dx.doi.org/10.1016/j.jss.2021.111068","http://dx.doi.org/10.1016/j.jss.2021.111068")</f>
        <v>http://dx.doi.org/10.1016/j.jss.2021.111068</v>
      </c>
      <c r="BG919" s="1"/>
      <c r="BH919" s="1" t="s">
        <v>2315</v>
      </c>
      <c r="BI919" s="1" t="n">
        <v>18</v>
      </c>
      <c r="BJ919" s="1" t="s">
        <v>994</v>
      </c>
      <c r="BK919" s="1" t="s">
        <v>398</v>
      </c>
      <c r="BL919" s="1" t="s">
        <v>101</v>
      </c>
      <c r="BM919" s="1" t="s">
        <v>16346</v>
      </c>
      <c r="BN919" s="1"/>
      <c r="BO919" s="1" t="s">
        <v>7573</v>
      </c>
      <c r="BP919" s="1"/>
      <c r="BQ919" s="1"/>
      <c r="BR919" s="1" t="s">
        <v>103</v>
      </c>
      <c r="BS919" s="1" t="s">
        <v>16347</v>
      </c>
      <c r="BT919" s="1" t="str">
        <f aca="false">HYPERLINK("https%3A%2F%2Fwww.webofscience.com%2Fwos%2Fwoscc%2Ffull-record%2FWOS:000697027700003","View Full Record in Web of Science")</f>
        <v>View Full Record in Web of Science</v>
      </c>
    </row>
    <row r="920" customFormat="false" ht="12.75" hidden="false" customHeight="false" outlineLevel="0" collapsed="false">
      <c r="A920" s="1" t="s">
        <v>181</v>
      </c>
      <c r="B920" s="1" t="s">
        <v>16348</v>
      </c>
      <c r="C920" s="1"/>
      <c r="D920" s="1"/>
      <c r="E920" s="1"/>
      <c r="F920" s="1" t="s">
        <v>16349</v>
      </c>
      <c r="G920" s="1"/>
      <c r="H920" s="1"/>
      <c r="I920" s="1" t="s">
        <v>16350</v>
      </c>
      <c r="J920" s="1" t="s">
        <v>14814</v>
      </c>
      <c r="K920" s="1"/>
      <c r="L920" s="1"/>
      <c r="M920" s="1" t="s">
        <v>78</v>
      </c>
      <c r="N920" s="1" t="s">
        <v>186</v>
      </c>
      <c r="O920" s="1"/>
      <c r="P920" s="1"/>
      <c r="Q920" s="1"/>
      <c r="R920" s="1"/>
      <c r="S920" s="1"/>
      <c r="T920" s="1" t="s">
        <v>16351</v>
      </c>
      <c r="U920" s="1" t="s">
        <v>16352</v>
      </c>
      <c r="V920" s="1" t="s">
        <v>16353</v>
      </c>
      <c r="W920" s="1" t="s">
        <v>16354</v>
      </c>
      <c r="X920" s="1" t="s">
        <v>16355</v>
      </c>
      <c r="Y920" s="1" t="s">
        <v>16356</v>
      </c>
      <c r="Z920" s="1" t="s">
        <v>16357</v>
      </c>
      <c r="AA920" s="1" t="s">
        <v>16358</v>
      </c>
      <c r="AB920" s="1" t="s">
        <v>16359</v>
      </c>
      <c r="AC920" s="1"/>
      <c r="AD920" s="1"/>
      <c r="AE920" s="1"/>
      <c r="AF920" s="1"/>
      <c r="AG920" s="1" t="n">
        <v>62</v>
      </c>
      <c r="AH920" s="1" t="n">
        <v>8</v>
      </c>
      <c r="AI920" s="1" t="n">
        <v>8</v>
      </c>
      <c r="AJ920" s="1" t="n">
        <v>1</v>
      </c>
      <c r="AK920" s="1" t="n">
        <v>12</v>
      </c>
      <c r="AL920" s="1" t="s">
        <v>94</v>
      </c>
      <c r="AM920" s="1" t="s">
        <v>95</v>
      </c>
      <c r="AN920" s="1" t="s">
        <v>826</v>
      </c>
      <c r="AO920" s="1" t="s">
        <v>14827</v>
      </c>
      <c r="AP920" s="1" t="s">
        <v>14828</v>
      </c>
      <c r="AQ920" s="1"/>
      <c r="AR920" s="1" t="s">
        <v>14829</v>
      </c>
      <c r="AS920" s="1" t="s">
        <v>14830</v>
      </c>
      <c r="AT920" s="1" t="s">
        <v>1453</v>
      </c>
      <c r="AU920" s="1" t="n">
        <v>2022</v>
      </c>
      <c r="AV920" s="1" t="n">
        <v>54</v>
      </c>
      <c r="AW920" s="1" t="s">
        <v>16360</v>
      </c>
      <c r="AX920" s="1"/>
      <c r="AY920" s="1"/>
      <c r="AZ920" s="1"/>
      <c r="BA920" s="1"/>
      <c r="BB920" s="1"/>
      <c r="BC920" s="1"/>
      <c r="BD920" s="1" t="n">
        <v>226</v>
      </c>
      <c r="BE920" s="1" t="s">
        <v>16361</v>
      </c>
      <c r="BF920" s="1" t="str">
        <f aca="false">HYPERLINK("http://dx.doi.org/10.1145/3508359","http://dx.doi.org/10.1145/3508359")</f>
        <v>http://dx.doi.org/10.1145/3508359</v>
      </c>
      <c r="BG920" s="1"/>
      <c r="BH920" s="1"/>
      <c r="BI920" s="1" t="n">
        <v>36</v>
      </c>
      <c r="BJ920" s="1" t="s">
        <v>2136</v>
      </c>
      <c r="BK920" s="1" t="s">
        <v>204</v>
      </c>
      <c r="BL920" s="1" t="s">
        <v>101</v>
      </c>
      <c r="BM920" s="1" t="s">
        <v>16362</v>
      </c>
      <c r="BN920" s="1"/>
      <c r="BO920" s="1" t="s">
        <v>7081</v>
      </c>
      <c r="BP920" s="1"/>
      <c r="BQ920" s="1"/>
      <c r="BR920" s="1" t="s">
        <v>103</v>
      </c>
      <c r="BS920" s="1" t="s">
        <v>16363</v>
      </c>
      <c r="BT920" s="1" t="str">
        <f aca="false">HYPERLINK("https%3A%2F%2Fwww.webofscience.com%2Fwos%2Fwoscc%2Ffull-record%2FWOS:000886929000001","View Full Record in Web of Science")</f>
        <v>View Full Record in Web of Science</v>
      </c>
    </row>
    <row r="921" customFormat="false" ht="12.75" hidden="false" customHeight="false" outlineLevel="0" collapsed="false">
      <c r="A921" s="1" t="s">
        <v>181</v>
      </c>
      <c r="B921" s="1" t="s">
        <v>16364</v>
      </c>
      <c r="C921" s="1"/>
      <c r="D921" s="1"/>
      <c r="E921" s="1"/>
      <c r="F921" s="1" t="s">
        <v>16365</v>
      </c>
      <c r="G921" s="1"/>
      <c r="H921" s="1"/>
      <c r="I921" s="1" t="s">
        <v>16366</v>
      </c>
      <c r="J921" s="1" t="s">
        <v>16367</v>
      </c>
      <c r="K921" s="1"/>
      <c r="L921" s="1"/>
      <c r="M921" s="1" t="s">
        <v>78</v>
      </c>
      <c r="N921" s="1" t="s">
        <v>186</v>
      </c>
      <c r="O921" s="1"/>
      <c r="P921" s="1"/>
      <c r="Q921" s="1"/>
      <c r="R921" s="1"/>
      <c r="S921" s="1"/>
      <c r="T921" s="1" t="s">
        <v>16368</v>
      </c>
      <c r="U921" s="1"/>
      <c r="V921" s="1" t="s">
        <v>16369</v>
      </c>
      <c r="W921" s="1" t="s">
        <v>16370</v>
      </c>
      <c r="X921" s="1" t="s">
        <v>16371</v>
      </c>
      <c r="Y921" s="1" t="s">
        <v>16372</v>
      </c>
      <c r="Z921" s="1" t="s">
        <v>16373</v>
      </c>
      <c r="AA921" s="1" t="s">
        <v>16374</v>
      </c>
      <c r="AB921" s="1" t="s">
        <v>16375</v>
      </c>
      <c r="AC921" s="1"/>
      <c r="AD921" s="1"/>
      <c r="AE921" s="1"/>
      <c r="AF921" s="1"/>
      <c r="AG921" s="1" t="n">
        <v>27</v>
      </c>
      <c r="AH921" s="1" t="n">
        <v>5</v>
      </c>
      <c r="AI921" s="1" t="n">
        <v>5</v>
      </c>
      <c r="AJ921" s="1" t="n">
        <v>3</v>
      </c>
      <c r="AK921" s="1" t="n">
        <v>9</v>
      </c>
      <c r="AL921" s="1" t="s">
        <v>893</v>
      </c>
      <c r="AM921" s="1" t="s">
        <v>894</v>
      </c>
      <c r="AN921" s="1" t="s">
        <v>895</v>
      </c>
      <c r="AO921" s="1" t="s">
        <v>16376</v>
      </c>
      <c r="AP921" s="1" t="s">
        <v>16377</v>
      </c>
      <c r="AQ921" s="1"/>
      <c r="AR921" s="1" t="s">
        <v>16378</v>
      </c>
      <c r="AS921" s="1" t="s">
        <v>16379</v>
      </c>
      <c r="AT921" s="1" t="s">
        <v>372</v>
      </c>
      <c r="AU921" s="1" t="n">
        <v>2023</v>
      </c>
      <c r="AV921" s="1" t="n">
        <v>26</v>
      </c>
      <c r="AW921" s="1" t="n">
        <v>4</v>
      </c>
      <c r="AX921" s="1"/>
      <c r="AY921" s="1"/>
      <c r="AZ921" s="1"/>
      <c r="BA921" s="1"/>
      <c r="BB921" s="1" t="n">
        <v>966</v>
      </c>
      <c r="BC921" s="1" t="n">
        <v>973</v>
      </c>
      <c r="BD921" s="1"/>
      <c r="BE921" s="1" t="s">
        <v>16380</v>
      </c>
      <c r="BF921" s="1" t="str">
        <f aca="false">HYPERLINK("http://dx.doi.org/10.1016/j.ejrs.2023.10.006","http://dx.doi.org/10.1016/j.ejrs.2023.10.006")</f>
        <v>http://dx.doi.org/10.1016/j.ejrs.2023.10.006</v>
      </c>
      <c r="BG921" s="1"/>
      <c r="BH921" s="1" t="s">
        <v>3622</v>
      </c>
      <c r="BI921" s="1" t="n">
        <v>8</v>
      </c>
      <c r="BJ921" s="1" t="s">
        <v>16381</v>
      </c>
      <c r="BK921" s="1" t="s">
        <v>204</v>
      </c>
      <c r="BL921" s="1" t="s">
        <v>16382</v>
      </c>
      <c r="BM921" s="1" t="s">
        <v>16383</v>
      </c>
      <c r="BN921" s="1"/>
      <c r="BO921" s="1" t="s">
        <v>542</v>
      </c>
      <c r="BP921" s="1"/>
      <c r="BQ921" s="1"/>
      <c r="BR921" s="1" t="s">
        <v>103</v>
      </c>
      <c r="BS921" s="1" t="s">
        <v>16384</v>
      </c>
      <c r="BT921" s="1" t="str">
        <f aca="false">HYPERLINK("https%3A%2F%2Fwww.webofscience.com%2Fwos%2Fwoscc%2Ffull-record%2FWOS:001117715600001","View Full Record in Web of Science")</f>
        <v>View Full Record in Web of Science</v>
      </c>
    </row>
    <row r="922" customFormat="false" ht="12.75" hidden="false" customHeight="false" outlineLevel="0" collapsed="false">
      <c r="A922" s="1" t="s">
        <v>181</v>
      </c>
      <c r="B922" s="1" t="s">
        <v>16385</v>
      </c>
      <c r="C922" s="1"/>
      <c r="D922" s="1"/>
      <c r="E922" s="1"/>
      <c r="F922" s="1" t="s">
        <v>16386</v>
      </c>
      <c r="G922" s="1"/>
      <c r="H922" s="1"/>
      <c r="I922" s="1" t="s">
        <v>16387</v>
      </c>
      <c r="J922" s="1" t="s">
        <v>4178</v>
      </c>
      <c r="K922" s="1"/>
      <c r="L922" s="1"/>
      <c r="M922" s="1" t="s">
        <v>78</v>
      </c>
      <c r="N922" s="1" t="s">
        <v>1996</v>
      </c>
      <c r="O922" s="1"/>
      <c r="P922" s="1"/>
      <c r="Q922" s="1"/>
      <c r="R922" s="1"/>
      <c r="S922" s="1"/>
      <c r="T922" s="1" t="s">
        <v>16388</v>
      </c>
      <c r="U922" s="1"/>
      <c r="V922" s="1" t="s">
        <v>16389</v>
      </c>
      <c r="W922" s="1" t="s">
        <v>16390</v>
      </c>
      <c r="X922" s="1" t="s">
        <v>16391</v>
      </c>
      <c r="Y922" s="1" t="s">
        <v>16392</v>
      </c>
      <c r="Z922" s="1" t="s">
        <v>16393</v>
      </c>
      <c r="AA922" s="1" t="s">
        <v>16394</v>
      </c>
      <c r="AB922" s="1" t="s">
        <v>16395</v>
      </c>
      <c r="AC922" s="1"/>
      <c r="AD922" s="1"/>
      <c r="AE922" s="1"/>
      <c r="AF922" s="1"/>
      <c r="AG922" s="1" t="n">
        <v>7</v>
      </c>
      <c r="AH922" s="1" t="n">
        <v>0</v>
      </c>
      <c r="AI922" s="1" t="n">
        <v>0</v>
      </c>
      <c r="AJ922" s="1" t="n">
        <v>1</v>
      </c>
      <c r="AK922" s="1" t="n">
        <v>1</v>
      </c>
      <c r="AL922" s="1" t="s">
        <v>600</v>
      </c>
      <c r="AM922" s="1" t="s">
        <v>601</v>
      </c>
      <c r="AN922" s="1" t="s">
        <v>602</v>
      </c>
      <c r="AO922" s="1" t="s">
        <v>4190</v>
      </c>
      <c r="AP922" s="1" t="s">
        <v>4191</v>
      </c>
      <c r="AQ922" s="1"/>
      <c r="AR922" s="1" t="s">
        <v>4192</v>
      </c>
      <c r="AS922" s="1" t="s">
        <v>4193</v>
      </c>
      <c r="AT922" s="1" t="s">
        <v>754</v>
      </c>
      <c r="AU922" s="1" t="n">
        <v>2023</v>
      </c>
      <c r="AV922" s="1" t="n">
        <v>35</v>
      </c>
      <c r="AW922" s="1" t="n">
        <v>5</v>
      </c>
      <c r="AX922" s="1"/>
      <c r="AY922" s="1"/>
      <c r="AZ922" s="1" t="s">
        <v>1698</v>
      </c>
      <c r="BA922" s="1"/>
      <c r="BB922" s="1"/>
      <c r="BC922" s="1"/>
      <c r="BD922" s="1" t="s">
        <v>16396</v>
      </c>
      <c r="BE922" s="1" t="s">
        <v>16397</v>
      </c>
      <c r="BF922" s="1" t="str">
        <f aca="false">HYPERLINK("http://dx.doi.org/10.1002/smr.2544","http://dx.doi.org/10.1002/smr.2544")</f>
        <v>http://dx.doi.org/10.1002/smr.2544</v>
      </c>
      <c r="BG922" s="1"/>
      <c r="BH922" s="1" t="s">
        <v>2833</v>
      </c>
      <c r="BI922" s="1" t="n">
        <v>3</v>
      </c>
      <c r="BJ922" s="1" t="s">
        <v>252</v>
      </c>
      <c r="BK922" s="1" t="s">
        <v>204</v>
      </c>
      <c r="BL922" s="1" t="s">
        <v>101</v>
      </c>
      <c r="BM922" s="1" t="s">
        <v>16398</v>
      </c>
      <c r="BN922" s="1"/>
      <c r="BO922" s="1" t="s">
        <v>444</v>
      </c>
      <c r="BP922" s="1"/>
      <c r="BQ922" s="1"/>
      <c r="BR922" s="1" t="s">
        <v>103</v>
      </c>
      <c r="BS922" s="1" t="s">
        <v>16399</v>
      </c>
      <c r="BT922" s="1" t="str">
        <f aca="false">HYPERLINK("https%3A%2F%2Fwww.webofscience.com%2Fwos%2Fwoscc%2Ffull-record%2FWOS:000941041900001","View Full Record in Web of Science")</f>
        <v>View Full Record in Web of Science</v>
      </c>
    </row>
    <row r="923" customFormat="false" ht="12.75" hidden="false" customHeight="false" outlineLevel="0" collapsed="false">
      <c r="A923" s="1" t="s">
        <v>181</v>
      </c>
      <c r="B923" s="1" t="s">
        <v>16400</v>
      </c>
      <c r="C923" s="1"/>
      <c r="D923" s="1"/>
      <c r="E923" s="1"/>
      <c r="F923" s="1" t="s">
        <v>16401</v>
      </c>
      <c r="G923" s="1"/>
      <c r="H923" s="1"/>
      <c r="I923" s="1" t="s">
        <v>16402</v>
      </c>
      <c r="J923" s="1" t="s">
        <v>16403</v>
      </c>
      <c r="K923" s="1"/>
      <c r="L923" s="1"/>
      <c r="M923" s="1" t="s">
        <v>78</v>
      </c>
      <c r="N923" s="1" t="s">
        <v>186</v>
      </c>
      <c r="O923" s="1"/>
      <c r="P923" s="1"/>
      <c r="Q923" s="1"/>
      <c r="R923" s="1"/>
      <c r="S923" s="1"/>
      <c r="T923" s="1" t="s">
        <v>16404</v>
      </c>
      <c r="U923" s="1" t="s">
        <v>16405</v>
      </c>
      <c r="V923" s="1" t="s">
        <v>16406</v>
      </c>
      <c r="W923" s="1" t="s">
        <v>16407</v>
      </c>
      <c r="X923" s="1" t="s">
        <v>16408</v>
      </c>
      <c r="Y923" s="1" t="s">
        <v>16409</v>
      </c>
      <c r="Z923" s="1" t="s">
        <v>16410</v>
      </c>
      <c r="AA923" s="1" t="s">
        <v>16411</v>
      </c>
      <c r="AB923" s="1" t="s">
        <v>16412</v>
      </c>
      <c r="AC923" s="1" t="s">
        <v>16413</v>
      </c>
      <c r="AD923" s="1" t="s">
        <v>16413</v>
      </c>
      <c r="AE923" s="1" t="s">
        <v>16414</v>
      </c>
      <c r="AF923" s="1"/>
      <c r="AG923" s="1" t="n">
        <v>40</v>
      </c>
      <c r="AH923" s="1" t="n">
        <v>2</v>
      </c>
      <c r="AI923" s="1" t="n">
        <v>2</v>
      </c>
      <c r="AJ923" s="1" t="n">
        <v>0</v>
      </c>
      <c r="AK923" s="1" t="n">
        <v>6</v>
      </c>
      <c r="AL923" s="1" t="s">
        <v>600</v>
      </c>
      <c r="AM923" s="1" t="s">
        <v>601</v>
      </c>
      <c r="AN923" s="1" t="s">
        <v>602</v>
      </c>
      <c r="AO923" s="1" t="s">
        <v>16415</v>
      </c>
      <c r="AP923" s="1" t="s">
        <v>16416</v>
      </c>
      <c r="AQ923" s="1"/>
      <c r="AR923" s="1" t="s">
        <v>16417</v>
      </c>
      <c r="AS923" s="1" t="s">
        <v>16418</v>
      </c>
      <c r="AT923" s="1" t="s">
        <v>1391</v>
      </c>
      <c r="AU923" s="1" t="n">
        <v>2020</v>
      </c>
      <c r="AV923" s="1" t="n">
        <v>91</v>
      </c>
      <c r="AW923" s="1" t="n">
        <v>11</v>
      </c>
      <c r="AX923" s="1"/>
      <c r="AY923" s="1"/>
      <c r="AZ923" s="1"/>
      <c r="BA923" s="1"/>
      <c r="BB923" s="1" t="n">
        <v>1436</v>
      </c>
      <c r="BC923" s="1" t="n">
        <v>1443</v>
      </c>
      <c r="BD923" s="1"/>
      <c r="BE923" s="1" t="s">
        <v>16419</v>
      </c>
      <c r="BF923" s="1" t="str">
        <f aca="false">HYPERLINK("http://dx.doi.org/10.1002/JPER.19-0641","http://dx.doi.org/10.1002/JPER.19-0641")</f>
        <v>http://dx.doi.org/10.1002/JPER.19-0641</v>
      </c>
      <c r="BG923" s="1"/>
      <c r="BH923" s="1" t="s">
        <v>10146</v>
      </c>
      <c r="BI923" s="1" t="n">
        <v>8</v>
      </c>
      <c r="BJ923" s="1" t="s">
        <v>4910</v>
      </c>
      <c r="BK923" s="1" t="s">
        <v>204</v>
      </c>
      <c r="BL923" s="1" t="s">
        <v>4910</v>
      </c>
      <c r="BM923" s="1" t="s">
        <v>16420</v>
      </c>
      <c r="BN923" s="1" t="n">
        <v>32484239</v>
      </c>
      <c r="BO923" s="1"/>
      <c r="BP923" s="1"/>
      <c r="BQ923" s="1"/>
      <c r="BR923" s="1" t="s">
        <v>103</v>
      </c>
      <c r="BS923" s="1" t="s">
        <v>16421</v>
      </c>
      <c r="BT923" s="1" t="str">
        <f aca="false">HYPERLINK("https%3A%2F%2Fwww.webofscience.com%2Fwos%2Fwoscc%2Ffull-record%2FWOS:000544362200001","View Full Record in Web of Science")</f>
        <v>View Full Record in Web of Science</v>
      </c>
    </row>
    <row r="924" customFormat="false" ht="12.75" hidden="false" customHeight="false" outlineLevel="0" collapsed="false">
      <c r="A924" s="1" t="s">
        <v>181</v>
      </c>
      <c r="B924" s="1" t="s">
        <v>16422</v>
      </c>
      <c r="C924" s="1"/>
      <c r="D924" s="1"/>
      <c r="E924" s="1"/>
      <c r="F924" s="1" t="s">
        <v>16423</v>
      </c>
      <c r="G924" s="1"/>
      <c r="H924" s="1"/>
      <c r="I924" s="1" t="s">
        <v>16424</v>
      </c>
      <c r="J924" s="1" t="s">
        <v>16425</v>
      </c>
      <c r="K924" s="1"/>
      <c r="L924" s="1"/>
      <c r="M924" s="1" t="s">
        <v>78</v>
      </c>
      <c r="N924" s="1" t="s">
        <v>186</v>
      </c>
      <c r="O924" s="1"/>
      <c r="P924" s="1"/>
      <c r="Q924" s="1"/>
      <c r="R924" s="1"/>
      <c r="S924" s="1"/>
      <c r="T924" s="1" t="s">
        <v>16426</v>
      </c>
      <c r="U924" s="1" t="s">
        <v>617</v>
      </c>
      <c r="V924" s="1" t="s">
        <v>16427</v>
      </c>
      <c r="W924" s="1" t="s">
        <v>16428</v>
      </c>
      <c r="X924" s="1" t="s">
        <v>16429</v>
      </c>
      <c r="Y924" s="1" t="s">
        <v>16430</v>
      </c>
      <c r="Z924" s="1" t="s">
        <v>16431</v>
      </c>
      <c r="AA924" s="1" t="s">
        <v>16432</v>
      </c>
      <c r="AB924" s="1" t="s">
        <v>16433</v>
      </c>
      <c r="AC924" s="1" t="s">
        <v>16434</v>
      </c>
      <c r="AD924" s="1" t="s">
        <v>16435</v>
      </c>
      <c r="AE924" s="1" t="s">
        <v>16436</v>
      </c>
      <c r="AF924" s="1"/>
      <c r="AG924" s="1" t="n">
        <v>70</v>
      </c>
      <c r="AH924" s="1" t="n">
        <v>0</v>
      </c>
      <c r="AI924" s="1" t="n">
        <v>0</v>
      </c>
      <c r="AJ924" s="1" t="n">
        <v>5</v>
      </c>
      <c r="AK924" s="1" t="n">
        <v>13</v>
      </c>
      <c r="AL924" s="1" t="s">
        <v>600</v>
      </c>
      <c r="AM924" s="1" t="s">
        <v>601</v>
      </c>
      <c r="AN924" s="1" t="s">
        <v>602</v>
      </c>
      <c r="AO924" s="1" t="s">
        <v>16437</v>
      </c>
      <c r="AP924" s="1" t="s">
        <v>16438</v>
      </c>
      <c r="AQ924" s="1"/>
      <c r="AR924" s="1" t="s">
        <v>16439</v>
      </c>
      <c r="AS924" s="1" t="s">
        <v>16440</v>
      </c>
      <c r="AT924" s="1" t="s">
        <v>808</v>
      </c>
      <c r="AU924" s="1" t="n">
        <v>2024</v>
      </c>
      <c r="AV924" s="1" t="n">
        <v>27</v>
      </c>
      <c r="AW924" s="1" t="n">
        <v>4</v>
      </c>
      <c r="AX924" s="1"/>
      <c r="AY924" s="1"/>
      <c r="AZ924" s="1"/>
      <c r="BA924" s="1"/>
      <c r="BB924" s="1" t="n">
        <v>728</v>
      </c>
      <c r="BC924" s="1" t="n">
        <v>744</v>
      </c>
      <c r="BD924" s="1"/>
      <c r="BE924" s="1" t="s">
        <v>16441</v>
      </c>
      <c r="BF924" s="1" t="str">
        <f aca="false">HYPERLINK("http://dx.doi.org/10.1002/sys.21748","http://dx.doi.org/10.1002/sys.21748")</f>
        <v>http://dx.doi.org/10.1002/sys.21748</v>
      </c>
      <c r="BG924" s="1"/>
      <c r="BH924" s="1" t="s">
        <v>3549</v>
      </c>
      <c r="BI924" s="1" t="n">
        <v>17</v>
      </c>
      <c r="BJ924" s="1" t="s">
        <v>16442</v>
      </c>
      <c r="BK924" s="1" t="s">
        <v>204</v>
      </c>
      <c r="BL924" s="1" t="s">
        <v>16443</v>
      </c>
      <c r="BM924" s="1" t="s">
        <v>16444</v>
      </c>
      <c r="BN924" s="1"/>
      <c r="BO924" s="1" t="s">
        <v>1396</v>
      </c>
      <c r="BP924" s="1"/>
      <c r="BQ924" s="1"/>
      <c r="BR924" s="1" t="s">
        <v>103</v>
      </c>
      <c r="BS924" s="1" t="s">
        <v>16445</v>
      </c>
      <c r="BT924" s="1" t="str">
        <f aca="false">HYPERLINK("https%3A%2F%2Fwww.webofscience.com%2Fwos%2Fwoscc%2Ffull-record%2FWOS:001157900500001","View Full Record in Web of Science")</f>
        <v>View Full Record in Web of Science</v>
      </c>
    </row>
    <row r="925" customFormat="false" ht="12.75" hidden="false" customHeight="false" outlineLevel="0" collapsed="false">
      <c r="A925" s="1" t="s">
        <v>181</v>
      </c>
      <c r="B925" s="1" t="s">
        <v>16446</v>
      </c>
      <c r="C925" s="1"/>
      <c r="D925" s="1"/>
      <c r="E925" s="1"/>
      <c r="F925" s="1" t="s">
        <v>16447</v>
      </c>
      <c r="G925" s="1"/>
      <c r="H925" s="1"/>
      <c r="I925" s="1" t="s">
        <v>16448</v>
      </c>
      <c r="J925" s="1" t="s">
        <v>671</v>
      </c>
      <c r="K925" s="1"/>
      <c r="L925" s="1"/>
      <c r="M925" s="1" t="s">
        <v>78</v>
      </c>
      <c r="N925" s="1" t="s">
        <v>186</v>
      </c>
      <c r="O925" s="1"/>
      <c r="P925" s="1"/>
      <c r="Q925" s="1"/>
      <c r="R925" s="1"/>
      <c r="S925" s="1"/>
      <c r="T925" s="1" t="s">
        <v>16449</v>
      </c>
      <c r="U925" s="1" t="s">
        <v>16450</v>
      </c>
      <c r="V925" s="1" t="s">
        <v>16451</v>
      </c>
      <c r="W925" s="1" t="s">
        <v>16452</v>
      </c>
      <c r="X925" s="1" t="s">
        <v>16453</v>
      </c>
      <c r="Y925" s="1" t="s">
        <v>9975</v>
      </c>
      <c r="Z925" s="1" t="s">
        <v>16454</v>
      </c>
      <c r="AA925" s="1" t="s">
        <v>16455</v>
      </c>
      <c r="AB925" s="1" t="s">
        <v>16456</v>
      </c>
      <c r="AC925" s="1" t="s">
        <v>16457</v>
      </c>
      <c r="AD925" s="1" t="s">
        <v>16457</v>
      </c>
      <c r="AE925" s="1" t="s">
        <v>16458</v>
      </c>
      <c r="AF925" s="1"/>
      <c r="AG925" s="1" t="n">
        <v>116</v>
      </c>
      <c r="AH925" s="1" t="n">
        <v>0</v>
      </c>
      <c r="AI925" s="1" t="n">
        <v>0</v>
      </c>
      <c r="AJ925" s="1" t="n">
        <v>5</v>
      </c>
      <c r="AK925" s="1" t="n">
        <v>5</v>
      </c>
      <c r="AL925" s="1" t="s">
        <v>679</v>
      </c>
      <c r="AM925" s="1" t="s">
        <v>680</v>
      </c>
      <c r="AN925" s="1" t="s">
        <v>681</v>
      </c>
      <c r="AO925" s="1" t="s">
        <v>682</v>
      </c>
      <c r="AP925" s="1" t="s">
        <v>683</v>
      </c>
      <c r="AQ925" s="1"/>
      <c r="AR925" s="1" t="s">
        <v>684</v>
      </c>
      <c r="AS925" s="1" t="s">
        <v>685</v>
      </c>
      <c r="AT925" s="1" t="s">
        <v>537</v>
      </c>
      <c r="AU925" s="1" t="n">
        <v>2025</v>
      </c>
      <c r="AV925" s="1" t="n">
        <v>30</v>
      </c>
      <c r="AW925" s="1" t="n">
        <v>1</v>
      </c>
      <c r="AX925" s="1"/>
      <c r="AY925" s="1"/>
      <c r="AZ925" s="1"/>
      <c r="BA925" s="1"/>
      <c r="BB925" s="1"/>
      <c r="BC925" s="1"/>
      <c r="BD925" s="1" t="n">
        <v>29</v>
      </c>
      <c r="BE925" s="1" t="s">
        <v>16459</v>
      </c>
      <c r="BF925" s="1" t="str">
        <f aca="false">HYPERLINK("http://dx.doi.org/10.1007/s10664-024-10582-1","http://dx.doi.org/10.1007/s10664-024-10582-1")</f>
        <v>http://dx.doi.org/10.1007/s10664-024-10582-1</v>
      </c>
      <c r="BG925" s="1"/>
      <c r="BH925" s="1"/>
      <c r="BI925" s="1" t="n">
        <v>50</v>
      </c>
      <c r="BJ925" s="1" t="s">
        <v>252</v>
      </c>
      <c r="BK925" s="1" t="s">
        <v>204</v>
      </c>
      <c r="BL925" s="1" t="s">
        <v>101</v>
      </c>
      <c r="BM925" s="1" t="s">
        <v>16460</v>
      </c>
      <c r="BN925" s="1"/>
      <c r="BO925" s="1" t="s">
        <v>282</v>
      </c>
      <c r="BP925" s="1"/>
      <c r="BQ925" s="1"/>
      <c r="BR925" s="1" t="s">
        <v>103</v>
      </c>
      <c r="BS925" s="1" t="s">
        <v>16461</v>
      </c>
      <c r="BT925" s="1" t="str">
        <f aca="false">HYPERLINK("https%3A%2F%2Fwww.webofscience.com%2Fwos%2Fwoscc%2Ffull-record%2FWOS:001361224300001","View Full Record in Web of Science")</f>
        <v>View Full Record in Web of Science</v>
      </c>
    </row>
    <row r="926" customFormat="false" ht="12.75" hidden="false" customHeight="false" outlineLevel="0" collapsed="false">
      <c r="A926" s="1" t="s">
        <v>181</v>
      </c>
      <c r="B926" s="1" t="s">
        <v>16462</v>
      </c>
      <c r="C926" s="1"/>
      <c r="D926" s="1"/>
      <c r="E926" s="1"/>
      <c r="F926" s="1" t="s">
        <v>16463</v>
      </c>
      <c r="G926" s="1"/>
      <c r="H926" s="1"/>
      <c r="I926" s="1" t="s">
        <v>16464</v>
      </c>
      <c r="J926" s="1" t="s">
        <v>406</v>
      </c>
      <c r="K926" s="1"/>
      <c r="L926" s="1"/>
      <c r="M926" s="1" t="s">
        <v>78</v>
      </c>
      <c r="N926" s="1" t="s">
        <v>186</v>
      </c>
      <c r="O926" s="1"/>
      <c r="P926" s="1"/>
      <c r="Q926" s="1"/>
      <c r="R926" s="1"/>
      <c r="S926" s="1"/>
      <c r="T926" s="1" t="s">
        <v>16465</v>
      </c>
      <c r="U926" s="1" t="s">
        <v>16466</v>
      </c>
      <c r="V926" s="1" t="s">
        <v>16467</v>
      </c>
      <c r="W926" s="1" t="s">
        <v>16468</v>
      </c>
      <c r="X926" s="1" t="s">
        <v>16469</v>
      </c>
      <c r="Y926" s="1" t="s">
        <v>16470</v>
      </c>
      <c r="Z926" s="1" t="s">
        <v>16471</v>
      </c>
      <c r="AA926" s="1" t="s">
        <v>16472</v>
      </c>
      <c r="AB926" s="1" t="s">
        <v>16473</v>
      </c>
      <c r="AC926" s="1" t="s">
        <v>16474</v>
      </c>
      <c r="AD926" s="1" t="s">
        <v>16474</v>
      </c>
      <c r="AE926" s="1" t="s">
        <v>16475</v>
      </c>
      <c r="AF926" s="1"/>
      <c r="AG926" s="1" t="n">
        <v>145</v>
      </c>
      <c r="AH926" s="1" t="n">
        <v>50</v>
      </c>
      <c r="AI926" s="1" t="n">
        <v>56</v>
      </c>
      <c r="AJ926" s="1" t="n">
        <v>5</v>
      </c>
      <c r="AK926" s="1" t="n">
        <v>67</v>
      </c>
      <c r="AL926" s="1" t="s">
        <v>367</v>
      </c>
      <c r="AM926" s="1" t="s">
        <v>368</v>
      </c>
      <c r="AN926" s="1" t="s">
        <v>369</v>
      </c>
      <c r="AO926" s="1"/>
      <c r="AP926" s="1" t="s">
        <v>418</v>
      </c>
      <c r="AQ926" s="1"/>
      <c r="AR926" s="1" t="s">
        <v>419</v>
      </c>
      <c r="AS926" s="1" t="s">
        <v>420</v>
      </c>
      <c r="AT926" s="1" t="s">
        <v>537</v>
      </c>
      <c r="AU926" s="1" t="n">
        <v>2022</v>
      </c>
      <c r="AV926" s="1" t="n">
        <v>19</v>
      </c>
      <c r="AW926" s="1" t="n">
        <v>4</v>
      </c>
      <c r="AX926" s="1"/>
      <c r="AY926" s="1"/>
      <c r="AZ926" s="1"/>
      <c r="BA926" s="1"/>
      <c r="BB926" s="1"/>
      <c r="BC926" s="1"/>
      <c r="BD926" s="1" t="n">
        <v>2061</v>
      </c>
      <c r="BE926" s="1" t="s">
        <v>16476</v>
      </c>
      <c r="BF926" s="1" t="str">
        <f aca="false">HYPERLINK("http://dx.doi.org/10.3390/ijerph19042061","http://dx.doi.org/10.3390/ijerph19042061")</f>
        <v>http://dx.doi.org/10.3390/ijerph19042061</v>
      </c>
      <c r="BG926" s="1"/>
      <c r="BH926" s="1"/>
      <c r="BI926" s="1" t="n">
        <v>20</v>
      </c>
      <c r="BJ926" s="1" t="s">
        <v>423</v>
      </c>
      <c r="BK926" s="1" t="s">
        <v>398</v>
      </c>
      <c r="BL926" s="1" t="s">
        <v>424</v>
      </c>
      <c r="BM926" s="1" t="s">
        <v>16477</v>
      </c>
      <c r="BN926" s="1" t="n">
        <v>35206250</v>
      </c>
      <c r="BO926" s="1" t="s">
        <v>401</v>
      </c>
      <c r="BP926" s="1"/>
      <c r="BQ926" s="1"/>
      <c r="BR926" s="1" t="s">
        <v>103</v>
      </c>
      <c r="BS926" s="1" t="s">
        <v>16478</v>
      </c>
      <c r="BT926" s="1" t="str">
        <f aca="false">HYPERLINK("https%3A%2F%2Fwww.webofscience.com%2Fwos%2Fwoscc%2Ffull-record%2FWOS:000769121800001","View Full Record in Web of Science")</f>
        <v>View Full Record in Web of Science</v>
      </c>
    </row>
    <row r="927" customFormat="false" ht="12.75" hidden="false" customHeight="false" outlineLevel="0" collapsed="false">
      <c r="A927" s="1" t="s">
        <v>899</v>
      </c>
      <c r="B927" s="1" t="s">
        <v>16479</v>
      </c>
      <c r="C927" s="1"/>
      <c r="D927" s="1" t="s">
        <v>16480</v>
      </c>
      <c r="E927" s="1"/>
      <c r="F927" s="1" t="s">
        <v>16481</v>
      </c>
      <c r="G927" s="1"/>
      <c r="H927" s="1"/>
      <c r="I927" s="1" t="s">
        <v>16482</v>
      </c>
      <c r="J927" s="1" t="s">
        <v>16483</v>
      </c>
      <c r="K927" s="1" t="s">
        <v>16484</v>
      </c>
      <c r="L927" s="1"/>
      <c r="M927" s="1" t="s">
        <v>78</v>
      </c>
      <c r="N927" s="1" t="s">
        <v>9141</v>
      </c>
      <c r="O927" s="1"/>
      <c r="P927" s="1"/>
      <c r="Q927" s="1"/>
      <c r="R927" s="1"/>
      <c r="S927" s="1"/>
      <c r="T927" s="1"/>
      <c r="U927" s="1" t="s">
        <v>16485</v>
      </c>
      <c r="V927" s="1"/>
      <c r="W927" s="1" t="s">
        <v>16486</v>
      </c>
      <c r="X927" s="1" t="s">
        <v>16487</v>
      </c>
      <c r="Y927" s="1" t="s">
        <v>16488</v>
      </c>
      <c r="Z927" s="1"/>
      <c r="AA927" s="1" t="s">
        <v>16489</v>
      </c>
      <c r="AB927" s="1" t="s">
        <v>16490</v>
      </c>
      <c r="AC927" s="1"/>
      <c r="AD927" s="1"/>
      <c r="AE927" s="1"/>
      <c r="AF927" s="1"/>
      <c r="AG927" s="1" t="n">
        <v>65</v>
      </c>
      <c r="AH927" s="1" t="n">
        <v>3</v>
      </c>
      <c r="AI927" s="1" t="n">
        <v>3</v>
      </c>
      <c r="AJ927" s="1" t="n">
        <v>1</v>
      </c>
      <c r="AK927" s="1" t="n">
        <v>2</v>
      </c>
      <c r="AL927" s="1" t="s">
        <v>9145</v>
      </c>
      <c r="AM927" s="1" t="s">
        <v>1221</v>
      </c>
      <c r="AN927" s="1" t="s">
        <v>9146</v>
      </c>
      <c r="AO927" s="1"/>
      <c r="AP927" s="1"/>
      <c r="AQ927" s="1" t="s">
        <v>16491</v>
      </c>
      <c r="AR927" s="1" t="s">
        <v>16492</v>
      </c>
      <c r="AS927" s="1"/>
      <c r="AT927" s="1"/>
      <c r="AU927" s="1" t="n">
        <v>2021</v>
      </c>
      <c r="AV927" s="1"/>
      <c r="AW927" s="1"/>
      <c r="AX927" s="1"/>
      <c r="AY927" s="1"/>
      <c r="AZ927" s="1"/>
      <c r="BA927" s="1"/>
      <c r="BB927" s="1" t="n">
        <v>248</v>
      </c>
      <c r="BC927" s="1" t="n">
        <v>270</v>
      </c>
      <c r="BD927" s="1"/>
      <c r="BE927" s="1"/>
      <c r="BF927" s="1"/>
      <c r="BG927" s="1"/>
      <c r="BH927" s="1"/>
      <c r="BI927" s="1" t="n">
        <v>23</v>
      </c>
      <c r="BJ927" s="1" t="s">
        <v>16493</v>
      </c>
      <c r="BK927" s="1" t="s">
        <v>9152</v>
      </c>
      <c r="BL927" s="1" t="s">
        <v>9153</v>
      </c>
      <c r="BM927" s="1" t="s">
        <v>16494</v>
      </c>
      <c r="BN927" s="1"/>
      <c r="BO927" s="1"/>
      <c r="BP927" s="1"/>
      <c r="BQ927" s="1"/>
      <c r="BR927" s="1" t="s">
        <v>103</v>
      </c>
      <c r="BS927" s="1" t="s">
        <v>16495</v>
      </c>
      <c r="BT927" s="1" t="str">
        <f aca="false">HYPERLINK("https%3A%2F%2Fwww.webofscience.com%2Fwos%2Fwoscc%2Ffull-record%2FWOS:000776617500013","View Full Record in Web of Science")</f>
        <v>View Full Record in Web of Science</v>
      </c>
    </row>
    <row r="928" customFormat="false" ht="12.75" hidden="false" customHeight="false" outlineLevel="0" collapsed="false">
      <c r="A928" s="1" t="s">
        <v>181</v>
      </c>
      <c r="B928" s="1" t="s">
        <v>16496</v>
      </c>
      <c r="C928" s="1"/>
      <c r="D928" s="1"/>
      <c r="E928" s="1"/>
      <c r="F928" s="1" t="s">
        <v>16497</v>
      </c>
      <c r="G928" s="1"/>
      <c r="H928" s="1"/>
      <c r="I928" s="1" t="s">
        <v>16498</v>
      </c>
      <c r="J928" s="1" t="s">
        <v>16499</v>
      </c>
      <c r="K928" s="1"/>
      <c r="L928" s="1"/>
      <c r="M928" s="1" t="s">
        <v>78</v>
      </c>
      <c r="N928" s="1" t="s">
        <v>186</v>
      </c>
      <c r="O928" s="1"/>
      <c r="P928" s="1"/>
      <c r="Q928" s="1"/>
      <c r="R928" s="1"/>
      <c r="S928" s="1"/>
      <c r="T928" s="1" t="s">
        <v>16500</v>
      </c>
      <c r="U928" s="1" t="s">
        <v>16501</v>
      </c>
      <c r="V928" s="1" t="s">
        <v>16502</v>
      </c>
      <c r="W928" s="1" t="s">
        <v>16503</v>
      </c>
      <c r="X928" s="1" t="s">
        <v>16504</v>
      </c>
      <c r="Y928" s="1" t="s">
        <v>16505</v>
      </c>
      <c r="Z928" s="1" t="s">
        <v>16506</v>
      </c>
      <c r="AA928" s="1" t="s">
        <v>16507</v>
      </c>
      <c r="AB928" s="1"/>
      <c r="AC928" s="1"/>
      <c r="AD928" s="1"/>
      <c r="AE928" s="1"/>
      <c r="AF928" s="1"/>
      <c r="AG928" s="1" t="n">
        <v>95</v>
      </c>
      <c r="AH928" s="1" t="n">
        <v>1</v>
      </c>
      <c r="AI928" s="1" t="n">
        <v>1</v>
      </c>
      <c r="AJ928" s="1" t="n">
        <v>3</v>
      </c>
      <c r="AK928" s="1" t="n">
        <v>19</v>
      </c>
      <c r="AL928" s="1" t="s">
        <v>3316</v>
      </c>
      <c r="AM928" s="1" t="s">
        <v>3317</v>
      </c>
      <c r="AN928" s="1" t="s">
        <v>3318</v>
      </c>
      <c r="AO928" s="1" t="s">
        <v>16508</v>
      </c>
      <c r="AP928" s="1" t="s">
        <v>16509</v>
      </c>
      <c r="AQ928" s="1"/>
      <c r="AR928" s="1" t="s">
        <v>16510</v>
      </c>
      <c r="AS928" s="1" t="s">
        <v>16511</v>
      </c>
      <c r="AT928" s="1" t="s">
        <v>16512</v>
      </c>
      <c r="AU928" s="1" t="n">
        <v>2024</v>
      </c>
      <c r="AV928" s="1" t="n">
        <v>14</v>
      </c>
      <c r="AW928" s="1" t="n">
        <v>3</v>
      </c>
      <c r="AX928" s="1"/>
      <c r="AY928" s="1"/>
      <c r="AZ928" s="1"/>
      <c r="BA928" s="1"/>
      <c r="BB928" s="1" t="n">
        <v>1021</v>
      </c>
      <c r="BC928" s="1" t="n">
        <v>1061</v>
      </c>
      <c r="BD928" s="1"/>
      <c r="BE928" s="1" t="s">
        <v>16513</v>
      </c>
      <c r="BF928" s="1" t="str">
        <f aca="false">HYPERLINK("http://dx.doi.org/10.1515/erj-2022-0133","http://dx.doi.org/10.1515/erj-2022-0133")</f>
        <v>http://dx.doi.org/10.1515/erj-2022-0133</v>
      </c>
      <c r="BG928" s="1"/>
      <c r="BH928" s="1" t="s">
        <v>3236</v>
      </c>
      <c r="BI928" s="1" t="n">
        <v>41</v>
      </c>
      <c r="BJ928" s="1" t="s">
        <v>2298</v>
      </c>
      <c r="BK928" s="1" t="s">
        <v>610</v>
      </c>
      <c r="BL928" s="1" t="s">
        <v>715</v>
      </c>
      <c r="BM928" s="1" t="s">
        <v>16514</v>
      </c>
      <c r="BN928" s="1"/>
      <c r="BO928" s="1" t="s">
        <v>612</v>
      </c>
      <c r="BP928" s="1"/>
      <c r="BQ928" s="1"/>
      <c r="BR928" s="1" t="s">
        <v>103</v>
      </c>
      <c r="BS928" s="1" t="s">
        <v>16515</v>
      </c>
      <c r="BT928" s="1" t="str">
        <f aca="false">HYPERLINK("https%3A%2F%2Fwww.webofscience.com%2Fwos%2Fwoscc%2Ffull-record%2FWOS:000903879600001","View Full Record in Web of Science")</f>
        <v>View Full Record in Web of Science</v>
      </c>
    </row>
    <row r="929" customFormat="false" ht="12.75" hidden="false" customHeight="false" outlineLevel="0" collapsed="false">
      <c r="A929" s="1" t="s">
        <v>181</v>
      </c>
      <c r="B929" s="1" t="s">
        <v>13365</v>
      </c>
      <c r="C929" s="1"/>
      <c r="D929" s="1"/>
      <c r="E929" s="1"/>
      <c r="F929" s="1" t="s">
        <v>13367</v>
      </c>
      <c r="G929" s="1"/>
      <c r="H929" s="1"/>
      <c r="I929" s="1" t="s">
        <v>16516</v>
      </c>
      <c r="J929" s="1" t="s">
        <v>523</v>
      </c>
      <c r="K929" s="1"/>
      <c r="L929" s="1"/>
      <c r="M929" s="1" t="s">
        <v>78</v>
      </c>
      <c r="N929" s="1" t="s">
        <v>186</v>
      </c>
      <c r="O929" s="1"/>
      <c r="P929" s="1"/>
      <c r="Q929" s="1"/>
      <c r="R929" s="1"/>
      <c r="S929" s="1"/>
      <c r="T929" s="1" t="s">
        <v>16517</v>
      </c>
      <c r="U929" s="1" t="s">
        <v>16518</v>
      </c>
      <c r="V929" s="1" t="s">
        <v>16519</v>
      </c>
      <c r="W929" s="1" t="s">
        <v>16520</v>
      </c>
      <c r="X929" s="1" t="s">
        <v>13378</v>
      </c>
      <c r="Y929" s="1" t="s">
        <v>16521</v>
      </c>
      <c r="Z929" s="1" t="s">
        <v>16522</v>
      </c>
      <c r="AA929" s="1" t="s">
        <v>13381</v>
      </c>
      <c r="AB929" s="1" t="s">
        <v>13382</v>
      </c>
      <c r="AC929" s="1" t="s">
        <v>16523</v>
      </c>
      <c r="AD929" s="1" t="s">
        <v>16524</v>
      </c>
      <c r="AE929" s="1" t="s">
        <v>16525</v>
      </c>
      <c r="AF929" s="1"/>
      <c r="AG929" s="1" t="n">
        <v>37</v>
      </c>
      <c r="AH929" s="1" t="n">
        <v>0</v>
      </c>
      <c r="AI929" s="1" t="n">
        <v>0</v>
      </c>
      <c r="AJ929" s="1" t="n">
        <v>1</v>
      </c>
      <c r="AK929" s="1" t="n">
        <v>6</v>
      </c>
      <c r="AL929" s="1" t="s">
        <v>367</v>
      </c>
      <c r="AM929" s="1" t="s">
        <v>368</v>
      </c>
      <c r="AN929" s="1" t="s">
        <v>369</v>
      </c>
      <c r="AO929" s="1"/>
      <c r="AP929" s="1" t="s">
        <v>534</v>
      </c>
      <c r="AQ929" s="1"/>
      <c r="AR929" s="1" t="s">
        <v>535</v>
      </c>
      <c r="AS929" s="1" t="s">
        <v>536</v>
      </c>
      <c r="AT929" s="1" t="s">
        <v>1362</v>
      </c>
      <c r="AU929" s="1" t="n">
        <v>2022</v>
      </c>
      <c r="AV929" s="1" t="n">
        <v>12</v>
      </c>
      <c r="AW929" s="1" t="n">
        <v>19</v>
      </c>
      <c r="AX929" s="1"/>
      <c r="AY929" s="1"/>
      <c r="AZ929" s="1"/>
      <c r="BA929" s="1"/>
      <c r="BB929" s="1"/>
      <c r="BC929" s="1"/>
      <c r="BD929" s="1" t="n">
        <v>9604</v>
      </c>
      <c r="BE929" s="1" t="s">
        <v>16526</v>
      </c>
      <c r="BF929" s="1" t="str">
        <f aca="false">HYPERLINK("http://dx.doi.org/10.3390/app12199604","http://dx.doi.org/10.3390/app12199604")</f>
        <v>http://dx.doi.org/10.3390/app12199604</v>
      </c>
      <c r="BG929" s="1"/>
      <c r="BH929" s="1"/>
      <c r="BI929" s="1" t="n">
        <v>16</v>
      </c>
      <c r="BJ929" s="1" t="s">
        <v>539</v>
      </c>
      <c r="BK929" s="1" t="s">
        <v>204</v>
      </c>
      <c r="BL929" s="1" t="s">
        <v>540</v>
      </c>
      <c r="BM929" s="1" t="s">
        <v>16527</v>
      </c>
      <c r="BN929" s="1"/>
      <c r="BO929" s="1" t="s">
        <v>6278</v>
      </c>
      <c r="BP929" s="1"/>
      <c r="BQ929" s="1"/>
      <c r="BR929" s="1" t="s">
        <v>103</v>
      </c>
      <c r="BS929" s="1" t="s">
        <v>16528</v>
      </c>
      <c r="BT929" s="1" t="str">
        <f aca="false">HYPERLINK("https%3A%2F%2Fwww.webofscience.com%2Fwos%2Fwoscc%2Ffull-record%2FWOS:000866602200001","View Full Record in Web of Science")</f>
        <v>View Full Record in Web of Science</v>
      </c>
    </row>
    <row r="930" customFormat="false" ht="12.75" hidden="false" customHeight="false" outlineLevel="0" collapsed="false">
      <c r="A930" s="1" t="s">
        <v>181</v>
      </c>
      <c r="B930" s="1" t="s">
        <v>16529</v>
      </c>
      <c r="C930" s="1"/>
      <c r="D930" s="1"/>
      <c r="E930" s="1"/>
      <c r="F930" s="1" t="s">
        <v>16530</v>
      </c>
      <c r="G930" s="1"/>
      <c r="H930" s="1"/>
      <c r="I930" s="1" t="s">
        <v>16531</v>
      </c>
      <c r="J930" s="1" t="s">
        <v>1378</v>
      </c>
      <c r="K930" s="1"/>
      <c r="L930" s="1"/>
      <c r="M930" s="1" t="s">
        <v>78</v>
      </c>
      <c r="N930" s="1" t="s">
        <v>186</v>
      </c>
      <c r="O930" s="1"/>
      <c r="P930" s="1"/>
      <c r="Q930" s="1"/>
      <c r="R930" s="1"/>
      <c r="S930" s="1"/>
      <c r="T930" s="1" t="s">
        <v>16532</v>
      </c>
      <c r="U930" s="1" t="s">
        <v>16533</v>
      </c>
      <c r="V930" s="1" t="s">
        <v>16534</v>
      </c>
      <c r="W930" s="1" t="s">
        <v>16535</v>
      </c>
      <c r="X930" s="1" t="s">
        <v>16536</v>
      </c>
      <c r="Y930" s="1" t="s">
        <v>16537</v>
      </c>
      <c r="Z930" s="1" t="s">
        <v>1887</v>
      </c>
      <c r="AA930" s="1" t="s">
        <v>16538</v>
      </c>
      <c r="AB930" s="1" t="s">
        <v>16539</v>
      </c>
      <c r="AC930" s="1" t="s">
        <v>9251</v>
      </c>
      <c r="AD930" s="1" t="s">
        <v>9251</v>
      </c>
      <c r="AE930" s="1" t="s">
        <v>16540</v>
      </c>
      <c r="AF930" s="1"/>
      <c r="AG930" s="1" t="n">
        <v>35</v>
      </c>
      <c r="AH930" s="1" t="n">
        <v>3</v>
      </c>
      <c r="AI930" s="1" t="n">
        <v>3</v>
      </c>
      <c r="AJ930" s="1" t="n">
        <v>2</v>
      </c>
      <c r="AK930" s="1" t="n">
        <v>8</v>
      </c>
      <c r="AL930" s="1" t="s">
        <v>893</v>
      </c>
      <c r="AM930" s="1" t="s">
        <v>894</v>
      </c>
      <c r="AN930" s="1" t="s">
        <v>895</v>
      </c>
      <c r="AO930" s="1" t="s">
        <v>1387</v>
      </c>
      <c r="AP930" s="1" t="s">
        <v>1388</v>
      </c>
      <c r="AQ930" s="1"/>
      <c r="AR930" s="1" t="s">
        <v>1389</v>
      </c>
      <c r="AS930" s="1" t="s">
        <v>1390</v>
      </c>
      <c r="AT930" s="1" t="s">
        <v>808</v>
      </c>
      <c r="AU930" s="1" t="n">
        <v>2023</v>
      </c>
      <c r="AV930" s="1" t="n">
        <v>159</v>
      </c>
      <c r="AW930" s="1"/>
      <c r="AX930" s="1"/>
      <c r="AY930" s="1"/>
      <c r="AZ930" s="1"/>
      <c r="BA930" s="1"/>
      <c r="BB930" s="1"/>
      <c r="BC930" s="1"/>
      <c r="BD930" s="1" t="n">
        <v>107201</v>
      </c>
      <c r="BE930" s="1" t="s">
        <v>16541</v>
      </c>
      <c r="BF930" s="1" t="str">
        <f aca="false">HYPERLINK("http://dx.doi.org/10.1016/j.infsof.2023.107201","http://dx.doi.org/10.1016/j.infsof.2023.107201")</f>
        <v>http://dx.doi.org/10.1016/j.infsof.2023.107201</v>
      </c>
      <c r="BG930" s="1"/>
      <c r="BH930" s="1" t="s">
        <v>713</v>
      </c>
      <c r="BI930" s="1" t="n">
        <v>15</v>
      </c>
      <c r="BJ930" s="1" t="s">
        <v>1394</v>
      </c>
      <c r="BK930" s="1" t="s">
        <v>204</v>
      </c>
      <c r="BL930" s="1" t="s">
        <v>101</v>
      </c>
      <c r="BM930" s="1" t="s">
        <v>16542</v>
      </c>
      <c r="BN930" s="1"/>
      <c r="BO930" s="1" t="s">
        <v>876</v>
      </c>
      <c r="BP930" s="1"/>
      <c r="BQ930" s="1"/>
      <c r="BR930" s="1" t="s">
        <v>103</v>
      </c>
      <c r="BS930" s="1" t="s">
        <v>16543</v>
      </c>
      <c r="BT930" s="1" t="str">
        <f aca="false">HYPERLINK("https%3A%2F%2Fwww.webofscience.com%2Fwos%2Fwoscc%2Ffull-record%2FWOS:000982204000001","View Full Record in Web of Science")</f>
        <v>View Full Record in Web of Science</v>
      </c>
    </row>
    <row r="931" customFormat="false" ht="12.75" hidden="false" customHeight="false" outlineLevel="0" collapsed="false">
      <c r="A931" s="1" t="s">
        <v>72</v>
      </c>
      <c r="B931" s="1" t="s">
        <v>13365</v>
      </c>
      <c r="C931" s="1"/>
      <c r="D931" s="1" t="s">
        <v>4159</v>
      </c>
      <c r="E931" s="1"/>
      <c r="F931" s="1" t="s">
        <v>13367</v>
      </c>
      <c r="G931" s="1"/>
      <c r="H931" s="1"/>
      <c r="I931" s="1" t="s">
        <v>16544</v>
      </c>
      <c r="J931" s="1" t="s">
        <v>16545</v>
      </c>
      <c r="K931" s="1"/>
      <c r="L931" s="1"/>
      <c r="M931" s="1" t="s">
        <v>78</v>
      </c>
      <c r="N931" s="1" t="s">
        <v>79</v>
      </c>
      <c r="O931" s="1" t="s">
        <v>4163</v>
      </c>
      <c r="P931" s="1" t="s">
        <v>4164</v>
      </c>
      <c r="Q931" s="1" t="s">
        <v>320</v>
      </c>
      <c r="R931" s="1" t="s">
        <v>4165</v>
      </c>
      <c r="S931" s="1"/>
      <c r="T931" s="1" t="s">
        <v>16546</v>
      </c>
      <c r="U931" s="1" t="s">
        <v>16547</v>
      </c>
      <c r="V931" s="1" t="s">
        <v>16548</v>
      </c>
      <c r="W931" s="1" t="s">
        <v>16549</v>
      </c>
      <c r="X931" s="1" t="s">
        <v>13378</v>
      </c>
      <c r="Y931" s="1" t="s">
        <v>16550</v>
      </c>
      <c r="Z931" s="1"/>
      <c r="AA931" s="1" t="s">
        <v>13381</v>
      </c>
      <c r="AB931" s="1"/>
      <c r="AC931" s="1" t="s">
        <v>13383</v>
      </c>
      <c r="AD931" s="1" t="s">
        <v>13384</v>
      </c>
      <c r="AE931" s="1" t="s">
        <v>16551</v>
      </c>
      <c r="AF931" s="1"/>
      <c r="AG931" s="1" t="n">
        <v>18</v>
      </c>
      <c r="AH931" s="1" t="n">
        <v>2</v>
      </c>
      <c r="AI931" s="1" t="n">
        <v>2</v>
      </c>
      <c r="AJ931" s="1" t="n">
        <v>0</v>
      </c>
      <c r="AK931" s="1" t="n">
        <v>5</v>
      </c>
      <c r="AL931" s="1" t="s">
        <v>1721</v>
      </c>
      <c r="AM931" s="1" t="s">
        <v>1722</v>
      </c>
      <c r="AN931" s="1" t="s">
        <v>1723</v>
      </c>
      <c r="AO931" s="1"/>
      <c r="AP931" s="1"/>
      <c r="AQ931" s="1" t="s">
        <v>4171</v>
      </c>
      <c r="AR931" s="1"/>
      <c r="AS931" s="1"/>
      <c r="AT931" s="1"/>
      <c r="AU931" s="1" t="n">
        <v>2021</v>
      </c>
      <c r="AV931" s="1"/>
      <c r="AW931" s="1"/>
      <c r="AX931" s="1"/>
      <c r="AY931" s="1"/>
      <c r="AZ931" s="1"/>
      <c r="BA931" s="1"/>
      <c r="BB931" s="1" t="n">
        <v>735</v>
      </c>
      <c r="BC931" s="1" t="n">
        <v>742</v>
      </c>
      <c r="BD931" s="1"/>
      <c r="BE931" s="1" t="s">
        <v>16552</v>
      </c>
      <c r="BF931" s="1" t="str">
        <f aca="false">HYPERLINK("http://dx.doi.org/10.5220/0010473007350742","http://dx.doi.org/10.5220/0010473007350742")</f>
        <v>http://dx.doi.org/10.5220/0010473007350742</v>
      </c>
      <c r="BG931" s="1"/>
      <c r="BH931" s="1"/>
      <c r="BI931" s="1" t="n">
        <v>8</v>
      </c>
      <c r="BJ931" s="1" t="s">
        <v>3641</v>
      </c>
      <c r="BK931" s="1" t="s">
        <v>100</v>
      </c>
      <c r="BL931" s="1" t="s">
        <v>101</v>
      </c>
      <c r="BM931" s="1" t="s">
        <v>16553</v>
      </c>
      <c r="BN931" s="1"/>
      <c r="BO931" s="1" t="s">
        <v>1373</v>
      </c>
      <c r="BP931" s="1"/>
      <c r="BQ931" s="1"/>
      <c r="BR931" s="1" t="s">
        <v>103</v>
      </c>
      <c r="BS931" s="1" t="s">
        <v>16554</v>
      </c>
      <c r="BT931" s="1" t="str">
        <f aca="false">HYPERLINK("https%3A%2F%2Fwww.webofscience.com%2Fwos%2Fwoscc%2Ffull-record%2FWOS:000783951300076","View Full Record in Web of Science")</f>
        <v>View Full Record in Web of Science</v>
      </c>
    </row>
    <row r="932" customFormat="false" ht="12.75" hidden="false" customHeight="false" outlineLevel="0" collapsed="false">
      <c r="A932" s="1" t="s">
        <v>72</v>
      </c>
      <c r="B932" s="1" t="s">
        <v>16555</v>
      </c>
      <c r="C932" s="1"/>
      <c r="D932" s="1" t="s">
        <v>16556</v>
      </c>
      <c r="E932" s="1"/>
      <c r="F932" s="1" t="s">
        <v>16557</v>
      </c>
      <c r="G932" s="1"/>
      <c r="H932" s="1"/>
      <c r="I932" s="1" t="s">
        <v>16558</v>
      </c>
      <c r="J932" s="1" t="s">
        <v>16559</v>
      </c>
      <c r="K932" s="1"/>
      <c r="L932" s="1"/>
      <c r="M932" s="1" t="s">
        <v>78</v>
      </c>
      <c r="N932" s="1" t="s">
        <v>79</v>
      </c>
      <c r="O932" s="1" t="s">
        <v>16560</v>
      </c>
      <c r="P932" s="1" t="s">
        <v>16561</v>
      </c>
      <c r="Q932" s="1" t="s">
        <v>320</v>
      </c>
      <c r="R932" s="1" t="s">
        <v>16562</v>
      </c>
      <c r="S932" s="1"/>
      <c r="T932" s="1" t="s">
        <v>16563</v>
      </c>
      <c r="U932" s="1" t="s">
        <v>16564</v>
      </c>
      <c r="V932" s="1" t="s">
        <v>16565</v>
      </c>
      <c r="W932" s="1" t="s">
        <v>16566</v>
      </c>
      <c r="X932" s="1" t="s">
        <v>16567</v>
      </c>
      <c r="Y932" s="1" t="s">
        <v>3205</v>
      </c>
      <c r="Z932" s="1" t="s">
        <v>16568</v>
      </c>
      <c r="AA932" s="1" t="s">
        <v>16569</v>
      </c>
      <c r="AB932" s="1" t="s">
        <v>1204</v>
      </c>
      <c r="AC932" s="1" t="s">
        <v>16570</v>
      </c>
      <c r="AD932" s="1" t="s">
        <v>16570</v>
      </c>
      <c r="AE932" s="1" t="s">
        <v>16571</v>
      </c>
      <c r="AF932" s="1"/>
      <c r="AG932" s="1" t="n">
        <v>35</v>
      </c>
      <c r="AH932" s="1" t="n">
        <v>4</v>
      </c>
      <c r="AI932" s="1" t="n">
        <v>4</v>
      </c>
      <c r="AJ932" s="1" t="n">
        <v>0</v>
      </c>
      <c r="AK932" s="1" t="n">
        <v>4</v>
      </c>
      <c r="AL932" s="1" t="s">
        <v>106</v>
      </c>
      <c r="AM932" s="1" t="s">
        <v>95</v>
      </c>
      <c r="AN932" s="1" t="s">
        <v>122</v>
      </c>
      <c r="AO932" s="1"/>
      <c r="AP932" s="1"/>
      <c r="AQ932" s="1" t="s">
        <v>16572</v>
      </c>
      <c r="AR932" s="1"/>
      <c r="AS932" s="1"/>
      <c r="AT932" s="1"/>
      <c r="AU932" s="1" t="n">
        <v>2021</v>
      </c>
      <c r="AV932" s="1"/>
      <c r="AW932" s="1"/>
      <c r="AX932" s="1"/>
      <c r="AY932" s="1"/>
      <c r="AZ932" s="1"/>
      <c r="BA932" s="1"/>
      <c r="BB932" s="1" t="n">
        <v>154</v>
      </c>
      <c r="BC932" s="1" t="n">
        <v>161</v>
      </c>
      <c r="BD932" s="1"/>
      <c r="BE932" s="1" t="s">
        <v>16573</v>
      </c>
      <c r="BF932" s="1" t="str">
        <f aca="false">HYPERLINK("http://dx.doi.org/10.1109/IDSTA53674.2021.9660795","http://dx.doi.org/10.1109/IDSTA53674.2021.9660795")</f>
        <v>http://dx.doi.org/10.1109/IDSTA53674.2021.9660795</v>
      </c>
      <c r="BG932" s="1"/>
      <c r="BH932" s="1"/>
      <c r="BI932" s="1" t="n">
        <v>8</v>
      </c>
      <c r="BJ932" s="1" t="s">
        <v>4212</v>
      </c>
      <c r="BK932" s="1" t="s">
        <v>100</v>
      </c>
      <c r="BL932" s="1" t="s">
        <v>101</v>
      </c>
      <c r="BM932" s="1" t="s">
        <v>16574</v>
      </c>
      <c r="BN932" s="1"/>
      <c r="BO932" s="1"/>
      <c r="BP932" s="1"/>
      <c r="BQ932" s="1"/>
      <c r="BR932" s="1" t="s">
        <v>103</v>
      </c>
      <c r="BS932" s="1" t="s">
        <v>16575</v>
      </c>
      <c r="BT932" s="1" t="str">
        <f aca="false">HYPERLINK("https%3A%2F%2Fwww.webofscience.com%2Fwos%2Fwoscc%2Ffull-record%2FWOS:000852877600023","View Full Record in Web of Science")</f>
        <v>View Full Record in Web of Science</v>
      </c>
    </row>
    <row r="933" customFormat="false" ht="12.75" hidden="false" customHeight="false" outlineLevel="0" collapsed="false">
      <c r="A933" s="1" t="s">
        <v>181</v>
      </c>
      <c r="B933" s="1" t="s">
        <v>16576</v>
      </c>
      <c r="C933" s="1"/>
      <c r="D933" s="1"/>
      <c r="E933" s="1"/>
      <c r="F933" s="1" t="s">
        <v>16577</v>
      </c>
      <c r="G933" s="1"/>
      <c r="H933" s="1"/>
      <c r="I933" s="1" t="s">
        <v>16578</v>
      </c>
      <c r="J933" s="1" t="s">
        <v>16579</v>
      </c>
      <c r="K933" s="1"/>
      <c r="L933" s="1"/>
      <c r="M933" s="1" t="s">
        <v>78</v>
      </c>
      <c r="N933" s="1" t="s">
        <v>186</v>
      </c>
      <c r="O933" s="1"/>
      <c r="P933" s="1"/>
      <c r="Q933" s="1"/>
      <c r="R933" s="1"/>
      <c r="S933" s="1"/>
      <c r="T933" s="1" t="s">
        <v>16580</v>
      </c>
      <c r="U933" s="1" t="s">
        <v>16581</v>
      </c>
      <c r="V933" s="1" t="s">
        <v>16582</v>
      </c>
      <c r="W933" s="1" t="s">
        <v>16583</v>
      </c>
      <c r="X933" s="1" t="s">
        <v>16584</v>
      </c>
      <c r="Y933" s="1" t="s">
        <v>16585</v>
      </c>
      <c r="Z933" s="1" t="s">
        <v>16586</v>
      </c>
      <c r="AA933" s="1" t="s">
        <v>16587</v>
      </c>
      <c r="AB933" s="1" t="s">
        <v>16588</v>
      </c>
      <c r="AC933" s="1"/>
      <c r="AD933" s="1"/>
      <c r="AE933" s="1"/>
      <c r="AF933" s="1"/>
      <c r="AG933" s="1" t="n">
        <v>61</v>
      </c>
      <c r="AH933" s="1" t="n">
        <v>10</v>
      </c>
      <c r="AI933" s="1" t="n">
        <v>10</v>
      </c>
      <c r="AJ933" s="1" t="n">
        <v>1</v>
      </c>
      <c r="AK933" s="1" t="n">
        <v>5</v>
      </c>
      <c r="AL933" s="1" t="s">
        <v>16589</v>
      </c>
      <c r="AM933" s="1" t="s">
        <v>631</v>
      </c>
      <c r="AN933" s="1" t="s">
        <v>16590</v>
      </c>
      <c r="AO933" s="1"/>
      <c r="AP933" s="1" t="s">
        <v>16591</v>
      </c>
      <c r="AQ933" s="1"/>
      <c r="AR933" s="1" t="s">
        <v>16579</v>
      </c>
      <c r="AS933" s="1" t="s">
        <v>16592</v>
      </c>
      <c r="AT933" s="1" t="s">
        <v>421</v>
      </c>
      <c r="AU933" s="1" t="n">
        <v>2023</v>
      </c>
      <c r="AV933" s="1" t="n">
        <v>9</v>
      </c>
      <c r="AW933" s="1" t="n">
        <v>4</v>
      </c>
      <c r="AX933" s="1"/>
      <c r="AY933" s="1"/>
      <c r="AZ933" s="1"/>
      <c r="BA933" s="1"/>
      <c r="BB933" s="1"/>
      <c r="BC933" s="1"/>
      <c r="BD933" s="1" t="s">
        <v>16593</v>
      </c>
      <c r="BE933" s="1" t="s">
        <v>16594</v>
      </c>
      <c r="BF933" s="1" t="str">
        <f aca="false">HYPERLINK("http://dx.doi.org/10.1016/j.heliyon.2023.e15137","http://dx.doi.org/10.1016/j.heliyon.2023.e15137")</f>
        <v>http://dx.doi.org/10.1016/j.heliyon.2023.e15137</v>
      </c>
      <c r="BG933" s="1"/>
      <c r="BH933" s="1" t="s">
        <v>713</v>
      </c>
      <c r="BI933" s="1" t="n">
        <v>12</v>
      </c>
      <c r="BJ933" s="1" t="s">
        <v>6557</v>
      </c>
      <c r="BK933" s="1" t="s">
        <v>204</v>
      </c>
      <c r="BL933" s="1" t="s">
        <v>6558</v>
      </c>
      <c r="BM933" s="1" t="s">
        <v>16595</v>
      </c>
      <c r="BN933" s="1" t="n">
        <v>37041935</v>
      </c>
      <c r="BO933" s="1" t="s">
        <v>401</v>
      </c>
      <c r="BP933" s="1"/>
      <c r="BQ933" s="1"/>
      <c r="BR933" s="1" t="s">
        <v>103</v>
      </c>
      <c r="BS933" s="1" t="s">
        <v>16596</v>
      </c>
      <c r="BT933" s="1" t="str">
        <f aca="false">HYPERLINK("https%3A%2F%2Fwww.webofscience.com%2Fwos%2Fwoscc%2Ffull-record%2FWOS:000999913700001","View Full Record in Web of Science")</f>
        <v>View Full Record in Web of Science</v>
      </c>
    </row>
    <row r="934" customFormat="false" ht="12.75" hidden="false" customHeight="false" outlineLevel="0" collapsed="false">
      <c r="A934" s="1" t="s">
        <v>181</v>
      </c>
      <c r="B934" s="1" t="s">
        <v>16597</v>
      </c>
      <c r="C934" s="1"/>
      <c r="D934" s="1"/>
      <c r="E934" s="1"/>
      <c r="F934" s="1" t="s">
        <v>16598</v>
      </c>
      <c r="G934" s="1"/>
      <c r="H934" s="1"/>
      <c r="I934" s="1" t="s">
        <v>16599</v>
      </c>
      <c r="J934" s="1" t="s">
        <v>16600</v>
      </c>
      <c r="K934" s="1"/>
      <c r="L934" s="1"/>
      <c r="M934" s="1" t="s">
        <v>78</v>
      </c>
      <c r="N934" s="1" t="s">
        <v>186</v>
      </c>
      <c r="O934" s="1"/>
      <c r="P934" s="1"/>
      <c r="Q934" s="1"/>
      <c r="R934" s="1"/>
      <c r="S934" s="1"/>
      <c r="T934" s="1" t="s">
        <v>16601</v>
      </c>
      <c r="U934" s="1" t="s">
        <v>16602</v>
      </c>
      <c r="V934" s="1" t="s">
        <v>16603</v>
      </c>
      <c r="W934" s="1" t="s">
        <v>16604</v>
      </c>
      <c r="X934" s="1" t="s">
        <v>16605</v>
      </c>
      <c r="Y934" s="1" t="s">
        <v>14315</v>
      </c>
      <c r="Z934" s="1" t="s">
        <v>14353</v>
      </c>
      <c r="AA934" s="1" t="s">
        <v>16606</v>
      </c>
      <c r="AB934" s="1" t="s">
        <v>16607</v>
      </c>
      <c r="AC934" s="1"/>
      <c r="AD934" s="1"/>
      <c r="AE934" s="1"/>
      <c r="AF934" s="1"/>
      <c r="AG934" s="1" t="n">
        <v>49</v>
      </c>
      <c r="AH934" s="1" t="n">
        <v>14</v>
      </c>
      <c r="AI934" s="1" t="n">
        <v>14</v>
      </c>
      <c r="AJ934" s="1" t="n">
        <v>0</v>
      </c>
      <c r="AK934" s="1" t="n">
        <v>5</v>
      </c>
      <c r="AL934" s="1" t="s">
        <v>367</v>
      </c>
      <c r="AM934" s="1" t="s">
        <v>368</v>
      </c>
      <c r="AN934" s="1" t="s">
        <v>369</v>
      </c>
      <c r="AO934" s="1"/>
      <c r="AP934" s="1" t="s">
        <v>16608</v>
      </c>
      <c r="AQ934" s="1"/>
      <c r="AR934" s="1" t="s">
        <v>16600</v>
      </c>
      <c r="AS934" s="1" t="s">
        <v>16609</v>
      </c>
      <c r="AT934" s="1" t="s">
        <v>537</v>
      </c>
      <c r="AU934" s="1" t="n">
        <v>2023</v>
      </c>
      <c r="AV934" s="1" t="n">
        <v>11</v>
      </c>
      <c r="AW934" s="1" t="n">
        <v>2</v>
      </c>
      <c r="AX934" s="1"/>
      <c r="AY934" s="1"/>
      <c r="AZ934" s="1"/>
      <c r="BA934" s="1"/>
      <c r="BB934" s="1"/>
      <c r="BC934" s="1"/>
      <c r="BD934" s="1" t="n">
        <v>439</v>
      </c>
      <c r="BE934" s="1" t="s">
        <v>16610</v>
      </c>
      <c r="BF934" s="1" t="str">
        <f aca="false">HYPERLINK("http://dx.doi.org/10.3390/biomedicines11020439","http://dx.doi.org/10.3390/biomedicines11020439")</f>
        <v>http://dx.doi.org/10.3390/biomedicines11020439</v>
      </c>
      <c r="BG934" s="1"/>
      <c r="BH934" s="1"/>
      <c r="BI934" s="1" t="n">
        <v>13</v>
      </c>
      <c r="BJ934" s="1" t="s">
        <v>16611</v>
      </c>
      <c r="BK934" s="1" t="s">
        <v>204</v>
      </c>
      <c r="BL934" s="1" t="s">
        <v>16612</v>
      </c>
      <c r="BM934" s="1" t="s">
        <v>16613</v>
      </c>
      <c r="BN934" s="1" t="n">
        <v>36830975</v>
      </c>
      <c r="BO934" s="1" t="s">
        <v>401</v>
      </c>
      <c r="BP934" s="1"/>
      <c r="BQ934" s="1"/>
      <c r="BR934" s="1" t="s">
        <v>103</v>
      </c>
      <c r="BS934" s="1" t="s">
        <v>16614</v>
      </c>
      <c r="BT934" s="1" t="str">
        <f aca="false">HYPERLINK("https%3A%2F%2Fwww.webofscience.com%2Fwos%2Fwoscc%2Ffull-record%2FWOS:000938259800001","View Full Record in Web of Science")</f>
        <v>View Full Record in Web of Science</v>
      </c>
    </row>
    <row r="935" customFormat="false" ht="12.75" hidden="false" customHeight="false" outlineLevel="0" collapsed="false">
      <c r="A935" s="1" t="s">
        <v>72</v>
      </c>
      <c r="B935" s="1" t="s">
        <v>13365</v>
      </c>
      <c r="C935" s="1"/>
      <c r="D935" s="1" t="s">
        <v>5473</v>
      </c>
      <c r="E935" s="1"/>
      <c r="F935" s="1" t="s">
        <v>13367</v>
      </c>
      <c r="G935" s="1"/>
      <c r="H935" s="1"/>
      <c r="I935" s="1" t="s">
        <v>16615</v>
      </c>
      <c r="J935" s="1" t="s">
        <v>5476</v>
      </c>
      <c r="K935" s="1"/>
      <c r="L935" s="1"/>
      <c r="M935" s="1" t="s">
        <v>78</v>
      </c>
      <c r="N935" s="1" t="s">
        <v>79</v>
      </c>
      <c r="O935" s="1" t="s">
        <v>5477</v>
      </c>
      <c r="P935" s="1" t="s">
        <v>5478</v>
      </c>
      <c r="Q935" s="1" t="s">
        <v>320</v>
      </c>
      <c r="R935" s="1" t="s">
        <v>4165</v>
      </c>
      <c r="S935" s="1"/>
      <c r="T935" s="1" t="s">
        <v>16616</v>
      </c>
      <c r="U935" s="1"/>
      <c r="V935" s="1" t="s">
        <v>16617</v>
      </c>
      <c r="W935" s="1" t="s">
        <v>16618</v>
      </c>
      <c r="X935" s="1" t="s">
        <v>13378</v>
      </c>
      <c r="Y935" s="1" t="s">
        <v>16550</v>
      </c>
      <c r="Z935" s="1"/>
      <c r="AA935" s="1" t="s">
        <v>13381</v>
      </c>
      <c r="AB935" s="1"/>
      <c r="AC935" s="1" t="s">
        <v>16619</v>
      </c>
      <c r="AD935" s="1" t="s">
        <v>16620</v>
      </c>
      <c r="AE935" s="1" t="s">
        <v>13385</v>
      </c>
      <c r="AF935" s="1"/>
      <c r="AG935" s="1" t="n">
        <v>25</v>
      </c>
      <c r="AH935" s="1" t="n">
        <v>2</v>
      </c>
      <c r="AI935" s="1" t="n">
        <v>2</v>
      </c>
      <c r="AJ935" s="1" t="n">
        <v>0</v>
      </c>
      <c r="AK935" s="1" t="n">
        <v>5</v>
      </c>
      <c r="AL935" s="1" t="s">
        <v>1721</v>
      </c>
      <c r="AM935" s="1" t="s">
        <v>1722</v>
      </c>
      <c r="AN935" s="1" t="s">
        <v>1723</v>
      </c>
      <c r="AO935" s="1"/>
      <c r="AP935" s="1"/>
      <c r="AQ935" s="1" t="s">
        <v>5484</v>
      </c>
      <c r="AR935" s="1"/>
      <c r="AS935" s="1"/>
      <c r="AT935" s="1"/>
      <c r="AU935" s="1" t="n">
        <v>2021</v>
      </c>
      <c r="AV935" s="1"/>
      <c r="AW935" s="1"/>
      <c r="AX935" s="1"/>
      <c r="AY935" s="1"/>
      <c r="AZ935" s="1"/>
      <c r="BA935" s="1"/>
      <c r="BB935" s="1" t="n">
        <v>501</v>
      </c>
      <c r="BC935" s="1" t="n">
        <v>509</v>
      </c>
      <c r="BD935" s="1"/>
      <c r="BE935" s="1" t="s">
        <v>16621</v>
      </c>
      <c r="BF935" s="1" t="str">
        <f aca="false">HYPERLINK("http://dx.doi.org/10.5220/0010534705010509","http://dx.doi.org/10.5220/0010534705010509")</f>
        <v>http://dx.doi.org/10.5220/0010534705010509</v>
      </c>
      <c r="BG935" s="1"/>
      <c r="BH935" s="1"/>
      <c r="BI935" s="1" t="n">
        <v>9</v>
      </c>
      <c r="BJ935" s="1" t="s">
        <v>994</v>
      </c>
      <c r="BK935" s="1" t="s">
        <v>100</v>
      </c>
      <c r="BL935" s="1" t="s">
        <v>101</v>
      </c>
      <c r="BM935" s="1" t="s">
        <v>5486</v>
      </c>
      <c r="BN935" s="1"/>
      <c r="BO935" s="1" t="s">
        <v>282</v>
      </c>
      <c r="BP935" s="1"/>
      <c r="BQ935" s="1"/>
      <c r="BR935" s="1" t="s">
        <v>103</v>
      </c>
      <c r="BS935" s="1" t="s">
        <v>16622</v>
      </c>
      <c r="BT935" s="1" t="str">
        <f aca="false">HYPERLINK("https%3A%2F%2Fwww.webofscience.com%2Fwos%2Fwoscc%2Ffull-record%2FWOS:000783843700053","View Full Record in Web of Science")</f>
        <v>View Full Record in Web of Science</v>
      </c>
    </row>
    <row r="936" customFormat="false" ht="12.75" hidden="false" customHeight="false" outlineLevel="0" collapsed="false">
      <c r="A936" s="1" t="s">
        <v>181</v>
      </c>
      <c r="B936" s="1" t="s">
        <v>16623</v>
      </c>
      <c r="C936" s="1"/>
      <c r="D936" s="1"/>
      <c r="E936" s="1"/>
      <c r="F936" s="1" t="s">
        <v>16624</v>
      </c>
      <c r="G936" s="1"/>
      <c r="H936" s="1"/>
      <c r="I936" s="1" t="s">
        <v>16625</v>
      </c>
      <c r="J936" s="1" t="s">
        <v>15496</v>
      </c>
      <c r="K936" s="1"/>
      <c r="L936" s="1"/>
      <c r="M936" s="1" t="s">
        <v>78</v>
      </c>
      <c r="N936" s="1" t="s">
        <v>186</v>
      </c>
      <c r="O936" s="1"/>
      <c r="P936" s="1"/>
      <c r="Q936" s="1"/>
      <c r="R936" s="1"/>
      <c r="S936" s="1"/>
      <c r="T936" s="1" t="s">
        <v>16626</v>
      </c>
      <c r="U936" s="1" t="s">
        <v>16627</v>
      </c>
      <c r="V936" s="1" t="s">
        <v>16628</v>
      </c>
      <c r="W936" s="1" t="s">
        <v>16629</v>
      </c>
      <c r="X936" s="1" t="s">
        <v>16630</v>
      </c>
      <c r="Y936" s="1" t="s">
        <v>16631</v>
      </c>
      <c r="Z936" s="1" t="s">
        <v>16632</v>
      </c>
      <c r="AA936" s="1" t="s">
        <v>16633</v>
      </c>
      <c r="AB936" s="1" t="s">
        <v>16634</v>
      </c>
      <c r="AC936" s="1" t="s">
        <v>16635</v>
      </c>
      <c r="AD936" s="1" t="s">
        <v>16635</v>
      </c>
      <c r="AE936" s="1" t="s">
        <v>16636</v>
      </c>
      <c r="AF936" s="1"/>
      <c r="AG936" s="1" t="n">
        <v>54</v>
      </c>
      <c r="AH936" s="1" t="n">
        <v>12</v>
      </c>
      <c r="AI936" s="1" t="n">
        <v>13</v>
      </c>
      <c r="AJ936" s="1" t="n">
        <v>5</v>
      </c>
      <c r="AK936" s="1" t="n">
        <v>9</v>
      </c>
      <c r="AL936" s="1" t="s">
        <v>600</v>
      </c>
      <c r="AM936" s="1" t="s">
        <v>601</v>
      </c>
      <c r="AN936" s="1" t="s">
        <v>602</v>
      </c>
      <c r="AO936" s="1" t="s">
        <v>15506</v>
      </c>
      <c r="AP936" s="1" t="s">
        <v>15507</v>
      </c>
      <c r="AQ936" s="1"/>
      <c r="AR936" s="1" t="s">
        <v>15508</v>
      </c>
      <c r="AS936" s="1" t="s">
        <v>15509</v>
      </c>
      <c r="AT936" s="1" t="s">
        <v>2698</v>
      </c>
      <c r="AU936" s="1" t="n">
        <v>2020</v>
      </c>
      <c r="AV936" s="1" t="n">
        <v>47</v>
      </c>
      <c r="AW936" s="1" t="n">
        <v>6</v>
      </c>
      <c r="AX936" s="1"/>
      <c r="AY936" s="1"/>
      <c r="AZ936" s="1"/>
      <c r="BA936" s="1"/>
      <c r="BB936" s="1" t="n">
        <v>715</v>
      </c>
      <c r="BC936" s="1" t="n">
        <v>725</v>
      </c>
      <c r="BD936" s="1"/>
      <c r="BE936" s="1" t="s">
        <v>16637</v>
      </c>
      <c r="BF936" s="1" t="str">
        <f aca="false">HYPERLINK("http://dx.doi.org/10.1111/jcpe.13287","http://dx.doi.org/10.1111/jcpe.13287")</f>
        <v>http://dx.doi.org/10.1111/jcpe.13287</v>
      </c>
      <c r="BG936" s="1"/>
      <c r="BH936" s="1" t="s">
        <v>7170</v>
      </c>
      <c r="BI936" s="1" t="n">
        <v>11</v>
      </c>
      <c r="BJ936" s="1" t="s">
        <v>4910</v>
      </c>
      <c r="BK936" s="1" t="s">
        <v>204</v>
      </c>
      <c r="BL936" s="1" t="s">
        <v>4910</v>
      </c>
      <c r="BM936" s="1" t="s">
        <v>16638</v>
      </c>
      <c r="BN936" s="1" t="n">
        <v>32246489</v>
      </c>
      <c r="BO936" s="1"/>
      <c r="BP936" s="1"/>
      <c r="BQ936" s="1"/>
      <c r="BR936" s="1" t="s">
        <v>103</v>
      </c>
      <c r="BS936" s="1" t="s">
        <v>16639</v>
      </c>
      <c r="BT936" s="1" t="str">
        <f aca="false">HYPERLINK("https%3A%2F%2Fwww.webofscience.com%2Fwos%2Fwoscc%2Ffull-record%2FWOS:000527319100001","View Full Record in Web of Science")</f>
        <v>View Full Record in Web of Science</v>
      </c>
    </row>
    <row r="937" customFormat="false" ht="12.75" hidden="false" customHeight="false" outlineLevel="0" collapsed="false">
      <c r="A937" s="1" t="s">
        <v>181</v>
      </c>
      <c r="B937" s="1" t="s">
        <v>16640</v>
      </c>
      <c r="C937" s="1"/>
      <c r="D937" s="1"/>
      <c r="E937" s="1"/>
      <c r="F937" s="1" t="s">
        <v>16641</v>
      </c>
      <c r="G937" s="1"/>
      <c r="H937" s="1"/>
      <c r="I937" s="1" t="s">
        <v>16642</v>
      </c>
      <c r="J937" s="1" t="s">
        <v>16643</v>
      </c>
      <c r="K937" s="1"/>
      <c r="L937" s="1"/>
      <c r="M937" s="1" t="s">
        <v>78</v>
      </c>
      <c r="N937" s="1" t="s">
        <v>186</v>
      </c>
      <c r="O937" s="1"/>
      <c r="P937" s="1"/>
      <c r="Q937" s="1"/>
      <c r="R937" s="1"/>
      <c r="S937" s="1"/>
      <c r="T937" s="1" t="s">
        <v>16644</v>
      </c>
      <c r="U937" s="1" t="s">
        <v>16645</v>
      </c>
      <c r="V937" s="1" t="s">
        <v>16646</v>
      </c>
      <c r="W937" s="1" t="s">
        <v>16647</v>
      </c>
      <c r="X937" s="1" t="s">
        <v>16648</v>
      </c>
      <c r="Y937" s="1" t="s">
        <v>16649</v>
      </c>
      <c r="Z937" s="1" t="s">
        <v>16650</v>
      </c>
      <c r="AA937" s="1" t="s">
        <v>16651</v>
      </c>
      <c r="AB937" s="1" t="s">
        <v>16652</v>
      </c>
      <c r="AC937" s="1" t="s">
        <v>16653</v>
      </c>
      <c r="AD937" s="1" t="s">
        <v>16654</v>
      </c>
      <c r="AE937" s="1" t="s">
        <v>16655</v>
      </c>
      <c r="AF937" s="1"/>
      <c r="AG937" s="1" t="n">
        <v>54</v>
      </c>
      <c r="AH937" s="1" t="n">
        <v>1</v>
      </c>
      <c r="AI937" s="1" t="n">
        <v>1</v>
      </c>
      <c r="AJ937" s="1" t="n">
        <v>9</v>
      </c>
      <c r="AK937" s="1" t="n">
        <v>12</v>
      </c>
      <c r="AL937" s="1" t="s">
        <v>893</v>
      </c>
      <c r="AM937" s="1" t="s">
        <v>894</v>
      </c>
      <c r="AN937" s="1" t="s">
        <v>895</v>
      </c>
      <c r="AO937" s="1" t="s">
        <v>16656</v>
      </c>
      <c r="AP937" s="1" t="s">
        <v>16657</v>
      </c>
      <c r="AQ937" s="1"/>
      <c r="AR937" s="1" t="s">
        <v>16658</v>
      </c>
      <c r="AS937" s="1" t="s">
        <v>16659</v>
      </c>
      <c r="AT937" s="1" t="s">
        <v>711</v>
      </c>
      <c r="AU937" s="1" t="n">
        <v>2024</v>
      </c>
      <c r="AV937" s="1" t="n">
        <v>132</v>
      </c>
      <c r="AW937" s="1"/>
      <c r="AX937" s="1"/>
      <c r="AY937" s="1"/>
      <c r="AZ937" s="1"/>
      <c r="BA937" s="1"/>
      <c r="BB937" s="1"/>
      <c r="BC937" s="1"/>
      <c r="BD937" s="1" t="n">
        <v>103986</v>
      </c>
      <c r="BE937" s="1" t="s">
        <v>16660</v>
      </c>
      <c r="BF937" s="1" t="str">
        <f aca="false">HYPERLINK("http://dx.doi.org/10.1016/j.jag.2024.103986","http://dx.doi.org/10.1016/j.jag.2024.103986")</f>
        <v>http://dx.doi.org/10.1016/j.jag.2024.103986</v>
      </c>
      <c r="BG937" s="1"/>
      <c r="BH937" s="1" t="s">
        <v>1658</v>
      </c>
      <c r="BI937" s="1" t="n">
        <v>12</v>
      </c>
      <c r="BJ937" s="1" t="s">
        <v>16661</v>
      </c>
      <c r="BK937" s="1" t="s">
        <v>204</v>
      </c>
      <c r="BL937" s="1" t="s">
        <v>16661</v>
      </c>
      <c r="BM937" s="1" t="s">
        <v>16662</v>
      </c>
      <c r="BN937" s="1"/>
      <c r="BO937" s="1" t="s">
        <v>542</v>
      </c>
      <c r="BP937" s="1"/>
      <c r="BQ937" s="1"/>
      <c r="BR937" s="1" t="s">
        <v>103</v>
      </c>
      <c r="BS937" s="1" t="s">
        <v>16663</v>
      </c>
      <c r="BT937" s="1" t="str">
        <f aca="false">HYPERLINK("https%3A%2F%2Fwww.webofscience.com%2Fwos%2Fwoscc%2Ffull-record%2FWOS:001262427200001","View Full Record in Web of Science")</f>
        <v>View Full Record in Web of Science</v>
      </c>
    </row>
    <row r="938" customFormat="false" ht="12.75" hidden="false" customHeight="false" outlineLevel="0" collapsed="false">
      <c r="A938" s="1" t="s">
        <v>181</v>
      </c>
      <c r="B938" s="1" t="s">
        <v>15581</v>
      </c>
      <c r="C938" s="1"/>
      <c r="D938" s="1"/>
      <c r="E938" s="1"/>
      <c r="F938" s="1" t="s">
        <v>15582</v>
      </c>
      <c r="G938" s="1"/>
      <c r="H938" s="1"/>
      <c r="I938" s="1" t="s">
        <v>16664</v>
      </c>
      <c r="J938" s="1" t="s">
        <v>5738</v>
      </c>
      <c r="K938" s="1"/>
      <c r="L938" s="1"/>
      <c r="M938" s="1" t="s">
        <v>78</v>
      </c>
      <c r="N938" s="1" t="s">
        <v>186</v>
      </c>
      <c r="O938" s="1"/>
      <c r="P938" s="1"/>
      <c r="Q938" s="1"/>
      <c r="R938" s="1"/>
      <c r="S938" s="1"/>
      <c r="T938" s="1" t="s">
        <v>16665</v>
      </c>
      <c r="U938" s="1" t="s">
        <v>16666</v>
      </c>
      <c r="V938" s="1" t="s">
        <v>16667</v>
      </c>
      <c r="W938" s="1" t="s">
        <v>16668</v>
      </c>
      <c r="X938" s="1" t="s">
        <v>16669</v>
      </c>
      <c r="Y938" s="1" t="s">
        <v>16670</v>
      </c>
      <c r="Z938" s="1" t="s">
        <v>15590</v>
      </c>
      <c r="AA938" s="1" t="s">
        <v>14489</v>
      </c>
      <c r="AB938" s="1" t="s">
        <v>16671</v>
      </c>
      <c r="AC938" s="1"/>
      <c r="AD938" s="1"/>
      <c r="AE938" s="1"/>
      <c r="AF938" s="1"/>
      <c r="AG938" s="1" t="n">
        <v>67</v>
      </c>
      <c r="AH938" s="1" t="n">
        <v>2</v>
      </c>
      <c r="AI938" s="1" t="n">
        <v>2</v>
      </c>
      <c r="AJ938" s="1" t="n">
        <v>3</v>
      </c>
      <c r="AK938" s="1" t="n">
        <v>18</v>
      </c>
      <c r="AL938" s="1" t="s">
        <v>1220</v>
      </c>
      <c r="AM938" s="1" t="s">
        <v>1221</v>
      </c>
      <c r="AN938" s="1" t="s">
        <v>1222</v>
      </c>
      <c r="AO938" s="1" t="s">
        <v>5751</v>
      </c>
      <c r="AP938" s="1" t="s">
        <v>5752</v>
      </c>
      <c r="AQ938" s="1"/>
      <c r="AR938" s="1" t="s">
        <v>5753</v>
      </c>
      <c r="AS938" s="1" t="s">
        <v>5754</v>
      </c>
      <c r="AT938" s="1" t="s">
        <v>16672</v>
      </c>
      <c r="AU938" s="1" t="n">
        <v>2022</v>
      </c>
      <c r="AV938" s="1" t="n">
        <v>56</v>
      </c>
      <c r="AW938" s="1" t="n">
        <v>9</v>
      </c>
      <c r="AX938" s="1"/>
      <c r="AY938" s="1"/>
      <c r="AZ938" s="1" t="s">
        <v>1698</v>
      </c>
      <c r="BA938" s="1"/>
      <c r="BB938" s="1" t="n">
        <v>1538</v>
      </c>
      <c r="BC938" s="1" t="n">
        <v>1553</v>
      </c>
      <c r="BD938" s="1"/>
      <c r="BE938" s="1" t="s">
        <v>16673</v>
      </c>
      <c r="BF938" s="1" t="str">
        <f aca="false">HYPERLINK("http://dx.doi.org/10.1080/00343404.2021.1954611","http://dx.doi.org/10.1080/00343404.2021.1954611")</f>
        <v>http://dx.doi.org/10.1080/00343404.2021.1954611</v>
      </c>
      <c r="BG938" s="1"/>
      <c r="BH938" s="1" t="s">
        <v>5561</v>
      </c>
      <c r="BI938" s="1" t="n">
        <v>16</v>
      </c>
      <c r="BJ938" s="1" t="s">
        <v>5757</v>
      </c>
      <c r="BK938" s="1" t="s">
        <v>610</v>
      </c>
      <c r="BL938" s="1" t="s">
        <v>5758</v>
      </c>
      <c r="BM938" s="1" t="s">
        <v>16674</v>
      </c>
      <c r="BN938" s="1"/>
      <c r="BO938" s="1" t="s">
        <v>2770</v>
      </c>
      <c r="BP938" s="1"/>
      <c r="BQ938" s="1"/>
      <c r="BR938" s="1" t="s">
        <v>103</v>
      </c>
      <c r="BS938" s="1" t="s">
        <v>16675</v>
      </c>
      <c r="BT938" s="1" t="str">
        <f aca="false">HYPERLINK("https%3A%2F%2Fwww.webofscience.com%2Fwos%2Fwoscc%2Ffull-record%2FWOS:000683673100001","View Full Record in Web of Science")</f>
        <v>View Full Record in Web of Science</v>
      </c>
    </row>
    <row r="939" customFormat="false" ht="12.75" hidden="false" customHeight="false" outlineLevel="0" collapsed="false">
      <c r="A939" s="1" t="s">
        <v>181</v>
      </c>
      <c r="B939" s="1" t="s">
        <v>16676</v>
      </c>
      <c r="C939" s="1"/>
      <c r="D939" s="1"/>
      <c r="E939" s="1"/>
      <c r="F939" s="1" t="s">
        <v>16677</v>
      </c>
      <c r="G939" s="1"/>
      <c r="H939" s="1"/>
      <c r="I939" s="1" t="s">
        <v>16678</v>
      </c>
      <c r="J939" s="1" t="s">
        <v>16679</v>
      </c>
      <c r="K939" s="1"/>
      <c r="L939" s="1"/>
      <c r="M939" s="1" t="s">
        <v>78</v>
      </c>
      <c r="N939" s="1" t="s">
        <v>186</v>
      </c>
      <c r="O939" s="1"/>
      <c r="P939" s="1"/>
      <c r="Q939" s="1"/>
      <c r="R939" s="1"/>
      <c r="S939" s="1"/>
      <c r="T939" s="1" t="s">
        <v>16680</v>
      </c>
      <c r="U939" s="1"/>
      <c r="V939" s="1" t="s">
        <v>16681</v>
      </c>
      <c r="W939" s="1" t="s">
        <v>16682</v>
      </c>
      <c r="X939" s="1" t="s">
        <v>16683</v>
      </c>
      <c r="Y939" s="1" t="s">
        <v>16684</v>
      </c>
      <c r="Z939" s="1" t="s">
        <v>16685</v>
      </c>
      <c r="AA939" s="1"/>
      <c r="AB939" s="1"/>
      <c r="AC939" s="1" t="s">
        <v>16686</v>
      </c>
      <c r="AD939" s="1" t="s">
        <v>16687</v>
      </c>
      <c r="AE939" s="1" t="s">
        <v>16688</v>
      </c>
      <c r="AF939" s="1"/>
      <c r="AG939" s="1" t="n">
        <v>50</v>
      </c>
      <c r="AH939" s="1" t="n">
        <v>0</v>
      </c>
      <c r="AI939" s="1" t="n">
        <v>0</v>
      </c>
      <c r="AJ939" s="1" t="n">
        <v>2</v>
      </c>
      <c r="AK939" s="1" t="n">
        <v>16</v>
      </c>
      <c r="AL939" s="1" t="s">
        <v>3425</v>
      </c>
      <c r="AM939" s="1" t="s">
        <v>3426</v>
      </c>
      <c r="AN939" s="1" t="s">
        <v>3427</v>
      </c>
      <c r="AO939" s="1" t="s">
        <v>16689</v>
      </c>
      <c r="AP939" s="1" t="s">
        <v>16690</v>
      </c>
      <c r="AQ939" s="1"/>
      <c r="AR939" s="1" t="s">
        <v>16679</v>
      </c>
      <c r="AS939" s="1" t="s">
        <v>16691</v>
      </c>
      <c r="AT939" s="1" t="s">
        <v>421</v>
      </c>
      <c r="AU939" s="1" t="n">
        <v>2021</v>
      </c>
      <c r="AV939" s="1" t="n">
        <v>358</v>
      </c>
      <c r="AW939" s="1"/>
      <c r="AX939" s="1"/>
      <c r="AY939" s="1"/>
      <c r="AZ939" s="1"/>
      <c r="BA939" s="1"/>
      <c r="BB939" s="1"/>
      <c r="BC939" s="1"/>
      <c r="BD939" s="1" t="n">
        <v>114157</v>
      </c>
      <c r="BE939" s="1" t="s">
        <v>16692</v>
      </c>
      <c r="BF939" s="1" t="str">
        <f aca="false">HYPERLINK("http://dx.doi.org/10.1016/j.icarus.2020.114157","http://dx.doi.org/10.1016/j.icarus.2020.114157")</f>
        <v>http://dx.doi.org/10.1016/j.icarus.2020.114157</v>
      </c>
      <c r="BG939" s="1"/>
      <c r="BH939" s="1"/>
      <c r="BI939" s="1" t="n">
        <v>7</v>
      </c>
      <c r="BJ939" s="1" t="s">
        <v>1680</v>
      </c>
      <c r="BK939" s="1" t="s">
        <v>204</v>
      </c>
      <c r="BL939" s="1" t="s">
        <v>1680</v>
      </c>
      <c r="BM939" s="1" t="s">
        <v>16693</v>
      </c>
      <c r="BN939" s="1"/>
      <c r="BO939" s="1" t="s">
        <v>444</v>
      </c>
      <c r="BP939" s="1"/>
      <c r="BQ939" s="1"/>
      <c r="BR939" s="1" t="s">
        <v>103</v>
      </c>
      <c r="BS939" s="1" t="s">
        <v>16694</v>
      </c>
      <c r="BT939" s="1" t="str">
        <f aca="false">HYPERLINK("https%3A%2F%2Fwww.webofscience.com%2Fwos%2Fwoscc%2Ffull-record%2FWOS:000616177500005","View Full Record in Web of Science")</f>
        <v>View Full Record in Web of Science</v>
      </c>
    </row>
    <row r="940" customFormat="false" ht="12.75" hidden="false" customHeight="false" outlineLevel="0" collapsed="false">
      <c r="A940" s="1" t="s">
        <v>181</v>
      </c>
      <c r="B940" s="1" t="s">
        <v>16695</v>
      </c>
      <c r="C940" s="1"/>
      <c r="D940" s="1"/>
      <c r="E940" s="1"/>
      <c r="F940" s="1" t="s">
        <v>16696</v>
      </c>
      <c r="G940" s="1"/>
      <c r="H940" s="1"/>
      <c r="I940" s="1" t="s">
        <v>16697</v>
      </c>
      <c r="J940" s="1" t="s">
        <v>16698</v>
      </c>
      <c r="K940" s="1"/>
      <c r="L940" s="1"/>
      <c r="M940" s="1" t="s">
        <v>78</v>
      </c>
      <c r="N940" s="1" t="s">
        <v>186</v>
      </c>
      <c r="O940" s="1"/>
      <c r="P940" s="1"/>
      <c r="Q940" s="1"/>
      <c r="R940" s="1"/>
      <c r="S940" s="1"/>
      <c r="T940" s="1" t="s">
        <v>16699</v>
      </c>
      <c r="U940" s="1" t="s">
        <v>16700</v>
      </c>
      <c r="V940" s="1" t="s">
        <v>16701</v>
      </c>
      <c r="W940" s="1" t="s">
        <v>16702</v>
      </c>
      <c r="X940" s="1" t="s">
        <v>16703</v>
      </c>
      <c r="Y940" s="1" t="s">
        <v>5162</v>
      </c>
      <c r="Z940" s="1" t="s">
        <v>5163</v>
      </c>
      <c r="AA940" s="1" t="s">
        <v>11332</v>
      </c>
      <c r="AB940" s="1" t="s">
        <v>16704</v>
      </c>
      <c r="AC940" s="1" t="s">
        <v>16705</v>
      </c>
      <c r="AD940" s="1" t="s">
        <v>16706</v>
      </c>
      <c r="AE940" s="1" t="s">
        <v>16707</v>
      </c>
      <c r="AF940" s="1"/>
      <c r="AG940" s="1" t="n">
        <v>67</v>
      </c>
      <c r="AH940" s="1" t="n">
        <v>4</v>
      </c>
      <c r="AI940" s="1" t="n">
        <v>5</v>
      </c>
      <c r="AJ940" s="1" t="n">
        <v>1</v>
      </c>
      <c r="AK940" s="1" t="n">
        <v>9</v>
      </c>
      <c r="AL940" s="1" t="s">
        <v>1651</v>
      </c>
      <c r="AM940" s="1" t="s">
        <v>1026</v>
      </c>
      <c r="AN940" s="1" t="s">
        <v>1652</v>
      </c>
      <c r="AO940" s="1" t="s">
        <v>16708</v>
      </c>
      <c r="AP940" s="1" t="s">
        <v>16709</v>
      </c>
      <c r="AQ940" s="1"/>
      <c r="AR940" s="1" t="s">
        <v>16710</v>
      </c>
      <c r="AS940" s="1" t="s">
        <v>16711</v>
      </c>
      <c r="AT940" s="1" t="s">
        <v>16712</v>
      </c>
      <c r="AU940" s="1" t="n">
        <v>2023</v>
      </c>
      <c r="AV940" s="1" t="n">
        <v>273</v>
      </c>
      <c r="AW940" s="1"/>
      <c r="AX940" s="1"/>
      <c r="AY940" s="1"/>
      <c r="AZ940" s="1"/>
      <c r="BA940" s="1"/>
      <c r="BB940" s="1"/>
      <c r="BC940" s="1"/>
      <c r="BD940" s="1" t="n">
        <v>112264</v>
      </c>
      <c r="BE940" s="1" t="s">
        <v>16713</v>
      </c>
      <c r="BF940" s="1" t="str">
        <f aca="false">HYPERLINK("http://dx.doi.org/10.1016/j.ijsolstr.2023.112264","http://dx.doi.org/10.1016/j.ijsolstr.2023.112264")</f>
        <v>http://dx.doi.org/10.1016/j.ijsolstr.2023.112264</v>
      </c>
      <c r="BG940" s="1"/>
      <c r="BH940" s="1" t="s">
        <v>713</v>
      </c>
      <c r="BI940" s="1" t="n">
        <v>20</v>
      </c>
      <c r="BJ940" s="1" t="s">
        <v>8316</v>
      </c>
      <c r="BK940" s="1" t="s">
        <v>204</v>
      </c>
      <c r="BL940" s="1" t="s">
        <v>8316</v>
      </c>
      <c r="BM940" s="1" t="s">
        <v>16714</v>
      </c>
      <c r="BN940" s="1"/>
      <c r="BO940" s="1" t="s">
        <v>612</v>
      </c>
      <c r="BP940" s="1"/>
      <c r="BQ940" s="1"/>
      <c r="BR940" s="1" t="s">
        <v>103</v>
      </c>
      <c r="BS940" s="1" t="s">
        <v>16715</v>
      </c>
      <c r="BT940" s="1" t="str">
        <f aca="false">HYPERLINK("https%3A%2F%2Fwww.webofscience.com%2Fwos%2Fwoscc%2Ffull-record%2FWOS:000989489800001","View Full Record in Web of Science")</f>
        <v>View Full Record in Web of Science</v>
      </c>
    </row>
    <row r="941" customFormat="false" ht="12.75" hidden="false" customHeight="false" outlineLevel="0" collapsed="false">
      <c r="A941" s="1" t="s">
        <v>181</v>
      </c>
      <c r="B941" s="1" t="s">
        <v>16716</v>
      </c>
      <c r="C941" s="1"/>
      <c r="D941" s="1"/>
      <c r="E941" s="1"/>
      <c r="F941" s="1" t="s">
        <v>16717</v>
      </c>
      <c r="G941" s="1"/>
      <c r="H941" s="1"/>
      <c r="I941" s="1" t="s">
        <v>16718</v>
      </c>
      <c r="J941" s="1" t="s">
        <v>16719</v>
      </c>
      <c r="K941" s="1"/>
      <c r="L941" s="1"/>
      <c r="M941" s="1" t="s">
        <v>78</v>
      </c>
      <c r="N941" s="1" t="s">
        <v>186</v>
      </c>
      <c r="O941" s="1"/>
      <c r="P941" s="1"/>
      <c r="Q941" s="1"/>
      <c r="R941" s="1"/>
      <c r="S941" s="1"/>
      <c r="T941" s="1" t="s">
        <v>16720</v>
      </c>
      <c r="U941" s="1" t="s">
        <v>16721</v>
      </c>
      <c r="V941" s="1" t="s">
        <v>16722</v>
      </c>
      <c r="W941" s="1" t="s">
        <v>16723</v>
      </c>
      <c r="X941" s="1" t="s">
        <v>16724</v>
      </c>
      <c r="Y941" s="1" t="s">
        <v>16725</v>
      </c>
      <c r="Z941" s="1" t="s">
        <v>16726</v>
      </c>
      <c r="AA941" s="1" t="s">
        <v>16727</v>
      </c>
      <c r="AB941" s="1" t="s">
        <v>16728</v>
      </c>
      <c r="AC941" s="1" t="s">
        <v>16729</v>
      </c>
      <c r="AD941" s="1" t="s">
        <v>16729</v>
      </c>
      <c r="AE941" s="1" t="s">
        <v>16730</v>
      </c>
      <c r="AF941" s="1"/>
      <c r="AG941" s="1" t="n">
        <v>54</v>
      </c>
      <c r="AH941" s="1" t="n">
        <v>6</v>
      </c>
      <c r="AI941" s="1" t="n">
        <v>6</v>
      </c>
      <c r="AJ941" s="1" t="n">
        <v>3</v>
      </c>
      <c r="AK941" s="1" t="n">
        <v>29</v>
      </c>
      <c r="AL941" s="1" t="s">
        <v>367</v>
      </c>
      <c r="AM941" s="1" t="s">
        <v>368</v>
      </c>
      <c r="AN941" s="1" t="s">
        <v>369</v>
      </c>
      <c r="AO941" s="1"/>
      <c r="AP941" s="1" t="s">
        <v>16731</v>
      </c>
      <c r="AQ941" s="1"/>
      <c r="AR941" s="1" t="s">
        <v>16732</v>
      </c>
      <c r="AS941" s="1" t="s">
        <v>16733</v>
      </c>
      <c r="AT941" s="1" t="s">
        <v>474</v>
      </c>
      <c r="AU941" s="1" t="n">
        <v>2022</v>
      </c>
      <c r="AV941" s="1" t="n">
        <v>6</v>
      </c>
      <c r="AW941" s="1" t="n">
        <v>3</v>
      </c>
      <c r="AX941" s="1"/>
      <c r="AY941" s="1"/>
      <c r="AZ941" s="1"/>
      <c r="BA941" s="1"/>
      <c r="BB941" s="1"/>
      <c r="BC941" s="1"/>
      <c r="BD941" s="1" t="n">
        <v>47</v>
      </c>
      <c r="BE941" s="1" t="s">
        <v>16734</v>
      </c>
      <c r="BF941" s="1" t="str">
        <f aca="false">HYPERLINK("http://dx.doi.org/10.3390/urbansci6030047","http://dx.doi.org/10.3390/urbansci6030047")</f>
        <v>http://dx.doi.org/10.3390/urbansci6030047</v>
      </c>
      <c r="BG941" s="1"/>
      <c r="BH941" s="1"/>
      <c r="BI941" s="1" t="n">
        <v>21</v>
      </c>
      <c r="BJ941" s="1" t="s">
        <v>16735</v>
      </c>
      <c r="BK941" s="1" t="s">
        <v>253</v>
      </c>
      <c r="BL941" s="1" t="s">
        <v>1229</v>
      </c>
      <c r="BM941" s="1" t="s">
        <v>16736</v>
      </c>
      <c r="BN941" s="1"/>
      <c r="BO941" s="1" t="s">
        <v>401</v>
      </c>
      <c r="BP941" s="1"/>
      <c r="BQ941" s="1"/>
      <c r="BR941" s="1" t="s">
        <v>103</v>
      </c>
      <c r="BS941" s="1" t="s">
        <v>16737</v>
      </c>
      <c r="BT941" s="1" t="str">
        <f aca="false">HYPERLINK("https%3A%2F%2Fwww.webofscience.com%2Fwos%2Fwoscc%2Ffull-record%2FWOS:000856885800001","View Full Record in Web of Science")</f>
        <v>View Full Record in Web of Science</v>
      </c>
    </row>
    <row r="942" customFormat="false" ht="12.75" hidden="false" customHeight="false" outlineLevel="0" collapsed="false">
      <c r="A942" s="1" t="s">
        <v>181</v>
      </c>
      <c r="B942" s="1" t="s">
        <v>16738</v>
      </c>
      <c r="C942" s="1"/>
      <c r="D942" s="1"/>
      <c r="E942" s="1"/>
      <c r="F942" s="1" t="s">
        <v>16739</v>
      </c>
      <c r="G942" s="1"/>
      <c r="H942" s="1"/>
      <c r="I942" s="1" t="s">
        <v>16740</v>
      </c>
      <c r="J942" s="1" t="s">
        <v>16741</v>
      </c>
      <c r="K942" s="1"/>
      <c r="L942" s="1"/>
      <c r="M942" s="1" t="s">
        <v>78</v>
      </c>
      <c r="N942" s="1" t="s">
        <v>186</v>
      </c>
      <c r="O942" s="1"/>
      <c r="P942" s="1"/>
      <c r="Q942" s="1"/>
      <c r="R942" s="1"/>
      <c r="S942" s="1"/>
      <c r="T942" s="1" t="s">
        <v>16742</v>
      </c>
      <c r="U942" s="1"/>
      <c r="V942" s="1" t="s">
        <v>16743</v>
      </c>
      <c r="W942" s="1" t="s">
        <v>16744</v>
      </c>
      <c r="X942" s="1" t="s">
        <v>16745</v>
      </c>
      <c r="Y942" s="1" t="s">
        <v>16746</v>
      </c>
      <c r="Z942" s="1" t="s">
        <v>16747</v>
      </c>
      <c r="AA942" s="1" t="s">
        <v>16748</v>
      </c>
      <c r="AB942" s="1" t="s">
        <v>16749</v>
      </c>
      <c r="AC942" s="1" t="s">
        <v>16750</v>
      </c>
      <c r="AD942" s="1" t="s">
        <v>16750</v>
      </c>
      <c r="AE942" s="1" t="s">
        <v>16751</v>
      </c>
      <c r="AF942" s="1"/>
      <c r="AG942" s="1" t="n">
        <v>31</v>
      </c>
      <c r="AH942" s="1" t="n">
        <v>10</v>
      </c>
      <c r="AI942" s="1" t="n">
        <v>11</v>
      </c>
      <c r="AJ942" s="1" t="n">
        <v>0</v>
      </c>
      <c r="AK942" s="1" t="n">
        <v>7</v>
      </c>
      <c r="AL942" s="1" t="s">
        <v>600</v>
      </c>
      <c r="AM942" s="1" t="s">
        <v>601</v>
      </c>
      <c r="AN942" s="1" t="s">
        <v>602</v>
      </c>
      <c r="AO942" s="1" t="s">
        <v>16752</v>
      </c>
      <c r="AP942" s="1" t="s">
        <v>16753</v>
      </c>
      <c r="AQ942" s="1"/>
      <c r="AR942" s="1" t="s">
        <v>16754</v>
      </c>
      <c r="AS942" s="1" t="s">
        <v>16755</v>
      </c>
      <c r="AT942" s="1" t="s">
        <v>421</v>
      </c>
      <c r="AU942" s="1" t="n">
        <v>2021</v>
      </c>
      <c r="AV942" s="1" t="n">
        <v>32</v>
      </c>
      <c r="AW942" s="1" t="n">
        <v>4</v>
      </c>
      <c r="AX942" s="1"/>
      <c r="AY942" s="1"/>
      <c r="AZ942" s="1"/>
      <c r="BA942" s="1"/>
      <c r="BB942" s="1" t="n">
        <v>410</v>
      </c>
      <c r="BC942" s="1" t="n">
        <v>421</v>
      </c>
      <c r="BD942" s="1"/>
      <c r="BE942" s="1" t="s">
        <v>16756</v>
      </c>
      <c r="BF942" s="1" t="str">
        <f aca="false">HYPERLINK("http://dx.doi.org/10.1111/clr.13711","http://dx.doi.org/10.1111/clr.13711")</f>
        <v>http://dx.doi.org/10.1111/clr.13711</v>
      </c>
      <c r="BG942" s="1"/>
      <c r="BH942" s="1" t="s">
        <v>2718</v>
      </c>
      <c r="BI942" s="1" t="n">
        <v>12</v>
      </c>
      <c r="BJ942" s="1" t="s">
        <v>16757</v>
      </c>
      <c r="BK942" s="1" t="s">
        <v>204</v>
      </c>
      <c r="BL942" s="1" t="s">
        <v>16758</v>
      </c>
      <c r="BM942" s="1" t="s">
        <v>16759</v>
      </c>
      <c r="BN942" s="1" t="n">
        <v>33449388</v>
      </c>
      <c r="BO942" s="1"/>
      <c r="BP942" s="1"/>
      <c r="BQ942" s="1"/>
      <c r="BR942" s="1" t="s">
        <v>103</v>
      </c>
      <c r="BS942" s="1" t="s">
        <v>16760</v>
      </c>
      <c r="BT942" s="1" t="str">
        <f aca="false">HYPERLINK("https%3A%2F%2Fwww.webofscience.com%2Fwos%2Fwoscc%2Ffull-record%2FWOS:000614500300001","View Full Record in Web of Science")</f>
        <v>View Full Record in Web of Science</v>
      </c>
    </row>
    <row r="943" customFormat="false" ht="12.75" hidden="false" customHeight="false" outlineLevel="0" collapsed="false">
      <c r="A943" s="1" t="s">
        <v>181</v>
      </c>
      <c r="B943" s="1" t="s">
        <v>16761</v>
      </c>
      <c r="C943" s="1"/>
      <c r="D943" s="1"/>
      <c r="E943" s="1"/>
      <c r="F943" s="1" t="s">
        <v>16762</v>
      </c>
      <c r="G943" s="1"/>
      <c r="H943" s="1"/>
      <c r="I943" s="1" t="s">
        <v>16763</v>
      </c>
      <c r="J943" s="1" t="s">
        <v>5545</v>
      </c>
      <c r="K943" s="1"/>
      <c r="L943" s="1"/>
      <c r="M943" s="1" t="s">
        <v>78</v>
      </c>
      <c r="N943" s="1" t="s">
        <v>186</v>
      </c>
      <c r="O943" s="1"/>
      <c r="P943" s="1"/>
      <c r="Q943" s="1"/>
      <c r="R943" s="1"/>
      <c r="S943" s="1"/>
      <c r="T943" s="1" t="s">
        <v>16764</v>
      </c>
      <c r="U943" s="1" t="s">
        <v>16765</v>
      </c>
      <c r="V943" s="1" t="s">
        <v>16766</v>
      </c>
      <c r="W943" s="1" t="s">
        <v>16767</v>
      </c>
      <c r="X943" s="1" t="s">
        <v>16768</v>
      </c>
      <c r="Y943" s="1" t="s">
        <v>16769</v>
      </c>
      <c r="Z943" s="1" t="s">
        <v>16770</v>
      </c>
      <c r="AA943" s="1" t="s">
        <v>16771</v>
      </c>
      <c r="AB943" s="1" t="s">
        <v>16772</v>
      </c>
      <c r="AC943" s="1"/>
      <c r="AD943" s="1"/>
      <c r="AE943" s="1"/>
      <c r="AF943" s="1"/>
      <c r="AG943" s="1" t="n">
        <v>50</v>
      </c>
      <c r="AH943" s="1" t="n">
        <v>0</v>
      </c>
      <c r="AI943" s="1" t="n">
        <v>0</v>
      </c>
      <c r="AJ943" s="1" t="n">
        <v>4</v>
      </c>
      <c r="AK943" s="1" t="n">
        <v>17</v>
      </c>
      <c r="AL943" s="1" t="s">
        <v>679</v>
      </c>
      <c r="AM943" s="1" t="s">
        <v>680</v>
      </c>
      <c r="AN943" s="1" t="s">
        <v>681</v>
      </c>
      <c r="AO943" s="1" t="s">
        <v>5556</v>
      </c>
      <c r="AP943" s="1" t="s">
        <v>5557</v>
      </c>
      <c r="AQ943" s="1"/>
      <c r="AR943" s="1" t="s">
        <v>5558</v>
      </c>
      <c r="AS943" s="1" t="s">
        <v>5559</v>
      </c>
      <c r="AT943" s="1" t="s">
        <v>2698</v>
      </c>
      <c r="AU943" s="1" t="n">
        <v>2023</v>
      </c>
      <c r="AV943" s="1" t="n">
        <v>61</v>
      </c>
      <c r="AW943" s="1" t="n">
        <v>1</v>
      </c>
      <c r="AX943" s="1"/>
      <c r="AY943" s="1"/>
      <c r="AZ943" s="1"/>
      <c r="BA943" s="1"/>
      <c r="BB943" s="1" t="n">
        <v>1</v>
      </c>
      <c r="BC943" s="1" t="n">
        <v>10</v>
      </c>
      <c r="BD943" s="1"/>
      <c r="BE943" s="1" t="s">
        <v>16773</v>
      </c>
      <c r="BF943" s="1" t="str">
        <f aca="false">HYPERLINK("http://dx.doi.org/10.1007/s11187-023-00746-6","http://dx.doi.org/10.1007/s11187-023-00746-6")</f>
        <v>http://dx.doi.org/10.1007/s11187-023-00746-6</v>
      </c>
      <c r="BG943" s="1"/>
      <c r="BH943" s="1" t="s">
        <v>4380</v>
      </c>
      <c r="BI943" s="1" t="n">
        <v>10</v>
      </c>
      <c r="BJ943" s="1" t="s">
        <v>5562</v>
      </c>
      <c r="BK943" s="1" t="s">
        <v>610</v>
      </c>
      <c r="BL943" s="1" t="s">
        <v>715</v>
      </c>
      <c r="BM943" s="1" t="s">
        <v>16774</v>
      </c>
      <c r="BN943" s="1"/>
      <c r="BO943" s="1" t="s">
        <v>282</v>
      </c>
      <c r="BP943" s="1"/>
      <c r="BQ943" s="1"/>
      <c r="BR943" s="1" t="s">
        <v>103</v>
      </c>
      <c r="BS943" s="1" t="s">
        <v>16775</v>
      </c>
      <c r="BT943" s="1" t="str">
        <f aca="false">HYPERLINK("https%3A%2F%2Fwww.webofscience.com%2Fwos%2Fwoscc%2Ffull-record%2FWOS:000956951700001","View Full Record in Web of Science")</f>
        <v>View Full Record in Web of Science</v>
      </c>
    </row>
    <row r="944" customFormat="false" ht="12.75" hidden="false" customHeight="false" outlineLevel="0" collapsed="false">
      <c r="A944" s="1" t="s">
        <v>181</v>
      </c>
      <c r="B944" s="1" t="s">
        <v>16776</v>
      </c>
      <c r="C944" s="1"/>
      <c r="D944" s="1"/>
      <c r="E944" s="1"/>
      <c r="F944" s="1" t="s">
        <v>16777</v>
      </c>
      <c r="G944" s="1"/>
      <c r="H944" s="1"/>
      <c r="I944" s="1" t="s">
        <v>16778</v>
      </c>
      <c r="J944" s="1" t="s">
        <v>15496</v>
      </c>
      <c r="K944" s="1"/>
      <c r="L944" s="1"/>
      <c r="M944" s="1" t="s">
        <v>78</v>
      </c>
      <c r="N944" s="1" t="s">
        <v>186</v>
      </c>
      <c r="O944" s="1"/>
      <c r="P944" s="1"/>
      <c r="Q944" s="1"/>
      <c r="R944" s="1"/>
      <c r="S944" s="1"/>
      <c r="T944" s="1" t="s">
        <v>16779</v>
      </c>
      <c r="U944" s="1" t="s">
        <v>16780</v>
      </c>
      <c r="V944" s="1" t="s">
        <v>16781</v>
      </c>
      <c r="W944" s="1" t="s">
        <v>16782</v>
      </c>
      <c r="X944" s="1" t="s">
        <v>16783</v>
      </c>
      <c r="Y944" s="1" t="s">
        <v>16784</v>
      </c>
      <c r="Z944" s="1" t="s">
        <v>15503</v>
      </c>
      <c r="AA944" s="1" t="s">
        <v>11931</v>
      </c>
      <c r="AB944" s="1" t="s">
        <v>15504</v>
      </c>
      <c r="AC944" s="1" t="s">
        <v>16785</v>
      </c>
      <c r="AD944" s="1" t="s">
        <v>16785</v>
      </c>
      <c r="AE944" s="1" t="s">
        <v>16785</v>
      </c>
      <c r="AF944" s="1"/>
      <c r="AG944" s="1" t="n">
        <v>25</v>
      </c>
      <c r="AH944" s="1" t="n">
        <v>34</v>
      </c>
      <c r="AI944" s="1" t="n">
        <v>34</v>
      </c>
      <c r="AJ944" s="1" t="n">
        <v>2</v>
      </c>
      <c r="AK944" s="1" t="n">
        <v>12</v>
      </c>
      <c r="AL944" s="1" t="s">
        <v>600</v>
      </c>
      <c r="AM944" s="1" t="s">
        <v>601</v>
      </c>
      <c r="AN944" s="1" t="s">
        <v>602</v>
      </c>
      <c r="AO944" s="1" t="s">
        <v>15506</v>
      </c>
      <c r="AP944" s="1" t="s">
        <v>15507</v>
      </c>
      <c r="AQ944" s="1"/>
      <c r="AR944" s="1" t="s">
        <v>15508</v>
      </c>
      <c r="AS944" s="1" t="s">
        <v>15509</v>
      </c>
      <c r="AT944" s="1" t="s">
        <v>1362</v>
      </c>
      <c r="AU944" s="1" t="n">
        <v>2021</v>
      </c>
      <c r="AV944" s="1" t="n">
        <v>48</v>
      </c>
      <c r="AW944" s="1" t="n">
        <v>10</v>
      </c>
      <c r="AX944" s="1"/>
      <c r="AY944" s="1"/>
      <c r="AZ944" s="1"/>
      <c r="BA944" s="1"/>
      <c r="BB944" s="1" t="n">
        <v>1312</v>
      </c>
      <c r="BC944" s="1" t="n">
        <v>1321</v>
      </c>
      <c r="BD944" s="1"/>
      <c r="BE944" s="1" t="s">
        <v>16786</v>
      </c>
      <c r="BF944" s="1" t="str">
        <f aca="false">HYPERLINK("http://dx.doi.org/10.1111/jcpe.13513","http://dx.doi.org/10.1111/jcpe.13513")</f>
        <v>http://dx.doi.org/10.1111/jcpe.13513</v>
      </c>
      <c r="BG944" s="1"/>
      <c r="BH944" s="1" t="s">
        <v>1371</v>
      </c>
      <c r="BI944" s="1" t="n">
        <v>10</v>
      </c>
      <c r="BJ944" s="1" t="s">
        <v>4910</v>
      </c>
      <c r="BK944" s="1" t="s">
        <v>204</v>
      </c>
      <c r="BL944" s="1" t="s">
        <v>4910</v>
      </c>
      <c r="BM944" s="1" t="s">
        <v>16787</v>
      </c>
      <c r="BN944" s="1" t="n">
        <v>34169551</v>
      </c>
      <c r="BO944" s="1" t="s">
        <v>179</v>
      </c>
      <c r="BP944" s="1"/>
      <c r="BQ944" s="1"/>
      <c r="BR944" s="1" t="s">
        <v>103</v>
      </c>
      <c r="BS944" s="1" t="s">
        <v>16788</v>
      </c>
      <c r="BT944" s="1" t="str">
        <f aca="false">HYPERLINK("https%3A%2F%2Fwww.webofscience.com%2Fwos%2Fwoscc%2Ffull-record%2FWOS:000679129500001","View Full Record in Web of Science")</f>
        <v>View Full Record in Web of Science</v>
      </c>
    </row>
    <row r="945" customFormat="false" ht="12.75" hidden="false" customHeight="false" outlineLevel="0" collapsed="false">
      <c r="A945" s="1" t="s">
        <v>181</v>
      </c>
      <c r="B945" s="1" t="s">
        <v>16789</v>
      </c>
      <c r="C945" s="1"/>
      <c r="D945" s="1"/>
      <c r="E945" s="1"/>
      <c r="F945" s="1" t="s">
        <v>16790</v>
      </c>
      <c r="G945" s="1"/>
      <c r="H945" s="1"/>
      <c r="I945" s="1" t="s">
        <v>16791</v>
      </c>
      <c r="J945" s="1" t="s">
        <v>13504</v>
      </c>
      <c r="K945" s="1"/>
      <c r="L945" s="1"/>
      <c r="M945" s="1" t="s">
        <v>78</v>
      </c>
      <c r="N945" s="1" t="s">
        <v>186</v>
      </c>
      <c r="O945" s="1"/>
      <c r="P945" s="1"/>
      <c r="Q945" s="1"/>
      <c r="R945" s="1"/>
      <c r="S945" s="1"/>
      <c r="T945" s="1" t="s">
        <v>16792</v>
      </c>
      <c r="U945" s="1"/>
      <c r="V945" s="1" t="s">
        <v>16793</v>
      </c>
      <c r="W945" s="1" t="s">
        <v>16794</v>
      </c>
      <c r="X945" s="1" t="s">
        <v>16795</v>
      </c>
      <c r="Y945" s="1" t="s">
        <v>16796</v>
      </c>
      <c r="Z945" s="1" t="s">
        <v>16797</v>
      </c>
      <c r="AA945" s="1" t="s">
        <v>16798</v>
      </c>
      <c r="AB945" s="1" t="s">
        <v>16799</v>
      </c>
      <c r="AC945" s="1"/>
      <c r="AD945" s="1"/>
      <c r="AE945" s="1"/>
      <c r="AF945" s="1"/>
      <c r="AG945" s="1" t="n">
        <v>24</v>
      </c>
      <c r="AH945" s="1" t="n">
        <v>7</v>
      </c>
      <c r="AI945" s="1" t="n">
        <v>7</v>
      </c>
      <c r="AJ945" s="1" t="n">
        <v>4</v>
      </c>
      <c r="AK945" s="1" t="n">
        <v>16</v>
      </c>
      <c r="AL945" s="1" t="s">
        <v>195</v>
      </c>
      <c r="AM945" s="1" t="s">
        <v>196</v>
      </c>
      <c r="AN945" s="1" t="s">
        <v>197</v>
      </c>
      <c r="AO945" s="1" t="s">
        <v>13512</v>
      </c>
      <c r="AP945" s="1" t="s">
        <v>13513</v>
      </c>
      <c r="AQ945" s="1"/>
      <c r="AR945" s="1" t="s">
        <v>13514</v>
      </c>
      <c r="AS945" s="1" t="s">
        <v>13515</v>
      </c>
      <c r="AT945" s="1" t="s">
        <v>277</v>
      </c>
      <c r="AU945" s="1" t="n">
        <v>2024</v>
      </c>
      <c r="AV945" s="1" t="n">
        <v>25</v>
      </c>
      <c r="AW945" s="1" t="n">
        <v>3</v>
      </c>
      <c r="AX945" s="1"/>
      <c r="AY945" s="1"/>
      <c r="AZ945" s="1"/>
      <c r="BA945" s="1"/>
      <c r="BB945" s="1" t="n">
        <v>3009</v>
      </c>
      <c r="BC945" s="1" t="n">
        <v>3019</v>
      </c>
      <c r="BD945" s="1"/>
      <c r="BE945" s="1" t="s">
        <v>16800</v>
      </c>
      <c r="BF945" s="1" t="str">
        <f aca="false">HYPERLINK("http://dx.doi.org/10.1109/TITS.2023.3287279","http://dx.doi.org/10.1109/TITS.2023.3287279")</f>
        <v>http://dx.doi.org/10.1109/TITS.2023.3287279</v>
      </c>
      <c r="BG945" s="1"/>
      <c r="BH945" s="1" t="s">
        <v>10254</v>
      </c>
      <c r="BI945" s="1" t="n">
        <v>11</v>
      </c>
      <c r="BJ945" s="1" t="s">
        <v>13517</v>
      </c>
      <c r="BK945" s="1" t="s">
        <v>204</v>
      </c>
      <c r="BL945" s="1" t="s">
        <v>5588</v>
      </c>
      <c r="BM945" s="1" t="s">
        <v>16801</v>
      </c>
      <c r="BN945" s="1"/>
      <c r="BO945" s="1" t="s">
        <v>7573</v>
      </c>
      <c r="BP945" s="1"/>
      <c r="BQ945" s="1"/>
      <c r="BR945" s="1" t="s">
        <v>103</v>
      </c>
      <c r="BS945" s="1" t="s">
        <v>16802</v>
      </c>
      <c r="BT945" s="1" t="str">
        <f aca="false">HYPERLINK("https%3A%2F%2Fwww.webofscience.com%2Fwos%2Fwoscc%2Ffull-record%2FWOS:001025528800001","View Full Record in Web of Science")</f>
        <v>View Full Record in Web of Science</v>
      </c>
    </row>
    <row r="946" customFormat="false" ht="12.75" hidden="false" customHeight="false" outlineLevel="0" collapsed="false">
      <c r="A946" s="1" t="s">
        <v>181</v>
      </c>
      <c r="B946" s="1" t="s">
        <v>16803</v>
      </c>
      <c r="C946" s="1"/>
      <c r="D946" s="1"/>
      <c r="E946" s="1"/>
      <c r="F946" s="1" t="s">
        <v>16804</v>
      </c>
      <c r="G946" s="1"/>
      <c r="H946" s="1"/>
      <c r="I946" s="1" t="s">
        <v>16805</v>
      </c>
      <c r="J946" s="1" t="s">
        <v>743</v>
      </c>
      <c r="K946" s="1"/>
      <c r="L946" s="1"/>
      <c r="M946" s="1" t="s">
        <v>78</v>
      </c>
      <c r="N946" s="1" t="s">
        <v>186</v>
      </c>
      <c r="O946" s="1"/>
      <c r="P946" s="1"/>
      <c r="Q946" s="1"/>
      <c r="R946" s="1"/>
      <c r="S946" s="1"/>
      <c r="T946" s="1" t="s">
        <v>16806</v>
      </c>
      <c r="U946" s="1"/>
      <c r="V946" s="1" t="s">
        <v>16807</v>
      </c>
      <c r="W946" s="1" t="s">
        <v>16808</v>
      </c>
      <c r="X946" s="1" t="s">
        <v>16809</v>
      </c>
      <c r="Y946" s="1" t="s">
        <v>16810</v>
      </c>
      <c r="Z946" s="1" t="s">
        <v>16811</v>
      </c>
      <c r="AA946" s="1" t="s">
        <v>15974</v>
      </c>
      <c r="AB946" s="1" t="s">
        <v>16812</v>
      </c>
      <c r="AC946" s="1"/>
      <c r="AD946" s="1"/>
      <c r="AE946" s="1"/>
      <c r="AF946" s="1"/>
      <c r="AG946" s="1" t="n">
        <v>45</v>
      </c>
      <c r="AH946" s="1" t="n">
        <v>24</v>
      </c>
      <c r="AI946" s="1" t="n">
        <v>24</v>
      </c>
      <c r="AJ946" s="1" t="n">
        <v>1</v>
      </c>
      <c r="AK946" s="1" t="n">
        <v>32</v>
      </c>
      <c r="AL946" s="1" t="s">
        <v>367</v>
      </c>
      <c r="AM946" s="1" t="s">
        <v>368</v>
      </c>
      <c r="AN946" s="1" t="s">
        <v>369</v>
      </c>
      <c r="AO946" s="1"/>
      <c r="AP946" s="1" t="s">
        <v>751</v>
      </c>
      <c r="AQ946" s="1"/>
      <c r="AR946" s="1" t="s">
        <v>752</v>
      </c>
      <c r="AS946" s="1" t="s">
        <v>753</v>
      </c>
      <c r="AT946" s="1" t="s">
        <v>277</v>
      </c>
      <c r="AU946" s="1" t="n">
        <v>2021</v>
      </c>
      <c r="AV946" s="1" t="n">
        <v>10</v>
      </c>
      <c r="AW946" s="1" t="n">
        <v>6</v>
      </c>
      <c r="AX946" s="1"/>
      <c r="AY946" s="1"/>
      <c r="AZ946" s="1"/>
      <c r="BA946" s="1"/>
      <c r="BB946" s="1"/>
      <c r="BC946" s="1"/>
      <c r="BD946" s="1" t="n">
        <v>724</v>
      </c>
      <c r="BE946" s="1" t="s">
        <v>16813</v>
      </c>
      <c r="BF946" s="1" t="str">
        <f aca="false">HYPERLINK("http://dx.doi.org/10.3390/electronics10060724","http://dx.doi.org/10.3390/electronics10060724")</f>
        <v>http://dx.doi.org/10.3390/electronics10060724</v>
      </c>
      <c r="BG946" s="1"/>
      <c r="BH946" s="1"/>
      <c r="BI946" s="1" t="n">
        <v>19</v>
      </c>
      <c r="BJ946" s="1" t="s">
        <v>756</v>
      </c>
      <c r="BK946" s="1" t="s">
        <v>204</v>
      </c>
      <c r="BL946" s="1" t="s">
        <v>757</v>
      </c>
      <c r="BM946" s="1" t="s">
        <v>16814</v>
      </c>
      <c r="BN946" s="1"/>
      <c r="BO946" s="1" t="s">
        <v>376</v>
      </c>
      <c r="BP946" s="1"/>
      <c r="BQ946" s="1"/>
      <c r="BR946" s="1" t="s">
        <v>103</v>
      </c>
      <c r="BS946" s="1" t="s">
        <v>16815</v>
      </c>
      <c r="BT946" s="1" t="str">
        <f aca="false">HYPERLINK("https%3A%2F%2Fwww.webofscience.com%2Fwos%2Fwoscc%2Ffull-record%2FWOS:000634372800001","View Full Record in Web of Science")</f>
        <v>View Full Record in Web of Science</v>
      </c>
    </row>
    <row r="947" customFormat="false" ht="12.75" hidden="false" customHeight="false" outlineLevel="0" collapsed="false">
      <c r="A947" s="1" t="s">
        <v>72</v>
      </c>
      <c r="B947" s="1" t="s">
        <v>16816</v>
      </c>
      <c r="C947" s="1"/>
      <c r="D947" s="1" t="s">
        <v>12402</v>
      </c>
      <c r="E947" s="1"/>
      <c r="F947" s="1" t="s">
        <v>16817</v>
      </c>
      <c r="G947" s="1"/>
      <c r="H947" s="1"/>
      <c r="I947" s="1" t="s">
        <v>16818</v>
      </c>
      <c r="J947" s="1" t="s">
        <v>12405</v>
      </c>
      <c r="K947" s="1" t="s">
        <v>976</v>
      </c>
      <c r="L947" s="1"/>
      <c r="M947" s="1" t="s">
        <v>78</v>
      </c>
      <c r="N947" s="1" t="s">
        <v>79</v>
      </c>
      <c r="O947" s="1" t="s">
        <v>12406</v>
      </c>
      <c r="P947" s="1" t="s">
        <v>12407</v>
      </c>
      <c r="Q947" s="1" t="s">
        <v>12408</v>
      </c>
      <c r="R947" s="1"/>
      <c r="S947" s="1"/>
      <c r="T947" s="1" t="s">
        <v>16819</v>
      </c>
      <c r="U947" s="1"/>
      <c r="V947" s="1" t="s">
        <v>16820</v>
      </c>
      <c r="W947" s="1" t="s">
        <v>16821</v>
      </c>
      <c r="X947" s="1" t="s">
        <v>16822</v>
      </c>
      <c r="Y947" s="1" t="s">
        <v>16823</v>
      </c>
      <c r="Z947" s="1" t="s">
        <v>16824</v>
      </c>
      <c r="AA947" s="1" t="s">
        <v>16825</v>
      </c>
      <c r="AB947" s="1" t="s">
        <v>16826</v>
      </c>
      <c r="AC947" s="1"/>
      <c r="AD947" s="1"/>
      <c r="AE947" s="1"/>
      <c r="AF947" s="1"/>
      <c r="AG947" s="1" t="n">
        <v>30</v>
      </c>
      <c r="AH947" s="1" t="n">
        <v>0</v>
      </c>
      <c r="AI947" s="1" t="n">
        <v>0</v>
      </c>
      <c r="AJ947" s="1" t="n">
        <v>1</v>
      </c>
      <c r="AK947" s="1" t="n">
        <v>5</v>
      </c>
      <c r="AL947" s="1" t="s">
        <v>302</v>
      </c>
      <c r="AM947" s="1" t="s">
        <v>303</v>
      </c>
      <c r="AN947" s="1" t="s">
        <v>304</v>
      </c>
      <c r="AO947" s="1" t="s">
        <v>989</v>
      </c>
      <c r="AP947" s="1" t="s">
        <v>990</v>
      </c>
      <c r="AQ947" s="1" t="s">
        <v>12420</v>
      </c>
      <c r="AR947" s="1" t="s">
        <v>992</v>
      </c>
      <c r="AS947" s="1"/>
      <c r="AT947" s="1"/>
      <c r="AU947" s="1" t="n">
        <v>2024</v>
      </c>
      <c r="AV947" s="1" t="n">
        <v>14483</v>
      </c>
      <c r="AW947" s="1"/>
      <c r="AX947" s="1"/>
      <c r="AY947" s="1"/>
      <c r="AZ947" s="1"/>
      <c r="BA947" s="1"/>
      <c r="BB947" s="1" t="n">
        <v>159</v>
      </c>
      <c r="BC947" s="1" t="n">
        <v>174</v>
      </c>
      <c r="BD947" s="1"/>
      <c r="BE947" s="1" t="s">
        <v>16827</v>
      </c>
      <c r="BF947" s="1" t="str">
        <f aca="false">HYPERLINK("http://dx.doi.org/10.1007/978-3-031-49266-2_11","http://dx.doi.org/10.1007/978-3-031-49266-2_11")</f>
        <v>http://dx.doi.org/10.1007/978-3-031-49266-2_11</v>
      </c>
      <c r="BG947" s="1"/>
      <c r="BH947" s="1"/>
      <c r="BI947" s="1" t="n">
        <v>16</v>
      </c>
      <c r="BJ947" s="1" t="s">
        <v>994</v>
      </c>
      <c r="BK947" s="1" t="s">
        <v>100</v>
      </c>
      <c r="BL947" s="1" t="s">
        <v>101</v>
      </c>
      <c r="BM947" s="1" t="s">
        <v>12422</v>
      </c>
      <c r="BN947" s="1"/>
      <c r="BO947" s="1"/>
      <c r="BP947" s="1"/>
      <c r="BQ947" s="1"/>
      <c r="BR947" s="1" t="s">
        <v>103</v>
      </c>
      <c r="BS947" s="1" t="s">
        <v>16828</v>
      </c>
      <c r="BT947" s="1" t="str">
        <f aca="false">HYPERLINK("https%3A%2F%2Fwww.webofscience.com%2Fwos%2Fwoscc%2Ffull-record%2FWOS:001157572800011","View Full Record in Web of Science")</f>
        <v>View Full Record in Web of Science</v>
      </c>
    </row>
    <row r="948" customFormat="false" ht="12.75" hidden="false" customHeight="false" outlineLevel="0" collapsed="false">
      <c r="A948" s="1" t="s">
        <v>181</v>
      </c>
      <c r="B948" s="1" t="s">
        <v>16829</v>
      </c>
      <c r="C948" s="1"/>
      <c r="D948" s="1"/>
      <c r="E948" s="1"/>
      <c r="F948" s="1" t="s">
        <v>16830</v>
      </c>
      <c r="G948" s="1"/>
      <c r="H948" s="1"/>
      <c r="I948" s="1" t="s">
        <v>16831</v>
      </c>
      <c r="J948" s="1" t="s">
        <v>5821</v>
      </c>
      <c r="K948" s="1"/>
      <c r="L948" s="1"/>
      <c r="M948" s="1" t="s">
        <v>78</v>
      </c>
      <c r="N948" s="1" t="s">
        <v>186</v>
      </c>
      <c r="O948" s="1"/>
      <c r="P948" s="1"/>
      <c r="Q948" s="1"/>
      <c r="R948" s="1"/>
      <c r="S948" s="1"/>
      <c r="T948" s="1" t="s">
        <v>16832</v>
      </c>
      <c r="U948" s="1" t="s">
        <v>16833</v>
      </c>
      <c r="V948" s="1" t="s">
        <v>16834</v>
      </c>
      <c r="W948" s="1" t="s">
        <v>16835</v>
      </c>
      <c r="X948" s="1" t="s">
        <v>16836</v>
      </c>
      <c r="Y948" s="1" t="s">
        <v>16837</v>
      </c>
      <c r="Z948" s="1" t="s">
        <v>16838</v>
      </c>
      <c r="AA948" s="1" t="s">
        <v>16839</v>
      </c>
      <c r="AB948" s="1" t="s">
        <v>16840</v>
      </c>
      <c r="AC948" s="1" t="s">
        <v>16841</v>
      </c>
      <c r="AD948" s="1" t="s">
        <v>16842</v>
      </c>
      <c r="AE948" s="1" t="s">
        <v>16843</v>
      </c>
      <c r="AF948" s="1"/>
      <c r="AG948" s="1" t="n">
        <v>47</v>
      </c>
      <c r="AH948" s="1" t="n">
        <v>2</v>
      </c>
      <c r="AI948" s="1" t="n">
        <v>2</v>
      </c>
      <c r="AJ948" s="1" t="n">
        <v>0</v>
      </c>
      <c r="AK948" s="1" t="n">
        <v>5</v>
      </c>
      <c r="AL948" s="1" t="s">
        <v>195</v>
      </c>
      <c r="AM948" s="1" t="s">
        <v>196</v>
      </c>
      <c r="AN948" s="1" t="s">
        <v>197</v>
      </c>
      <c r="AO948" s="1" t="s">
        <v>5833</v>
      </c>
      <c r="AP948" s="1" t="s">
        <v>5834</v>
      </c>
      <c r="AQ948" s="1"/>
      <c r="AR948" s="1" t="s">
        <v>5835</v>
      </c>
      <c r="AS948" s="1" t="s">
        <v>5836</v>
      </c>
      <c r="AT948" s="1"/>
      <c r="AU948" s="1" t="n">
        <v>2022</v>
      </c>
      <c r="AV948" s="1" t="n">
        <v>60</v>
      </c>
      <c r="AW948" s="1"/>
      <c r="AX948" s="1"/>
      <c r="AY948" s="1"/>
      <c r="AZ948" s="1"/>
      <c r="BA948" s="1"/>
      <c r="BB948" s="1"/>
      <c r="BC948" s="1"/>
      <c r="BD948" s="1"/>
      <c r="BE948" s="1" t="s">
        <v>16844</v>
      </c>
      <c r="BF948" s="1" t="str">
        <f aca="false">HYPERLINK("http://dx.doi.org/10.1109/TGRS.2021.3105694","http://dx.doi.org/10.1109/TGRS.2021.3105694")</f>
        <v>http://dx.doi.org/10.1109/TGRS.2021.3105694</v>
      </c>
      <c r="BG948" s="1"/>
      <c r="BH948" s="1" t="s">
        <v>5561</v>
      </c>
      <c r="BI948" s="1" t="n">
        <v>12</v>
      </c>
      <c r="BJ948" s="1" t="s">
        <v>203</v>
      </c>
      <c r="BK948" s="1" t="s">
        <v>204</v>
      </c>
      <c r="BL948" s="1" t="s">
        <v>205</v>
      </c>
      <c r="BM948" s="1" t="s">
        <v>16845</v>
      </c>
      <c r="BN948" s="1"/>
      <c r="BO948" s="1" t="s">
        <v>2335</v>
      </c>
      <c r="BP948" s="1"/>
      <c r="BQ948" s="1"/>
      <c r="BR948" s="1" t="s">
        <v>103</v>
      </c>
      <c r="BS948" s="1" t="s">
        <v>16846</v>
      </c>
      <c r="BT948" s="1" t="str">
        <f aca="false">HYPERLINK("https%3A%2F%2Fwww.webofscience.com%2Fwos%2Fwoscc%2Ffull-record%2FWOS:000733503400001","View Full Record in Web of Science")</f>
        <v>View Full Record in Web of Science</v>
      </c>
    </row>
    <row r="949" customFormat="false" ht="12.75" hidden="false" customHeight="false" outlineLevel="0" collapsed="false">
      <c r="A949" s="1" t="s">
        <v>181</v>
      </c>
      <c r="B949" s="1" t="s">
        <v>16847</v>
      </c>
      <c r="C949" s="1"/>
      <c r="D949" s="1"/>
      <c r="E949" s="1"/>
      <c r="F949" s="1" t="s">
        <v>16848</v>
      </c>
      <c r="G949" s="1"/>
      <c r="H949" s="1"/>
      <c r="I949" s="1" t="s">
        <v>16849</v>
      </c>
      <c r="J949" s="1" t="s">
        <v>7044</v>
      </c>
      <c r="K949" s="1"/>
      <c r="L949" s="1"/>
      <c r="M949" s="1" t="s">
        <v>78</v>
      </c>
      <c r="N949" s="1" t="s">
        <v>186</v>
      </c>
      <c r="O949" s="1"/>
      <c r="P949" s="1"/>
      <c r="Q949" s="1"/>
      <c r="R949" s="1"/>
      <c r="S949" s="1"/>
      <c r="T949" s="1"/>
      <c r="U949" s="1" t="s">
        <v>16850</v>
      </c>
      <c r="V949" s="1" t="s">
        <v>16851</v>
      </c>
      <c r="W949" s="1" t="s">
        <v>16852</v>
      </c>
      <c r="X949" s="1" t="s">
        <v>16853</v>
      </c>
      <c r="Y949" s="1" t="s">
        <v>16854</v>
      </c>
      <c r="Z949" s="1" t="s">
        <v>16855</v>
      </c>
      <c r="AA949" s="1" t="s">
        <v>16856</v>
      </c>
      <c r="AB949" s="1"/>
      <c r="AC949" s="1" t="s">
        <v>268</v>
      </c>
      <c r="AD949" s="1" t="s">
        <v>268</v>
      </c>
      <c r="AE949" s="1" t="s">
        <v>916</v>
      </c>
      <c r="AF949" s="1"/>
      <c r="AG949" s="1" t="n">
        <v>87</v>
      </c>
      <c r="AH949" s="1" t="n">
        <v>5</v>
      </c>
      <c r="AI949" s="1" t="n">
        <v>5</v>
      </c>
      <c r="AJ949" s="1" t="n">
        <v>4</v>
      </c>
      <c r="AK949" s="1" t="n">
        <v>12</v>
      </c>
      <c r="AL949" s="1" t="s">
        <v>7054</v>
      </c>
      <c r="AM949" s="1" t="s">
        <v>3317</v>
      </c>
      <c r="AN949" s="1" t="s">
        <v>7055</v>
      </c>
      <c r="AO949" s="1" t="s">
        <v>7056</v>
      </c>
      <c r="AP949" s="1"/>
      <c r="AQ949" s="1"/>
      <c r="AR949" s="1" t="s">
        <v>7057</v>
      </c>
      <c r="AS949" s="1" t="s">
        <v>7058</v>
      </c>
      <c r="AT949" s="1" t="s">
        <v>16857</v>
      </c>
      <c r="AU949" s="1" t="n">
        <v>2024</v>
      </c>
      <c r="AV949" s="1" t="n">
        <v>14</v>
      </c>
      <c r="AW949" s="1" t="n">
        <v>1</v>
      </c>
      <c r="AX949" s="1"/>
      <c r="AY949" s="1"/>
      <c r="AZ949" s="1"/>
      <c r="BA949" s="1"/>
      <c r="BB949" s="1"/>
      <c r="BC949" s="1"/>
      <c r="BD949" s="1" t="n">
        <v>4539</v>
      </c>
      <c r="BE949" s="1" t="s">
        <v>16858</v>
      </c>
      <c r="BF949" s="1" t="str">
        <f aca="false">HYPERLINK("http://dx.doi.org/10.1038/s41598-024-55061-1","http://dx.doi.org/10.1038/s41598-024-55061-1")</f>
        <v>http://dx.doi.org/10.1038/s41598-024-55061-1</v>
      </c>
      <c r="BG949" s="1"/>
      <c r="BH949" s="1"/>
      <c r="BI949" s="1" t="n">
        <v>17</v>
      </c>
      <c r="BJ949" s="1" t="s">
        <v>6557</v>
      </c>
      <c r="BK949" s="1" t="s">
        <v>204</v>
      </c>
      <c r="BL949" s="1" t="s">
        <v>6558</v>
      </c>
      <c r="BM949" s="1" t="s">
        <v>16859</v>
      </c>
      <c r="BN949" s="1" t="n">
        <v>38402321</v>
      </c>
      <c r="BO949" s="1" t="s">
        <v>542</v>
      </c>
      <c r="BP949" s="1"/>
      <c r="BQ949" s="1"/>
      <c r="BR949" s="1" t="s">
        <v>103</v>
      </c>
      <c r="BS949" s="1" t="s">
        <v>16860</v>
      </c>
      <c r="BT949" s="1" t="str">
        <f aca="false">HYPERLINK("https%3A%2F%2Fwww.webofscience.com%2Fwos%2Fwoscc%2Ffull-record%2FWOS:001177317400011","View Full Record in Web of Science")</f>
        <v>View Full Record in Web of Science</v>
      </c>
    </row>
    <row r="950" customFormat="false" ht="12.75" hidden="false" customHeight="false" outlineLevel="0" collapsed="false">
      <c r="A950" s="1" t="s">
        <v>181</v>
      </c>
      <c r="B950" s="1" t="s">
        <v>16861</v>
      </c>
      <c r="C950" s="1"/>
      <c r="D950" s="1"/>
      <c r="E950" s="1"/>
      <c r="F950" s="1" t="s">
        <v>16862</v>
      </c>
      <c r="G950" s="1"/>
      <c r="H950" s="1"/>
      <c r="I950" s="1" t="s">
        <v>16863</v>
      </c>
      <c r="J950" s="1" t="s">
        <v>9819</v>
      </c>
      <c r="K950" s="1"/>
      <c r="L950" s="1"/>
      <c r="M950" s="1" t="s">
        <v>78</v>
      </c>
      <c r="N950" s="1" t="s">
        <v>186</v>
      </c>
      <c r="O950" s="1"/>
      <c r="P950" s="1"/>
      <c r="Q950" s="1"/>
      <c r="R950" s="1"/>
      <c r="S950" s="1"/>
      <c r="T950" s="1" t="s">
        <v>16864</v>
      </c>
      <c r="U950" s="1" t="s">
        <v>355</v>
      </c>
      <c r="V950" s="1" t="s">
        <v>16865</v>
      </c>
      <c r="W950" s="1" t="s">
        <v>16866</v>
      </c>
      <c r="X950" s="1" t="s">
        <v>16867</v>
      </c>
      <c r="Y950" s="1" t="s">
        <v>16208</v>
      </c>
      <c r="Z950" s="1" t="s">
        <v>16868</v>
      </c>
      <c r="AA950" s="1" t="s">
        <v>16869</v>
      </c>
      <c r="AB950" s="1" t="s">
        <v>16211</v>
      </c>
      <c r="AC950" s="1"/>
      <c r="AD950" s="1"/>
      <c r="AE950" s="1"/>
      <c r="AF950" s="1"/>
      <c r="AG950" s="1" t="n">
        <v>40</v>
      </c>
      <c r="AH950" s="1" t="n">
        <v>11</v>
      </c>
      <c r="AI950" s="1" t="n">
        <v>11</v>
      </c>
      <c r="AJ950" s="1" t="n">
        <v>0</v>
      </c>
      <c r="AK950" s="1" t="n">
        <v>2</v>
      </c>
      <c r="AL950" s="1" t="s">
        <v>679</v>
      </c>
      <c r="AM950" s="1" t="s">
        <v>95</v>
      </c>
      <c r="AN950" s="1" t="s">
        <v>803</v>
      </c>
      <c r="AO950" s="1" t="s">
        <v>9825</v>
      </c>
      <c r="AP950" s="1" t="s">
        <v>9826</v>
      </c>
      <c r="AQ950" s="1"/>
      <c r="AR950" s="1" t="s">
        <v>9827</v>
      </c>
      <c r="AS950" s="1" t="s">
        <v>9828</v>
      </c>
      <c r="AT950" s="1" t="s">
        <v>2698</v>
      </c>
      <c r="AU950" s="1" t="n">
        <v>2024</v>
      </c>
      <c r="AV950" s="1" t="n">
        <v>27</v>
      </c>
      <c r="AW950" s="1" t="n">
        <v>3</v>
      </c>
      <c r="AX950" s="1"/>
      <c r="AY950" s="1"/>
      <c r="AZ950" s="1"/>
      <c r="BA950" s="1"/>
      <c r="BB950" s="1" t="n">
        <v>3717</v>
      </c>
      <c r="BC950" s="1" t="n">
        <v>3739</v>
      </c>
      <c r="BD950" s="1"/>
      <c r="BE950" s="1" t="s">
        <v>16870</v>
      </c>
      <c r="BF950" s="1" t="str">
        <f aca="false">HYPERLINK("http://dx.doi.org/10.1007/s10586-023-04161-0","http://dx.doi.org/10.1007/s10586-023-04161-0")</f>
        <v>http://dx.doi.org/10.1007/s10586-023-04161-0</v>
      </c>
      <c r="BG950" s="1"/>
      <c r="BH950" s="1" t="s">
        <v>3622</v>
      </c>
      <c r="BI950" s="1" t="n">
        <v>23</v>
      </c>
      <c r="BJ950" s="1" t="s">
        <v>4703</v>
      </c>
      <c r="BK950" s="1" t="s">
        <v>204</v>
      </c>
      <c r="BL950" s="1" t="s">
        <v>101</v>
      </c>
      <c r="BM950" s="1" t="s">
        <v>9830</v>
      </c>
      <c r="BN950" s="1"/>
      <c r="BO950" s="1"/>
      <c r="BP950" s="1"/>
      <c r="BQ950" s="1"/>
      <c r="BR950" s="1" t="s">
        <v>103</v>
      </c>
      <c r="BS950" s="1" t="s">
        <v>16871</v>
      </c>
      <c r="BT950" s="1" t="str">
        <f aca="false">HYPERLINK("https%3A%2F%2Fwww.webofscience.com%2Fwos%2Fwoscc%2Ffull-record%2FWOS:001096928400001","View Full Record in Web of Science")</f>
        <v>View Full Record in Web of Science</v>
      </c>
    </row>
    <row r="951" customFormat="false" ht="12.75" hidden="false" customHeight="false" outlineLevel="0" collapsed="false">
      <c r="A951" s="1" t="s">
        <v>181</v>
      </c>
      <c r="B951" s="1" t="s">
        <v>16872</v>
      </c>
      <c r="C951" s="1"/>
      <c r="D951" s="1"/>
      <c r="E951" s="1"/>
      <c r="F951" s="1" t="s">
        <v>16873</v>
      </c>
      <c r="G951" s="1"/>
      <c r="H951" s="1"/>
      <c r="I951" s="1" t="s">
        <v>16874</v>
      </c>
      <c r="J951" s="1" t="s">
        <v>16875</v>
      </c>
      <c r="K951" s="1"/>
      <c r="L951" s="1"/>
      <c r="M951" s="1" t="s">
        <v>78</v>
      </c>
      <c r="N951" s="1" t="s">
        <v>186</v>
      </c>
      <c r="O951" s="1"/>
      <c r="P951" s="1"/>
      <c r="Q951" s="1"/>
      <c r="R951" s="1"/>
      <c r="S951" s="1"/>
      <c r="T951" s="1" t="s">
        <v>16876</v>
      </c>
      <c r="U951" s="1" t="s">
        <v>16877</v>
      </c>
      <c r="V951" s="1" t="s">
        <v>16878</v>
      </c>
      <c r="W951" s="1" t="s">
        <v>16879</v>
      </c>
      <c r="X951" s="1" t="s">
        <v>16880</v>
      </c>
      <c r="Y951" s="1" t="s">
        <v>16881</v>
      </c>
      <c r="Z951" s="1" t="s">
        <v>16882</v>
      </c>
      <c r="AA951" s="1" t="s">
        <v>16883</v>
      </c>
      <c r="AB951" s="1" t="s">
        <v>16884</v>
      </c>
      <c r="AC951" s="1" t="s">
        <v>16885</v>
      </c>
      <c r="AD951" s="1" t="s">
        <v>16886</v>
      </c>
      <c r="AE951" s="1" t="s">
        <v>16887</v>
      </c>
      <c r="AF951" s="1"/>
      <c r="AG951" s="1" t="n">
        <v>49</v>
      </c>
      <c r="AH951" s="1" t="n">
        <v>0</v>
      </c>
      <c r="AI951" s="1" t="n">
        <v>0</v>
      </c>
      <c r="AJ951" s="1" t="n">
        <v>7</v>
      </c>
      <c r="AK951" s="1" t="n">
        <v>7</v>
      </c>
      <c r="AL951" s="1" t="s">
        <v>195</v>
      </c>
      <c r="AM951" s="1" t="s">
        <v>196</v>
      </c>
      <c r="AN951" s="1" t="s">
        <v>197</v>
      </c>
      <c r="AO951" s="1" t="s">
        <v>16888</v>
      </c>
      <c r="AP951" s="1" t="s">
        <v>16889</v>
      </c>
      <c r="AQ951" s="1"/>
      <c r="AR951" s="1" t="s">
        <v>16890</v>
      </c>
      <c r="AS951" s="1" t="s">
        <v>16891</v>
      </c>
      <c r="AT951" s="1" t="s">
        <v>372</v>
      </c>
      <c r="AU951" s="1" t="n">
        <v>2024</v>
      </c>
      <c r="AV951" s="1" t="n">
        <v>18</v>
      </c>
      <c r="AW951" s="1" t="n">
        <v>4</v>
      </c>
      <c r="AX951" s="1"/>
      <c r="AY951" s="1"/>
      <c r="AZ951" s="1"/>
      <c r="BA951" s="1"/>
      <c r="BB951" s="1" t="n">
        <v>1828</v>
      </c>
      <c r="BC951" s="1" t="n">
        <v>1838</v>
      </c>
      <c r="BD951" s="1"/>
      <c r="BE951" s="1" t="s">
        <v>16892</v>
      </c>
      <c r="BF951" s="1" t="str">
        <f aca="false">HYPERLINK("http://dx.doi.org/10.1109/JSYST.2024.3426096","http://dx.doi.org/10.1109/JSYST.2024.3426096")</f>
        <v>http://dx.doi.org/10.1109/JSYST.2024.3426096</v>
      </c>
      <c r="BG951" s="1"/>
      <c r="BH951" s="1" t="s">
        <v>4909</v>
      </c>
      <c r="BI951" s="1" t="n">
        <v>11</v>
      </c>
      <c r="BJ951" s="1" t="s">
        <v>16893</v>
      </c>
      <c r="BK951" s="1" t="s">
        <v>204</v>
      </c>
      <c r="BL951" s="1" t="s">
        <v>16894</v>
      </c>
      <c r="BM951" s="1" t="s">
        <v>16895</v>
      </c>
      <c r="BN951" s="1"/>
      <c r="BO951" s="1"/>
      <c r="BP951" s="1"/>
      <c r="BQ951" s="1"/>
      <c r="BR951" s="1" t="s">
        <v>103</v>
      </c>
      <c r="BS951" s="1" t="s">
        <v>16896</v>
      </c>
      <c r="BT951" s="1" t="str">
        <f aca="false">HYPERLINK("https%3A%2F%2Fwww.webofscience.com%2Fwos%2Fwoscc%2Ffull-record%2FWOS:001279037300001","View Full Record in Web of Science")</f>
        <v>View Full Record in Web of Science</v>
      </c>
    </row>
    <row r="952" customFormat="false" ht="12.75" hidden="false" customHeight="false" outlineLevel="0" collapsed="false">
      <c r="A952" s="1" t="s">
        <v>181</v>
      </c>
      <c r="B952" s="1" t="s">
        <v>16897</v>
      </c>
      <c r="C952" s="1"/>
      <c r="D952" s="1"/>
      <c r="E952" s="1"/>
      <c r="F952" s="1" t="s">
        <v>16898</v>
      </c>
      <c r="G952" s="1"/>
      <c r="H952" s="1"/>
      <c r="I952" s="1" t="s">
        <v>16899</v>
      </c>
      <c r="J952" s="1" t="s">
        <v>16900</v>
      </c>
      <c r="K952" s="1"/>
      <c r="L952" s="1"/>
      <c r="M952" s="1" t="s">
        <v>78</v>
      </c>
      <c r="N952" s="1" t="s">
        <v>186</v>
      </c>
      <c r="O952" s="1"/>
      <c r="P952" s="1"/>
      <c r="Q952" s="1"/>
      <c r="R952" s="1"/>
      <c r="S952" s="1"/>
      <c r="T952" s="1" t="s">
        <v>16901</v>
      </c>
      <c r="U952" s="1" t="s">
        <v>16902</v>
      </c>
      <c r="V952" s="1" t="s">
        <v>16903</v>
      </c>
      <c r="W952" s="1" t="s">
        <v>16904</v>
      </c>
      <c r="X952" s="1" t="s">
        <v>16905</v>
      </c>
      <c r="Y952" s="1" t="s">
        <v>16906</v>
      </c>
      <c r="Z952" s="1" t="s">
        <v>15476</v>
      </c>
      <c r="AA952" s="1" t="s">
        <v>15477</v>
      </c>
      <c r="AB952" s="1" t="s">
        <v>16907</v>
      </c>
      <c r="AC952" s="1" t="s">
        <v>16908</v>
      </c>
      <c r="AD952" s="1" t="s">
        <v>16909</v>
      </c>
      <c r="AE952" s="1" t="s">
        <v>16910</v>
      </c>
      <c r="AF952" s="1"/>
      <c r="AG952" s="1" t="n">
        <v>38</v>
      </c>
      <c r="AH952" s="1" t="n">
        <v>2</v>
      </c>
      <c r="AI952" s="1" t="n">
        <v>2</v>
      </c>
      <c r="AJ952" s="1" t="n">
        <v>0</v>
      </c>
      <c r="AK952" s="1" t="n">
        <v>2</v>
      </c>
      <c r="AL952" s="1" t="s">
        <v>16911</v>
      </c>
      <c r="AM952" s="1" t="s">
        <v>1908</v>
      </c>
      <c r="AN952" s="1" t="s">
        <v>16912</v>
      </c>
      <c r="AO952" s="1" t="s">
        <v>16913</v>
      </c>
      <c r="AP952" s="1"/>
      <c r="AQ952" s="1"/>
      <c r="AR952" s="1" t="s">
        <v>16900</v>
      </c>
      <c r="AS952" s="1" t="s">
        <v>16914</v>
      </c>
      <c r="AT952" s="1" t="s">
        <v>1362</v>
      </c>
      <c r="AU952" s="1" t="n">
        <v>2022</v>
      </c>
      <c r="AV952" s="1" t="n">
        <v>12</v>
      </c>
      <c r="AW952" s="1" t="n">
        <v>10</v>
      </c>
      <c r="AX952" s="1"/>
      <c r="AY952" s="1"/>
      <c r="AZ952" s="1"/>
      <c r="BA952" s="1"/>
      <c r="BB952" s="1"/>
      <c r="BC952" s="1"/>
      <c r="BD952" s="1" t="s">
        <v>16915</v>
      </c>
      <c r="BE952" s="1" t="s">
        <v>16916</v>
      </c>
      <c r="BF952" s="1" t="str">
        <f aca="false">HYPERLINK("http://dx.doi.org/10.1136/bmjopen-2021-060683","http://dx.doi.org/10.1136/bmjopen-2021-060683")</f>
        <v>http://dx.doi.org/10.1136/bmjopen-2021-060683</v>
      </c>
      <c r="BG952" s="1"/>
      <c r="BH952" s="1"/>
      <c r="BI952" s="1" t="n">
        <v>9</v>
      </c>
      <c r="BJ952" s="1" t="s">
        <v>16917</v>
      </c>
      <c r="BK952" s="1" t="s">
        <v>204</v>
      </c>
      <c r="BL952" s="1" t="s">
        <v>6693</v>
      </c>
      <c r="BM952" s="1" t="s">
        <v>16918</v>
      </c>
      <c r="BN952" s="1" t="n">
        <v>36302578</v>
      </c>
      <c r="BO952" s="1" t="s">
        <v>401</v>
      </c>
      <c r="BP952" s="1"/>
      <c r="BQ952" s="1"/>
      <c r="BR952" s="1" t="s">
        <v>103</v>
      </c>
      <c r="BS952" s="1" t="s">
        <v>16919</v>
      </c>
      <c r="BT952" s="1" t="str">
        <f aca="false">HYPERLINK("https%3A%2F%2Fwww.webofscience.com%2Fwos%2Fwoscc%2Ffull-record%2FWOS:000877107000018","View Full Record in Web of Science")</f>
        <v>View Full Record in Web of Science</v>
      </c>
    </row>
    <row r="953" customFormat="false" ht="12.75" hidden="false" customHeight="false" outlineLevel="0" collapsed="false">
      <c r="A953" s="1" t="s">
        <v>181</v>
      </c>
      <c r="B953" s="1" t="s">
        <v>16920</v>
      </c>
      <c r="C953" s="1"/>
      <c r="D953" s="1"/>
      <c r="E953" s="1"/>
      <c r="F953" s="1" t="s">
        <v>16921</v>
      </c>
      <c r="G953" s="1"/>
      <c r="H953" s="1"/>
      <c r="I953" s="1" t="s">
        <v>16922</v>
      </c>
      <c r="J953" s="1" t="s">
        <v>16923</v>
      </c>
      <c r="K953" s="1"/>
      <c r="L953" s="1"/>
      <c r="M953" s="1" t="s">
        <v>78</v>
      </c>
      <c r="N953" s="1" t="s">
        <v>186</v>
      </c>
      <c r="O953" s="1"/>
      <c r="P953" s="1"/>
      <c r="Q953" s="1"/>
      <c r="R953" s="1"/>
      <c r="S953" s="1"/>
      <c r="T953" s="1" t="s">
        <v>16924</v>
      </c>
      <c r="U953" s="1" t="s">
        <v>16925</v>
      </c>
      <c r="V953" s="1" t="s">
        <v>16926</v>
      </c>
      <c r="W953" s="1" t="s">
        <v>16927</v>
      </c>
      <c r="X953" s="1" t="s">
        <v>16928</v>
      </c>
      <c r="Y953" s="1" t="s">
        <v>16929</v>
      </c>
      <c r="Z953" s="1" t="s">
        <v>16930</v>
      </c>
      <c r="AA953" s="1" t="s">
        <v>16931</v>
      </c>
      <c r="AB953" s="1"/>
      <c r="AC953" s="1"/>
      <c r="AD953" s="1"/>
      <c r="AE953" s="1"/>
      <c r="AF953" s="1"/>
      <c r="AG953" s="1" t="n">
        <v>67</v>
      </c>
      <c r="AH953" s="1" t="n">
        <v>11</v>
      </c>
      <c r="AI953" s="1" t="n">
        <v>11</v>
      </c>
      <c r="AJ953" s="1" t="n">
        <v>19</v>
      </c>
      <c r="AK953" s="1" t="n">
        <v>28</v>
      </c>
      <c r="AL953" s="1" t="s">
        <v>8308</v>
      </c>
      <c r="AM953" s="1" t="s">
        <v>8309</v>
      </c>
      <c r="AN953" s="1" t="s">
        <v>8310</v>
      </c>
      <c r="AO953" s="1" t="s">
        <v>16932</v>
      </c>
      <c r="AP953" s="1" t="s">
        <v>16933</v>
      </c>
      <c r="AQ953" s="1"/>
      <c r="AR953" s="1" t="s">
        <v>16923</v>
      </c>
      <c r="AS953" s="1" t="s">
        <v>16934</v>
      </c>
      <c r="AT953" s="1" t="s">
        <v>808</v>
      </c>
      <c r="AU953" s="1" t="n">
        <v>2024</v>
      </c>
      <c r="AV953" s="1" t="n">
        <v>106</v>
      </c>
      <c r="AW953" s="1" t="n">
        <v>7</v>
      </c>
      <c r="AX953" s="1"/>
      <c r="AY953" s="1"/>
      <c r="AZ953" s="1" t="s">
        <v>1698</v>
      </c>
      <c r="BA953" s="1"/>
      <c r="BB953" s="1" t="n">
        <v>2321</v>
      </c>
      <c r="BC953" s="1" t="n">
        <v>2359</v>
      </c>
      <c r="BD953" s="1"/>
      <c r="BE953" s="1" t="s">
        <v>16935</v>
      </c>
      <c r="BF953" s="1" t="str">
        <f aca="false">HYPERLINK("http://dx.doi.org/10.1007/s00607-024-01287-w","http://dx.doi.org/10.1007/s00607-024-01287-w")</f>
        <v>http://dx.doi.org/10.1007/s00607-024-01287-w</v>
      </c>
      <c r="BG953" s="1"/>
      <c r="BH953" s="1" t="s">
        <v>2275</v>
      </c>
      <c r="BI953" s="1" t="n">
        <v>39</v>
      </c>
      <c r="BJ953" s="1" t="s">
        <v>2136</v>
      </c>
      <c r="BK953" s="1" t="s">
        <v>204</v>
      </c>
      <c r="BL953" s="1" t="s">
        <v>101</v>
      </c>
      <c r="BM953" s="1" t="s">
        <v>16936</v>
      </c>
      <c r="BN953" s="1"/>
      <c r="BO953" s="1"/>
      <c r="BP953" s="1"/>
      <c r="BQ953" s="1"/>
      <c r="BR953" s="1" t="s">
        <v>103</v>
      </c>
      <c r="BS953" s="1" t="s">
        <v>16937</v>
      </c>
      <c r="BT953" s="1" t="str">
        <f aca="false">HYPERLINK("https%3A%2F%2Fwww.webofscience.com%2Fwos%2Fwoscc%2Ffull-record%2FWOS:001204703500001","View Full Record in Web of Science")</f>
        <v>View Full Record in Web of Science</v>
      </c>
    </row>
    <row r="954" customFormat="false" ht="12.75" hidden="false" customHeight="false" outlineLevel="0" collapsed="false">
      <c r="A954" s="1" t="s">
        <v>181</v>
      </c>
      <c r="B954" s="1" t="s">
        <v>16938</v>
      </c>
      <c r="C954" s="1"/>
      <c r="D954" s="1"/>
      <c r="E954" s="1"/>
      <c r="F954" s="1" t="s">
        <v>16939</v>
      </c>
      <c r="G954" s="1"/>
      <c r="H954" s="1"/>
      <c r="I954" s="1" t="s">
        <v>16940</v>
      </c>
      <c r="J954" s="1" t="s">
        <v>3700</v>
      </c>
      <c r="K954" s="1"/>
      <c r="L954" s="1"/>
      <c r="M954" s="1" t="s">
        <v>78</v>
      </c>
      <c r="N954" s="1" t="s">
        <v>186</v>
      </c>
      <c r="O954" s="1"/>
      <c r="P954" s="1"/>
      <c r="Q954" s="1"/>
      <c r="R954" s="1"/>
      <c r="S954" s="1"/>
      <c r="T954" s="1" t="s">
        <v>16941</v>
      </c>
      <c r="U954" s="1" t="s">
        <v>16942</v>
      </c>
      <c r="V954" s="1" t="s">
        <v>16943</v>
      </c>
      <c r="W954" s="1" t="s">
        <v>16944</v>
      </c>
      <c r="X954" s="1" t="s">
        <v>16945</v>
      </c>
      <c r="Y954" s="1" t="s">
        <v>16946</v>
      </c>
      <c r="Z954" s="1"/>
      <c r="AA954" s="1" t="s">
        <v>16947</v>
      </c>
      <c r="AB954" s="1" t="s">
        <v>16948</v>
      </c>
      <c r="AC954" s="1" t="s">
        <v>16949</v>
      </c>
      <c r="AD954" s="1" t="s">
        <v>16950</v>
      </c>
      <c r="AE954" s="1" t="s">
        <v>16951</v>
      </c>
      <c r="AF954" s="1"/>
      <c r="AG954" s="1" t="n">
        <v>54</v>
      </c>
      <c r="AH954" s="1" t="n">
        <v>5</v>
      </c>
      <c r="AI954" s="1" t="n">
        <v>5</v>
      </c>
      <c r="AJ954" s="1" t="n">
        <v>1</v>
      </c>
      <c r="AK954" s="1" t="n">
        <v>5</v>
      </c>
      <c r="AL954" s="1" t="s">
        <v>3711</v>
      </c>
      <c r="AM954" s="1" t="s">
        <v>95</v>
      </c>
      <c r="AN954" s="1" t="s">
        <v>3712</v>
      </c>
      <c r="AO954" s="1" t="s">
        <v>3713</v>
      </c>
      <c r="AP954" s="1" t="s">
        <v>3714</v>
      </c>
      <c r="AQ954" s="1"/>
      <c r="AR954" s="1" t="s">
        <v>3715</v>
      </c>
      <c r="AS954" s="1" t="s">
        <v>3716</v>
      </c>
      <c r="AT954" s="1" t="s">
        <v>1391</v>
      </c>
      <c r="AU954" s="1" t="n">
        <v>2022</v>
      </c>
      <c r="AV954" s="1" t="n">
        <v>193</v>
      </c>
      <c r="AW954" s="1"/>
      <c r="AX954" s="1"/>
      <c r="AY954" s="1"/>
      <c r="AZ954" s="1"/>
      <c r="BA954" s="1"/>
      <c r="BB954" s="1"/>
      <c r="BC954" s="1"/>
      <c r="BD954" s="1" t="n">
        <v>111446</v>
      </c>
      <c r="BE954" s="1" t="s">
        <v>16952</v>
      </c>
      <c r="BF954" s="1" t="str">
        <f aca="false">HYPERLINK("http://dx.doi.org/10.1016/j.jss.2022.111446","http://dx.doi.org/10.1016/j.jss.2022.111446")</f>
        <v>http://dx.doi.org/10.1016/j.jss.2022.111446</v>
      </c>
      <c r="BG954" s="1"/>
      <c r="BH954" s="1"/>
      <c r="BI954" s="1" t="n">
        <v>21</v>
      </c>
      <c r="BJ954" s="1" t="s">
        <v>994</v>
      </c>
      <c r="BK954" s="1" t="s">
        <v>204</v>
      </c>
      <c r="BL954" s="1" t="s">
        <v>101</v>
      </c>
      <c r="BM954" s="1" t="s">
        <v>6184</v>
      </c>
      <c r="BN954" s="1"/>
      <c r="BO954" s="1" t="s">
        <v>227</v>
      </c>
      <c r="BP954" s="1"/>
      <c r="BQ954" s="1"/>
      <c r="BR954" s="1" t="s">
        <v>103</v>
      </c>
      <c r="BS954" s="1" t="s">
        <v>16953</v>
      </c>
      <c r="BT954" s="1" t="str">
        <f aca="false">HYPERLINK("https%3A%2F%2Fwww.webofscience.com%2Fwos%2Fwoscc%2Ffull-record%2FWOS:000967989300011","View Full Record in Web of Science")</f>
        <v>View Full Record in Web of Science</v>
      </c>
    </row>
    <row r="955" customFormat="false" ht="12.75" hidden="false" customHeight="false" outlineLevel="0" collapsed="false">
      <c r="A955" s="1" t="s">
        <v>181</v>
      </c>
      <c r="B955" s="1" t="s">
        <v>16954</v>
      </c>
      <c r="C955" s="1"/>
      <c r="D955" s="1"/>
      <c r="E955" s="1"/>
      <c r="F955" s="1" t="s">
        <v>16955</v>
      </c>
      <c r="G955" s="1"/>
      <c r="H955" s="1"/>
      <c r="I955" s="1" t="s">
        <v>16956</v>
      </c>
      <c r="J955" s="1" t="s">
        <v>14368</v>
      </c>
      <c r="K955" s="1"/>
      <c r="L955" s="1"/>
      <c r="M955" s="1" t="s">
        <v>78</v>
      </c>
      <c r="N955" s="1" t="s">
        <v>186</v>
      </c>
      <c r="O955" s="1"/>
      <c r="P955" s="1"/>
      <c r="Q955" s="1"/>
      <c r="R955" s="1"/>
      <c r="S955" s="1"/>
      <c r="T955" s="1" t="s">
        <v>16957</v>
      </c>
      <c r="U955" s="1" t="s">
        <v>16958</v>
      </c>
      <c r="V955" s="1" t="s">
        <v>16959</v>
      </c>
      <c r="W955" s="1" t="s">
        <v>16960</v>
      </c>
      <c r="X955" s="1" t="s">
        <v>16961</v>
      </c>
      <c r="Y955" s="1" t="s">
        <v>16962</v>
      </c>
      <c r="Z955" s="1" t="s">
        <v>16963</v>
      </c>
      <c r="AA955" s="1" t="s">
        <v>16964</v>
      </c>
      <c r="AB955" s="1" t="s">
        <v>16965</v>
      </c>
      <c r="AC955" s="1" t="s">
        <v>16966</v>
      </c>
      <c r="AD955" s="1" t="s">
        <v>16966</v>
      </c>
      <c r="AE955" s="1" t="s">
        <v>16967</v>
      </c>
      <c r="AF955" s="1"/>
      <c r="AG955" s="1" t="n">
        <v>31</v>
      </c>
      <c r="AH955" s="1" t="n">
        <v>22</v>
      </c>
      <c r="AI955" s="1" t="n">
        <v>22</v>
      </c>
      <c r="AJ955" s="1" t="n">
        <v>0</v>
      </c>
      <c r="AK955" s="1" t="n">
        <v>3</v>
      </c>
      <c r="AL955" s="1" t="s">
        <v>600</v>
      </c>
      <c r="AM955" s="1" t="s">
        <v>601</v>
      </c>
      <c r="AN955" s="1" t="s">
        <v>602</v>
      </c>
      <c r="AO955" s="1" t="s">
        <v>14378</v>
      </c>
      <c r="AP955" s="1" t="s">
        <v>14379</v>
      </c>
      <c r="AQ955" s="1"/>
      <c r="AR955" s="1" t="s">
        <v>14380</v>
      </c>
      <c r="AS955" s="1" t="s">
        <v>14381</v>
      </c>
      <c r="AT955" s="1" t="s">
        <v>421</v>
      </c>
      <c r="AU955" s="1" t="n">
        <v>2021</v>
      </c>
      <c r="AV955" s="1" t="n">
        <v>110</v>
      </c>
      <c r="AW955" s="1" t="n">
        <v>4</v>
      </c>
      <c r="AX955" s="1"/>
      <c r="AY955" s="1"/>
      <c r="AZ955" s="1"/>
      <c r="BA955" s="1"/>
      <c r="BB955" s="1" t="n">
        <v>1249</v>
      </c>
      <c r="BC955" s="1" t="n">
        <v>1256</v>
      </c>
      <c r="BD955" s="1"/>
      <c r="BE955" s="1" t="s">
        <v>16968</v>
      </c>
      <c r="BF955" s="1" t="str">
        <f aca="false">HYPERLINK("http://dx.doi.org/10.1111/apa.15617","http://dx.doi.org/10.1111/apa.15617")</f>
        <v>http://dx.doi.org/10.1111/apa.15617</v>
      </c>
      <c r="BG955" s="1"/>
      <c r="BH955" s="1" t="s">
        <v>608</v>
      </c>
      <c r="BI955" s="1" t="n">
        <v>8</v>
      </c>
      <c r="BJ955" s="1" t="s">
        <v>14383</v>
      </c>
      <c r="BK955" s="1" t="s">
        <v>204</v>
      </c>
      <c r="BL955" s="1" t="s">
        <v>14383</v>
      </c>
      <c r="BM955" s="1" t="s">
        <v>16969</v>
      </c>
      <c r="BN955" s="1" t="n">
        <v>33047349</v>
      </c>
      <c r="BO955" s="1" t="s">
        <v>207</v>
      </c>
      <c r="BP955" s="1"/>
      <c r="BQ955" s="1"/>
      <c r="BR955" s="1" t="s">
        <v>103</v>
      </c>
      <c r="BS955" s="1" t="s">
        <v>16970</v>
      </c>
      <c r="BT955" s="1" t="str">
        <f aca="false">HYPERLINK("https%3A%2F%2Fwww.webofscience.com%2Fwos%2Fwoscc%2Ffull-record%2FWOS:000583231300001","View Full Record in Web of Science")</f>
        <v>View Full Record in Web of Science</v>
      </c>
    </row>
    <row r="956" customFormat="false" ht="12.75" hidden="false" customHeight="false" outlineLevel="0" collapsed="false">
      <c r="A956" s="1" t="s">
        <v>181</v>
      </c>
      <c r="B956" s="1" t="s">
        <v>16971</v>
      </c>
      <c r="C956" s="1"/>
      <c r="D956" s="1"/>
      <c r="E956" s="1"/>
      <c r="F956" s="1" t="s">
        <v>16972</v>
      </c>
      <c r="G956" s="1"/>
      <c r="H956" s="1"/>
      <c r="I956" s="1" t="s">
        <v>16973</v>
      </c>
      <c r="J956" s="1" t="s">
        <v>2525</v>
      </c>
      <c r="K956" s="1"/>
      <c r="L956" s="1"/>
      <c r="M956" s="1" t="s">
        <v>78</v>
      </c>
      <c r="N956" s="1" t="s">
        <v>186</v>
      </c>
      <c r="O956" s="1"/>
      <c r="P956" s="1"/>
      <c r="Q956" s="1"/>
      <c r="R956" s="1"/>
      <c r="S956" s="1"/>
      <c r="T956" s="1" t="s">
        <v>16974</v>
      </c>
      <c r="U956" s="1"/>
      <c r="V956" s="1" t="s">
        <v>16975</v>
      </c>
      <c r="W956" s="1" t="s">
        <v>16976</v>
      </c>
      <c r="X956" s="1" t="s">
        <v>16977</v>
      </c>
      <c r="Y956" s="1" t="s">
        <v>16978</v>
      </c>
      <c r="Z956" s="1" t="s">
        <v>16979</v>
      </c>
      <c r="AA956" s="1" t="s">
        <v>16980</v>
      </c>
      <c r="AB956" s="1" t="s">
        <v>16981</v>
      </c>
      <c r="AC956" s="1" t="s">
        <v>16982</v>
      </c>
      <c r="AD956" s="1" t="s">
        <v>16983</v>
      </c>
      <c r="AE956" s="1" t="s">
        <v>16984</v>
      </c>
      <c r="AF956" s="1"/>
      <c r="AG956" s="1" t="n">
        <v>47</v>
      </c>
      <c r="AH956" s="1" t="n">
        <v>8</v>
      </c>
      <c r="AI956" s="1" t="n">
        <v>8</v>
      </c>
      <c r="AJ956" s="1" t="n">
        <v>37</v>
      </c>
      <c r="AK956" s="1" t="n">
        <v>50</v>
      </c>
      <c r="AL956" s="1" t="s">
        <v>893</v>
      </c>
      <c r="AM956" s="1" t="s">
        <v>894</v>
      </c>
      <c r="AN956" s="1" t="s">
        <v>895</v>
      </c>
      <c r="AO956" s="1" t="s">
        <v>2535</v>
      </c>
      <c r="AP956" s="1" t="s">
        <v>2536</v>
      </c>
      <c r="AQ956" s="1"/>
      <c r="AR956" s="1" t="s">
        <v>2537</v>
      </c>
      <c r="AS956" s="1" t="s">
        <v>2538</v>
      </c>
      <c r="AT956" s="1" t="s">
        <v>1362</v>
      </c>
      <c r="AU956" s="1" t="n">
        <v>2024</v>
      </c>
      <c r="AV956" s="1" t="n">
        <v>161</v>
      </c>
      <c r="AW956" s="1"/>
      <c r="AX956" s="1"/>
      <c r="AY956" s="1"/>
      <c r="AZ956" s="1"/>
      <c r="BA956" s="1"/>
      <c r="BB956" s="1"/>
      <c r="BC956" s="1"/>
      <c r="BD956" s="1" t="n">
        <v>104109</v>
      </c>
      <c r="BE956" s="1" t="s">
        <v>16985</v>
      </c>
      <c r="BF956" s="1" t="str">
        <f aca="false">HYPERLINK("http://dx.doi.org/10.1016/j.compind.2024.104109","http://dx.doi.org/10.1016/j.compind.2024.104109")</f>
        <v>http://dx.doi.org/10.1016/j.compind.2024.104109</v>
      </c>
      <c r="BG956" s="1"/>
      <c r="BH956" s="1" t="s">
        <v>2002</v>
      </c>
      <c r="BI956" s="1" t="n">
        <v>19</v>
      </c>
      <c r="BJ956" s="1" t="s">
        <v>946</v>
      </c>
      <c r="BK956" s="1" t="s">
        <v>204</v>
      </c>
      <c r="BL956" s="1" t="s">
        <v>101</v>
      </c>
      <c r="BM956" s="1" t="s">
        <v>16986</v>
      </c>
      <c r="BN956" s="1"/>
      <c r="BO956" s="1"/>
      <c r="BP956" s="1"/>
      <c r="BQ956" s="1"/>
      <c r="BR956" s="1" t="s">
        <v>103</v>
      </c>
      <c r="BS956" s="1" t="s">
        <v>16987</v>
      </c>
      <c r="BT956" s="1" t="str">
        <f aca="false">HYPERLINK("https%3A%2F%2Fwww.webofscience.com%2Fwos%2Fwoscc%2Ffull-record%2FWOS:001249057000001","View Full Record in Web of Science")</f>
        <v>View Full Record in Web of Science</v>
      </c>
    </row>
    <row r="957" customFormat="false" ht="12.75" hidden="false" customHeight="false" outlineLevel="0" collapsed="false">
      <c r="A957" s="1" t="s">
        <v>181</v>
      </c>
      <c r="B957" s="1" t="s">
        <v>16988</v>
      </c>
      <c r="C957" s="1"/>
      <c r="D957" s="1"/>
      <c r="E957" s="1"/>
      <c r="F957" s="1" t="s">
        <v>16989</v>
      </c>
      <c r="G957" s="1"/>
      <c r="H957" s="1"/>
      <c r="I957" s="1" t="s">
        <v>16990</v>
      </c>
      <c r="J957" s="1" t="s">
        <v>16991</v>
      </c>
      <c r="K957" s="1"/>
      <c r="L957" s="1"/>
      <c r="M957" s="1" t="s">
        <v>78</v>
      </c>
      <c r="N957" s="1" t="s">
        <v>186</v>
      </c>
      <c r="O957" s="1"/>
      <c r="P957" s="1"/>
      <c r="Q957" s="1"/>
      <c r="R957" s="1"/>
      <c r="S957" s="1"/>
      <c r="T957" s="1" t="s">
        <v>16992</v>
      </c>
      <c r="U957" s="1" t="s">
        <v>16993</v>
      </c>
      <c r="V957" s="1" t="s">
        <v>16994</v>
      </c>
      <c r="W957" s="1" t="s">
        <v>16995</v>
      </c>
      <c r="X957" s="1" t="s">
        <v>16961</v>
      </c>
      <c r="Y957" s="1" t="s">
        <v>16996</v>
      </c>
      <c r="Z957" s="1" t="s">
        <v>16963</v>
      </c>
      <c r="AA957" s="1" t="s">
        <v>16997</v>
      </c>
      <c r="AB957" s="1" t="s">
        <v>16998</v>
      </c>
      <c r="AC957" s="1"/>
      <c r="AD957" s="1"/>
      <c r="AE957" s="1"/>
      <c r="AF957" s="1"/>
      <c r="AG957" s="1" t="n">
        <v>34</v>
      </c>
      <c r="AH957" s="1" t="n">
        <v>8</v>
      </c>
      <c r="AI957" s="1" t="n">
        <v>9</v>
      </c>
      <c r="AJ957" s="1" t="n">
        <v>0</v>
      </c>
      <c r="AK957" s="1" t="n">
        <v>7</v>
      </c>
      <c r="AL957" s="1" t="s">
        <v>5713</v>
      </c>
      <c r="AM957" s="1" t="s">
        <v>1908</v>
      </c>
      <c r="AN957" s="1" t="s">
        <v>5714</v>
      </c>
      <c r="AO957" s="1"/>
      <c r="AP957" s="1" t="s">
        <v>16999</v>
      </c>
      <c r="AQ957" s="1"/>
      <c r="AR957" s="1" t="s">
        <v>17000</v>
      </c>
      <c r="AS957" s="1" t="s">
        <v>17001</v>
      </c>
      <c r="AT957" s="1" t="s">
        <v>474</v>
      </c>
      <c r="AU957" s="1" t="n">
        <v>2020</v>
      </c>
      <c r="AV957" s="1" t="n">
        <v>9</v>
      </c>
      <c r="AW957" s="1" t="n">
        <v>9</v>
      </c>
      <c r="AX957" s="1"/>
      <c r="AY957" s="1"/>
      <c r="AZ957" s="1"/>
      <c r="BA957" s="1"/>
      <c r="BB957" s="1"/>
      <c r="BC957" s="1"/>
      <c r="BD957" s="1" t="n">
        <v>2058460120962732</v>
      </c>
      <c r="BE957" s="1" t="s">
        <v>17002</v>
      </c>
      <c r="BF957" s="1" t="str">
        <f aca="false">HYPERLINK("http://dx.doi.org/10.1177/2058460120962732","http://dx.doi.org/10.1177/2058460120962732")</f>
        <v>http://dx.doi.org/10.1177/2058460120962732</v>
      </c>
      <c r="BG957" s="1"/>
      <c r="BH957" s="1"/>
      <c r="BI957" s="1" t="n">
        <v>9</v>
      </c>
      <c r="BJ957" s="1" t="s">
        <v>17003</v>
      </c>
      <c r="BK957" s="1" t="s">
        <v>253</v>
      </c>
      <c r="BL957" s="1" t="s">
        <v>17003</v>
      </c>
      <c r="BM957" s="1" t="s">
        <v>17004</v>
      </c>
      <c r="BN957" s="1" t="n">
        <v>33088592</v>
      </c>
      <c r="BO957" s="1" t="s">
        <v>542</v>
      </c>
      <c r="BP957" s="1"/>
      <c r="BQ957" s="1"/>
      <c r="BR957" s="1" t="s">
        <v>103</v>
      </c>
      <c r="BS957" s="1" t="s">
        <v>17005</v>
      </c>
      <c r="BT957" s="1" t="str">
        <f aca="false">HYPERLINK("https%3A%2F%2Fwww.webofscience.com%2Fwos%2Fwoscc%2Ffull-record%2FWOS:000574701900001","View Full Record in Web of Science")</f>
        <v>View Full Record in Web of Science</v>
      </c>
    </row>
    <row r="958" customFormat="false" ht="12.75" hidden="false" customHeight="false" outlineLevel="0" collapsed="false">
      <c r="A958" s="1" t="s">
        <v>181</v>
      </c>
      <c r="B958" s="1" t="s">
        <v>17006</v>
      </c>
      <c r="C958" s="1"/>
      <c r="D958" s="1"/>
      <c r="E958" s="1"/>
      <c r="F958" s="1" t="s">
        <v>17007</v>
      </c>
      <c r="G958" s="1"/>
      <c r="H958" s="1"/>
      <c r="I958" s="1" t="s">
        <v>17008</v>
      </c>
      <c r="J958" s="1" t="s">
        <v>1104</v>
      </c>
      <c r="K958" s="1"/>
      <c r="L958" s="1"/>
      <c r="M958" s="1" t="s">
        <v>78</v>
      </c>
      <c r="N958" s="1" t="s">
        <v>186</v>
      </c>
      <c r="O958" s="1"/>
      <c r="P958" s="1"/>
      <c r="Q958" s="1"/>
      <c r="R958" s="1"/>
      <c r="S958" s="1"/>
      <c r="T958" s="1" t="s">
        <v>17009</v>
      </c>
      <c r="U958" s="1" t="s">
        <v>17010</v>
      </c>
      <c r="V958" s="1" t="s">
        <v>17011</v>
      </c>
      <c r="W958" s="1" t="s">
        <v>17012</v>
      </c>
      <c r="X958" s="1" t="s">
        <v>17013</v>
      </c>
      <c r="Y958" s="1" t="s">
        <v>17014</v>
      </c>
      <c r="Z958" s="1" t="s">
        <v>17015</v>
      </c>
      <c r="AA958" s="1" t="s">
        <v>17016</v>
      </c>
      <c r="AB958" s="1" t="s">
        <v>17017</v>
      </c>
      <c r="AC958" s="1"/>
      <c r="AD958" s="1"/>
      <c r="AE958" s="1"/>
      <c r="AF958" s="1"/>
      <c r="AG958" s="1" t="n">
        <v>263</v>
      </c>
      <c r="AH958" s="1" t="n">
        <v>17</v>
      </c>
      <c r="AI958" s="1" t="n">
        <v>17</v>
      </c>
      <c r="AJ958" s="1" t="n">
        <v>0</v>
      </c>
      <c r="AK958" s="1" t="n">
        <v>14</v>
      </c>
      <c r="AL958" s="1" t="s">
        <v>195</v>
      </c>
      <c r="AM958" s="1" t="s">
        <v>196</v>
      </c>
      <c r="AN958" s="1" t="s">
        <v>197</v>
      </c>
      <c r="AO958" s="1" t="s">
        <v>1114</v>
      </c>
      <c r="AP958" s="1"/>
      <c r="AQ958" s="1"/>
      <c r="AR958" s="1" t="s">
        <v>1104</v>
      </c>
      <c r="AS958" s="1" t="s">
        <v>1115</v>
      </c>
      <c r="AT958" s="1"/>
      <c r="AU958" s="1" t="n">
        <v>2021</v>
      </c>
      <c r="AV958" s="1" t="n">
        <v>9</v>
      </c>
      <c r="AW958" s="1"/>
      <c r="AX958" s="1"/>
      <c r="AY958" s="1"/>
      <c r="AZ958" s="1"/>
      <c r="BA958" s="1"/>
      <c r="BB958" s="1" t="n">
        <v>152476</v>
      </c>
      <c r="BC958" s="1" t="n">
        <v>152502</v>
      </c>
      <c r="BD958" s="1"/>
      <c r="BE958" s="1" t="s">
        <v>17018</v>
      </c>
      <c r="BF958" s="1" t="str">
        <f aca="false">HYPERLINK("http://dx.doi.org/10.1109/ACCESS.2021.3124262","http://dx.doi.org/10.1109/ACCESS.2021.3124262")</f>
        <v>http://dx.doi.org/10.1109/ACCESS.2021.3124262</v>
      </c>
      <c r="BG958" s="1"/>
      <c r="BH958" s="1"/>
      <c r="BI958" s="1" t="n">
        <v>27</v>
      </c>
      <c r="BJ958" s="1" t="s">
        <v>1117</v>
      </c>
      <c r="BK958" s="1" t="s">
        <v>204</v>
      </c>
      <c r="BL958" s="1" t="s">
        <v>1118</v>
      </c>
      <c r="BM958" s="1" t="s">
        <v>17019</v>
      </c>
      <c r="BN958" s="1"/>
      <c r="BO958" s="1" t="s">
        <v>1209</v>
      </c>
      <c r="BP958" s="1"/>
      <c r="BQ958" s="1"/>
      <c r="BR958" s="1" t="s">
        <v>103</v>
      </c>
      <c r="BS958" s="1" t="s">
        <v>17020</v>
      </c>
      <c r="BT958" s="1" t="str">
        <f aca="false">HYPERLINK("https%3A%2F%2Fwww.webofscience.com%2Fwos%2Fwoscc%2Ffull-record%2FWOS:000720508200001","View Full Record in Web of Science")</f>
        <v>View Full Record in Web of Science</v>
      </c>
    </row>
    <row r="959" customFormat="false" ht="12.75" hidden="false" customHeight="false" outlineLevel="0" collapsed="false">
      <c r="A959" s="1" t="s">
        <v>181</v>
      </c>
      <c r="B959" s="1" t="s">
        <v>17021</v>
      </c>
      <c r="C959" s="1"/>
      <c r="D959" s="1"/>
      <c r="E959" s="1"/>
      <c r="F959" s="1" t="s">
        <v>17022</v>
      </c>
      <c r="G959" s="1"/>
      <c r="H959" s="1"/>
      <c r="I959" s="1" t="s">
        <v>17023</v>
      </c>
      <c r="J959" s="1" t="s">
        <v>4178</v>
      </c>
      <c r="K959" s="1"/>
      <c r="L959" s="1"/>
      <c r="M959" s="1" t="s">
        <v>78</v>
      </c>
      <c r="N959" s="1" t="s">
        <v>186</v>
      </c>
      <c r="O959" s="1"/>
      <c r="P959" s="1"/>
      <c r="Q959" s="1"/>
      <c r="R959" s="1"/>
      <c r="S959" s="1"/>
      <c r="T959" s="1" t="s">
        <v>17024</v>
      </c>
      <c r="U959" s="1" t="s">
        <v>17025</v>
      </c>
      <c r="V959" s="1" t="s">
        <v>17026</v>
      </c>
      <c r="W959" s="1" t="s">
        <v>17027</v>
      </c>
      <c r="X959" s="1" t="s">
        <v>17028</v>
      </c>
      <c r="Y959" s="1" t="s">
        <v>17029</v>
      </c>
      <c r="Z959" s="1" t="s">
        <v>17030</v>
      </c>
      <c r="AA959" s="1" t="s">
        <v>17031</v>
      </c>
      <c r="AB959" s="1" t="s">
        <v>17032</v>
      </c>
      <c r="AC959" s="1" t="s">
        <v>17033</v>
      </c>
      <c r="AD959" s="1" t="s">
        <v>17034</v>
      </c>
      <c r="AE959" s="1" t="s">
        <v>17035</v>
      </c>
      <c r="AF959" s="1"/>
      <c r="AG959" s="1" t="n">
        <v>103</v>
      </c>
      <c r="AH959" s="1" t="n">
        <v>24</v>
      </c>
      <c r="AI959" s="1" t="n">
        <v>25</v>
      </c>
      <c r="AJ959" s="1" t="n">
        <v>1</v>
      </c>
      <c r="AK959" s="1" t="n">
        <v>33</v>
      </c>
      <c r="AL959" s="1" t="s">
        <v>600</v>
      </c>
      <c r="AM959" s="1" t="s">
        <v>601</v>
      </c>
      <c r="AN959" s="1" t="s">
        <v>602</v>
      </c>
      <c r="AO959" s="1" t="s">
        <v>4190</v>
      </c>
      <c r="AP959" s="1" t="s">
        <v>4191</v>
      </c>
      <c r="AQ959" s="1"/>
      <c r="AR959" s="1" t="s">
        <v>4192</v>
      </c>
      <c r="AS959" s="1" t="s">
        <v>4193</v>
      </c>
      <c r="AT959" s="1" t="s">
        <v>711</v>
      </c>
      <c r="AU959" s="1" t="n">
        <v>2020</v>
      </c>
      <c r="AV959" s="1" t="n">
        <v>32</v>
      </c>
      <c r="AW959" s="1" t="n">
        <v>8</v>
      </c>
      <c r="AX959" s="1"/>
      <c r="AY959" s="1"/>
      <c r="AZ959" s="1"/>
      <c r="BA959" s="1"/>
      <c r="BB959" s="1"/>
      <c r="BC959" s="1"/>
      <c r="BD959" s="1" t="s">
        <v>17036</v>
      </c>
      <c r="BE959" s="1" t="s">
        <v>17037</v>
      </c>
      <c r="BF959" s="1" t="str">
        <f aca="false">HYPERLINK("http://dx.doi.org/10.1002/smr.2251","http://dx.doi.org/10.1002/smr.2251")</f>
        <v>http://dx.doi.org/10.1002/smr.2251</v>
      </c>
      <c r="BG959" s="1"/>
      <c r="BH959" s="1" t="s">
        <v>6317</v>
      </c>
      <c r="BI959" s="1" t="n">
        <v>23</v>
      </c>
      <c r="BJ959" s="1" t="s">
        <v>252</v>
      </c>
      <c r="BK959" s="1" t="s">
        <v>204</v>
      </c>
      <c r="BL959" s="1" t="s">
        <v>101</v>
      </c>
      <c r="BM959" s="1" t="s">
        <v>17038</v>
      </c>
      <c r="BN959" s="1"/>
      <c r="BO959" s="1" t="s">
        <v>7573</v>
      </c>
      <c r="BP959" s="1"/>
      <c r="BQ959" s="1"/>
      <c r="BR959" s="1" t="s">
        <v>103</v>
      </c>
      <c r="BS959" s="1" t="s">
        <v>17039</v>
      </c>
      <c r="BT959" s="1" t="str">
        <f aca="false">HYPERLINK("https%3A%2F%2Fwww.webofscience.com%2Fwos%2Fwoscc%2Ffull-record%2FWOS:000511327000001","View Full Record in Web of Science")</f>
        <v>View Full Record in Web of Science</v>
      </c>
    </row>
    <row r="960" customFormat="false" ht="12.75" hidden="false" customHeight="false" outlineLevel="0" collapsed="false">
      <c r="A960" s="1" t="s">
        <v>181</v>
      </c>
      <c r="B960" s="1" t="s">
        <v>17040</v>
      </c>
      <c r="C960" s="1"/>
      <c r="D960" s="1"/>
      <c r="E960" s="1"/>
      <c r="F960" s="1" t="s">
        <v>17041</v>
      </c>
      <c r="G960" s="1"/>
      <c r="H960" s="1"/>
      <c r="I960" s="1" t="s">
        <v>17042</v>
      </c>
      <c r="J960" s="1" t="s">
        <v>17043</v>
      </c>
      <c r="K960" s="1"/>
      <c r="L960" s="1"/>
      <c r="M960" s="1" t="s">
        <v>78</v>
      </c>
      <c r="N960" s="1" t="s">
        <v>186</v>
      </c>
      <c r="O960" s="1"/>
      <c r="P960" s="1"/>
      <c r="Q960" s="1"/>
      <c r="R960" s="1"/>
      <c r="S960" s="1"/>
      <c r="T960" s="1" t="s">
        <v>17044</v>
      </c>
      <c r="U960" s="1" t="s">
        <v>17045</v>
      </c>
      <c r="V960" s="1" t="s">
        <v>17046</v>
      </c>
      <c r="W960" s="1" t="s">
        <v>17047</v>
      </c>
      <c r="X960" s="1" t="s">
        <v>17048</v>
      </c>
      <c r="Y960" s="1" t="s">
        <v>9823</v>
      </c>
      <c r="Z960" s="1" t="s">
        <v>17049</v>
      </c>
      <c r="AA960" s="1" t="s">
        <v>17050</v>
      </c>
      <c r="AB960" s="1" t="s">
        <v>17051</v>
      </c>
      <c r="AC960" s="1" t="s">
        <v>17052</v>
      </c>
      <c r="AD960" s="1" t="s">
        <v>6409</v>
      </c>
      <c r="AE960" s="1" t="s">
        <v>17053</v>
      </c>
      <c r="AF960" s="1"/>
      <c r="AG960" s="1" t="n">
        <v>65</v>
      </c>
      <c r="AH960" s="1" t="n">
        <v>206</v>
      </c>
      <c r="AI960" s="1" t="n">
        <v>208</v>
      </c>
      <c r="AJ960" s="1" t="n">
        <v>103</v>
      </c>
      <c r="AK960" s="1" t="n">
        <v>339</v>
      </c>
      <c r="AL960" s="1" t="s">
        <v>195</v>
      </c>
      <c r="AM960" s="1" t="s">
        <v>196</v>
      </c>
      <c r="AN960" s="1" t="s">
        <v>197</v>
      </c>
      <c r="AO960" s="1" t="s">
        <v>17054</v>
      </c>
      <c r="AP960" s="1"/>
      <c r="AQ960" s="1"/>
      <c r="AR960" s="1" t="s">
        <v>17055</v>
      </c>
      <c r="AS960" s="1" t="s">
        <v>17056</v>
      </c>
      <c r="AT960" s="1" t="s">
        <v>7739</v>
      </c>
      <c r="AU960" s="1" t="n">
        <v>2023</v>
      </c>
      <c r="AV960" s="1" t="n">
        <v>10</v>
      </c>
      <c r="AW960" s="1" t="n">
        <v>16</v>
      </c>
      <c r="AX960" s="1"/>
      <c r="AY960" s="1"/>
      <c r="AZ960" s="1"/>
      <c r="BA960" s="1"/>
      <c r="BB960" s="1" t="n">
        <v>14671</v>
      </c>
      <c r="BC960" s="1" t="n">
        <v>14688</v>
      </c>
      <c r="BD960" s="1"/>
      <c r="BE960" s="1" t="s">
        <v>17057</v>
      </c>
      <c r="BF960" s="1" t="str">
        <f aca="false">HYPERLINK("http://dx.doi.org/10.1109/JIOT.2023.3278329","http://dx.doi.org/10.1109/JIOT.2023.3278329")</f>
        <v>http://dx.doi.org/10.1109/JIOT.2023.3278329</v>
      </c>
      <c r="BG960" s="1"/>
      <c r="BH960" s="1"/>
      <c r="BI960" s="1" t="n">
        <v>18</v>
      </c>
      <c r="BJ960" s="1" t="s">
        <v>1117</v>
      </c>
      <c r="BK960" s="1" t="s">
        <v>204</v>
      </c>
      <c r="BL960" s="1" t="s">
        <v>1118</v>
      </c>
      <c r="BM960" s="1" t="s">
        <v>17058</v>
      </c>
      <c r="BN960" s="1"/>
      <c r="BO960" s="1" t="s">
        <v>227</v>
      </c>
      <c r="BP960" s="1" t="s">
        <v>10616</v>
      </c>
      <c r="BQ960" s="1" t="s">
        <v>10616</v>
      </c>
      <c r="BR960" s="1" t="s">
        <v>103</v>
      </c>
      <c r="BS960" s="1" t="s">
        <v>17059</v>
      </c>
      <c r="BT960" s="1" t="str">
        <f aca="false">HYPERLINK("https%3A%2F%2Fwww.webofscience.com%2Fwos%2Fwoscc%2Ffull-record%2FWOS:001045875700039","View Full Record in Web of Science")</f>
        <v>View Full Record in Web of Science</v>
      </c>
    </row>
    <row r="961" customFormat="false" ht="12.75" hidden="false" customHeight="false" outlineLevel="0" collapsed="false">
      <c r="A961" s="1" t="s">
        <v>72</v>
      </c>
      <c r="B961" s="1" t="s">
        <v>17060</v>
      </c>
      <c r="C961" s="1"/>
      <c r="D961" s="1"/>
      <c r="E961" s="1" t="s">
        <v>74</v>
      </c>
      <c r="F961" s="1" t="s">
        <v>17061</v>
      </c>
      <c r="G961" s="1"/>
      <c r="H961" s="1"/>
      <c r="I961" s="1" t="s">
        <v>17062</v>
      </c>
      <c r="J961" s="1" t="s">
        <v>17063</v>
      </c>
      <c r="K961" s="1"/>
      <c r="L961" s="1"/>
      <c r="M961" s="1" t="s">
        <v>78</v>
      </c>
      <c r="N961" s="1" t="s">
        <v>79</v>
      </c>
      <c r="O961" s="1" t="s">
        <v>17064</v>
      </c>
      <c r="P961" s="1" t="s">
        <v>17065</v>
      </c>
      <c r="Q961" s="1" t="s">
        <v>320</v>
      </c>
      <c r="R961" s="1" t="s">
        <v>17066</v>
      </c>
      <c r="S961" s="1"/>
      <c r="T961" s="1"/>
      <c r="U961" s="1"/>
      <c r="V961" s="1" t="s">
        <v>17067</v>
      </c>
      <c r="W961" s="1" t="s">
        <v>17068</v>
      </c>
      <c r="X961" s="1" t="s">
        <v>17069</v>
      </c>
      <c r="Y961" s="1" t="s">
        <v>17070</v>
      </c>
      <c r="Z961" s="1"/>
      <c r="AA961" s="1" t="s">
        <v>17071</v>
      </c>
      <c r="AB961" s="1" t="s">
        <v>17072</v>
      </c>
      <c r="AC961" s="1" t="s">
        <v>17073</v>
      </c>
      <c r="AD961" s="1" t="s">
        <v>17074</v>
      </c>
      <c r="AE961" s="1" t="s">
        <v>17075</v>
      </c>
      <c r="AF961" s="1"/>
      <c r="AG961" s="1" t="n">
        <v>27</v>
      </c>
      <c r="AH961" s="1" t="n">
        <v>9</v>
      </c>
      <c r="AI961" s="1" t="n">
        <v>9</v>
      </c>
      <c r="AJ961" s="1" t="n">
        <v>0</v>
      </c>
      <c r="AK961" s="1" t="n">
        <v>1</v>
      </c>
      <c r="AL961" s="1" t="s">
        <v>94</v>
      </c>
      <c r="AM961" s="1" t="s">
        <v>95</v>
      </c>
      <c r="AN961" s="1" t="s">
        <v>96</v>
      </c>
      <c r="AO961" s="1"/>
      <c r="AP961" s="1"/>
      <c r="AQ961" s="1" t="s">
        <v>17076</v>
      </c>
      <c r="AR961" s="1"/>
      <c r="AS961" s="1"/>
      <c r="AT961" s="1"/>
      <c r="AU961" s="1" t="n">
        <v>2021</v>
      </c>
      <c r="AV961" s="1"/>
      <c r="AW961" s="1"/>
      <c r="AX961" s="1"/>
      <c r="AY961" s="1"/>
      <c r="AZ961" s="1"/>
      <c r="BA961" s="1"/>
      <c r="BB961" s="1" t="n">
        <v>61</v>
      </c>
      <c r="BC961" s="1" t="n">
        <v>72</v>
      </c>
      <c r="BD961" s="1"/>
      <c r="BE961" s="1" t="s">
        <v>17077</v>
      </c>
      <c r="BF961" s="1" t="str">
        <f aca="false">HYPERLINK("http://dx.doi.org/10.1145/3427921.3450246","http://dx.doi.org/10.1145/3427921.3450246")</f>
        <v>http://dx.doi.org/10.1145/3427921.3450246</v>
      </c>
      <c r="BG961" s="1"/>
      <c r="BH961" s="1"/>
      <c r="BI961" s="1" t="n">
        <v>12</v>
      </c>
      <c r="BJ961" s="1" t="s">
        <v>6472</v>
      </c>
      <c r="BK961" s="1" t="s">
        <v>100</v>
      </c>
      <c r="BL961" s="1" t="s">
        <v>101</v>
      </c>
      <c r="BM961" s="1" t="s">
        <v>17078</v>
      </c>
      <c r="BN961" s="1"/>
      <c r="BO961" s="1" t="s">
        <v>179</v>
      </c>
      <c r="BP961" s="1"/>
      <c r="BQ961" s="1"/>
      <c r="BR961" s="1" t="s">
        <v>103</v>
      </c>
      <c r="BS961" s="1" t="s">
        <v>17079</v>
      </c>
      <c r="BT961" s="1" t="str">
        <f aca="false">HYPERLINK("https%3A%2F%2Fwww.webofscience.com%2Fwos%2Fwoscc%2Ffull-record%2FWOS:000744413800007","View Full Record in Web of Science")</f>
        <v>View Full Record in Web of Science</v>
      </c>
    </row>
    <row r="962" customFormat="false" ht="12.75" hidden="false" customHeight="false" outlineLevel="0" collapsed="false">
      <c r="A962" s="1" t="s">
        <v>181</v>
      </c>
      <c r="B962" s="1" t="s">
        <v>17080</v>
      </c>
      <c r="C962" s="1"/>
      <c r="D962" s="1"/>
      <c r="E962" s="1"/>
      <c r="F962" s="1" t="s">
        <v>17081</v>
      </c>
      <c r="G962" s="1"/>
      <c r="H962" s="1"/>
      <c r="I962" s="1" t="s">
        <v>17082</v>
      </c>
      <c r="J962" s="1" t="s">
        <v>5910</v>
      </c>
      <c r="K962" s="1"/>
      <c r="L962" s="1"/>
      <c r="M962" s="1" t="s">
        <v>78</v>
      </c>
      <c r="N962" s="1" t="s">
        <v>186</v>
      </c>
      <c r="O962" s="1"/>
      <c r="P962" s="1"/>
      <c r="Q962" s="1"/>
      <c r="R962" s="1"/>
      <c r="S962" s="1"/>
      <c r="T962" s="1" t="s">
        <v>17083</v>
      </c>
      <c r="U962" s="1" t="s">
        <v>17084</v>
      </c>
      <c r="V962" s="1" t="s">
        <v>17085</v>
      </c>
      <c r="W962" s="1" t="s">
        <v>17086</v>
      </c>
      <c r="X962" s="1" t="s">
        <v>17087</v>
      </c>
      <c r="Y962" s="1" t="s">
        <v>17088</v>
      </c>
      <c r="Z962" s="1" t="s">
        <v>17089</v>
      </c>
      <c r="AA962" s="1" t="s">
        <v>17090</v>
      </c>
      <c r="AB962" s="1" t="s">
        <v>17091</v>
      </c>
      <c r="AC962" s="1" t="s">
        <v>17092</v>
      </c>
      <c r="AD962" s="1"/>
      <c r="AE962" s="1" t="s">
        <v>17093</v>
      </c>
      <c r="AF962" s="1"/>
      <c r="AG962" s="1" t="n">
        <v>40</v>
      </c>
      <c r="AH962" s="1" t="n">
        <v>14</v>
      </c>
      <c r="AI962" s="1" t="n">
        <v>14</v>
      </c>
      <c r="AJ962" s="1" t="n">
        <v>4</v>
      </c>
      <c r="AK962" s="1" t="n">
        <v>10</v>
      </c>
      <c r="AL962" s="1" t="s">
        <v>172</v>
      </c>
      <c r="AM962" s="1" t="s">
        <v>173</v>
      </c>
      <c r="AN962" s="1" t="s">
        <v>4882</v>
      </c>
      <c r="AO962" s="1" t="s">
        <v>5922</v>
      </c>
      <c r="AP962" s="1" t="s">
        <v>5923</v>
      </c>
      <c r="AQ962" s="1"/>
      <c r="AR962" s="1" t="s">
        <v>5924</v>
      </c>
      <c r="AS962" s="1" t="s">
        <v>5925</v>
      </c>
      <c r="AT962" s="1" t="s">
        <v>12291</v>
      </c>
      <c r="AU962" s="1" t="n">
        <v>2022</v>
      </c>
      <c r="AV962" s="1" t="n">
        <v>48</v>
      </c>
      <c r="AW962" s="1" t="n">
        <v>6</v>
      </c>
      <c r="AX962" s="1"/>
      <c r="AY962" s="1"/>
      <c r="AZ962" s="1"/>
      <c r="BA962" s="1"/>
      <c r="BB962" s="1" t="n">
        <v>2053</v>
      </c>
      <c r="BC962" s="1" t="n">
        <v>2065</v>
      </c>
      <c r="BD962" s="1"/>
      <c r="BE962" s="1" t="s">
        <v>17094</v>
      </c>
      <c r="BF962" s="1" t="str">
        <f aca="false">HYPERLINK("http://dx.doi.org/10.1109/TSE.2020.3048991","http://dx.doi.org/10.1109/TSE.2020.3048991")</f>
        <v>http://dx.doi.org/10.1109/TSE.2020.3048991</v>
      </c>
      <c r="BG962" s="1"/>
      <c r="BH962" s="1"/>
      <c r="BI962" s="1" t="n">
        <v>13</v>
      </c>
      <c r="BJ962" s="1" t="s">
        <v>5928</v>
      </c>
      <c r="BK962" s="1" t="s">
        <v>204</v>
      </c>
      <c r="BL962" s="1" t="s">
        <v>1255</v>
      </c>
      <c r="BM962" s="1" t="s">
        <v>17095</v>
      </c>
      <c r="BN962" s="1"/>
      <c r="BO962" s="1" t="s">
        <v>4656</v>
      </c>
      <c r="BP962" s="1"/>
      <c r="BQ962" s="1"/>
      <c r="BR962" s="1" t="s">
        <v>103</v>
      </c>
      <c r="BS962" s="1" t="s">
        <v>17096</v>
      </c>
      <c r="BT962" s="1" t="str">
        <f aca="false">HYPERLINK("https%3A%2F%2Fwww.webofscience.com%2Fwos%2Fwoscc%2Ffull-record%2FWOS:000811580600014","View Full Record in Web of Science")</f>
        <v>View Full Record in Web of Science</v>
      </c>
    </row>
    <row r="963" customFormat="false" ht="12.75" hidden="false" customHeight="false" outlineLevel="0" collapsed="false">
      <c r="A963" s="1" t="s">
        <v>181</v>
      </c>
      <c r="B963" s="1" t="s">
        <v>17097</v>
      </c>
      <c r="C963" s="1"/>
      <c r="D963" s="1"/>
      <c r="E963" s="1"/>
      <c r="F963" s="1" t="s">
        <v>17098</v>
      </c>
      <c r="G963" s="1"/>
      <c r="H963" s="1"/>
      <c r="I963" s="1" t="s">
        <v>17099</v>
      </c>
      <c r="J963" s="1" t="s">
        <v>17100</v>
      </c>
      <c r="K963" s="1"/>
      <c r="L963" s="1"/>
      <c r="M963" s="1" t="s">
        <v>78</v>
      </c>
      <c r="N963" s="1" t="s">
        <v>186</v>
      </c>
      <c r="O963" s="1"/>
      <c r="P963" s="1"/>
      <c r="Q963" s="1"/>
      <c r="R963" s="1"/>
      <c r="S963" s="1"/>
      <c r="T963" s="1" t="s">
        <v>17101</v>
      </c>
      <c r="U963" s="1" t="s">
        <v>17102</v>
      </c>
      <c r="V963" s="1" t="s">
        <v>17103</v>
      </c>
      <c r="W963" s="1" t="s">
        <v>17104</v>
      </c>
      <c r="X963" s="1" t="s">
        <v>17105</v>
      </c>
      <c r="Y963" s="1" t="s">
        <v>119</v>
      </c>
      <c r="Z963" s="1" t="s">
        <v>17106</v>
      </c>
      <c r="AA963" s="1" t="s">
        <v>17107</v>
      </c>
      <c r="AB963" s="1" t="s">
        <v>17108</v>
      </c>
      <c r="AC963" s="1" t="s">
        <v>17109</v>
      </c>
      <c r="AD963" s="1" t="s">
        <v>17110</v>
      </c>
      <c r="AE963" s="1" t="s">
        <v>17111</v>
      </c>
      <c r="AF963" s="1"/>
      <c r="AG963" s="1" t="n">
        <v>78</v>
      </c>
      <c r="AH963" s="1" t="n">
        <v>7</v>
      </c>
      <c r="AI963" s="1" t="n">
        <v>7</v>
      </c>
      <c r="AJ963" s="1" t="n">
        <v>1</v>
      </c>
      <c r="AK963" s="1" t="n">
        <v>4</v>
      </c>
      <c r="AL963" s="1" t="s">
        <v>893</v>
      </c>
      <c r="AM963" s="1" t="s">
        <v>894</v>
      </c>
      <c r="AN963" s="1" t="s">
        <v>895</v>
      </c>
      <c r="AO963" s="1" t="s">
        <v>17112</v>
      </c>
      <c r="AP963" s="1" t="s">
        <v>17113</v>
      </c>
      <c r="AQ963" s="1"/>
      <c r="AR963" s="1" t="s">
        <v>17114</v>
      </c>
      <c r="AS963" s="1" t="s">
        <v>17115</v>
      </c>
      <c r="AT963" s="1" t="s">
        <v>808</v>
      </c>
      <c r="AU963" s="1" t="n">
        <v>2022</v>
      </c>
      <c r="AV963" s="1" t="n">
        <v>171</v>
      </c>
      <c r="AW963" s="1"/>
      <c r="AX963" s="1"/>
      <c r="AY963" s="1"/>
      <c r="AZ963" s="1"/>
      <c r="BA963" s="1"/>
      <c r="BB963" s="1"/>
      <c r="BC963" s="1"/>
      <c r="BD963" s="1" t="n">
        <v>107453</v>
      </c>
      <c r="BE963" s="1" t="s">
        <v>17116</v>
      </c>
      <c r="BF963" s="1" t="str">
        <f aca="false">HYPERLINK("http://dx.doi.org/10.1016/j.csda.2022.107453","http://dx.doi.org/10.1016/j.csda.2022.107453")</f>
        <v>http://dx.doi.org/10.1016/j.csda.2022.107453</v>
      </c>
      <c r="BG963" s="1"/>
      <c r="BH963" s="1" t="s">
        <v>1505</v>
      </c>
      <c r="BI963" s="1" t="n">
        <v>16</v>
      </c>
      <c r="BJ963" s="1" t="s">
        <v>17117</v>
      </c>
      <c r="BK963" s="1" t="s">
        <v>204</v>
      </c>
      <c r="BL963" s="1" t="s">
        <v>4973</v>
      </c>
      <c r="BM963" s="1" t="s">
        <v>17118</v>
      </c>
      <c r="BN963" s="1"/>
      <c r="BO963" s="1" t="s">
        <v>4656</v>
      </c>
      <c r="BP963" s="1"/>
      <c r="BQ963" s="1"/>
      <c r="BR963" s="1" t="s">
        <v>103</v>
      </c>
      <c r="BS963" s="1" t="s">
        <v>17119</v>
      </c>
      <c r="BT963" s="1" t="str">
        <f aca="false">HYPERLINK("https%3A%2F%2Fwww.webofscience.com%2Fwos%2Fwoscc%2Ffull-record%2FWOS:000820753700005","View Full Record in Web of Science")</f>
        <v>View Full Record in Web of Science</v>
      </c>
    </row>
    <row r="964" customFormat="false" ht="12.75" hidden="false" customHeight="false" outlineLevel="0" collapsed="false">
      <c r="A964" s="1" t="s">
        <v>181</v>
      </c>
      <c r="B964" s="1" t="s">
        <v>17120</v>
      </c>
      <c r="C964" s="1"/>
      <c r="D964" s="1"/>
      <c r="E964" s="1"/>
      <c r="F964" s="1" t="s">
        <v>17121</v>
      </c>
      <c r="G964" s="1"/>
      <c r="H964" s="1"/>
      <c r="I964" s="1" t="s">
        <v>17122</v>
      </c>
      <c r="J964" s="1" t="s">
        <v>17123</v>
      </c>
      <c r="K964" s="1"/>
      <c r="L964" s="1"/>
      <c r="M964" s="1" t="s">
        <v>78</v>
      </c>
      <c r="N964" s="1" t="s">
        <v>186</v>
      </c>
      <c r="O964" s="1"/>
      <c r="P964" s="1"/>
      <c r="Q964" s="1"/>
      <c r="R964" s="1"/>
      <c r="S964" s="1"/>
      <c r="T964" s="1" t="s">
        <v>17124</v>
      </c>
      <c r="U964" s="1" t="s">
        <v>17125</v>
      </c>
      <c r="V964" s="1" t="s">
        <v>17126</v>
      </c>
      <c r="W964" s="1" t="s">
        <v>17127</v>
      </c>
      <c r="X964" s="1" t="s">
        <v>17128</v>
      </c>
      <c r="Y964" s="1" t="s">
        <v>17129</v>
      </c>
      <c r="Z964" s="1" t="s">
        <v>17130</v>
      </c>
      <c r="AA964" s="1" t="s">
        <v>6855</v>
      </c>
      <c r="AB964" s="1"/>
      <c r="AC964" s="1"/>
      <c r="AD964" s="1"/>
      <c r="AE964" s="1"/>
      <c r="AF964" s="1"/>
      <c r="AG964" s="1" t="n">
        <v>22</v>
      </c>
      <c r="AH964" s="1" t="n">
        <v>0</v>
      </c>
      <c r="AI964" s="1" t="n">
        <v>0</v>
      </c>
      <c r="AJ964" s="1" t="n">
        <v>0</v>
      </c>
      <c r="AK964" s="1" t="n">
        <v>1</v>
      </c>
      <c r="AL964" s="1" t="s">
        <v>893</v>
      </c>
      <c r="AM964" s="1" t="s">
        <v>894</v>
      </c>
      <c r="AN964" s="1" t="s">
        <v>895</v>
      </c>
      <c r="AO964" s="1" t="s">
        <v>17131</v>
      </c>
      <c r="AP964" s="1"/>
      <c r="AQ964" s="1"/>
      <c r="AR964" s="1" t="s">
        <v>17132</v>
      </c>
      <c r="AS964" s="1" t="s">
        <v>17133</v>
      </c>
      <c r="AT964" s="1" t="s">
        <v>2698</v>
      </c>
      <c r="AU964" s="1" t="n">
        <v>2024</v>
      </c>
      <c r="AV964" s="1" t="n">
        <v>18</v>
      </c>
      <c r="AW964" s="1"/>
      <c r="AX964" s="1"/>
      <c r="AY964" s="1"/>
      <c r="AZ964" s="1"/>
      <c r="BA964" s="1"/>
      <c r="BB964" s="1"/>
      <c r="BC964" s="1"/>
      <c r="BD964" s="1" t="n">
        <v>100494</v>
      </c>
      <c r="BE964" s="1" t="s">
        <v>17134</v>
      </c>
      <c r="BF964" s="1" t="str">
        <f aca="false">HYPERLINK("http://dx.doi.org/10.1016/j.jvacx.2024.100494","http://dx.doi.org/10.1016/j.jvacx.2024.100494")</f>
        <v>http://dx.doi.org/10.1016/j.jvacx.2024.100494</v>
      </c>
      <c r="BG964" s="1"/>
      <c r="BH964" s="1" t="s">
        <v>2002</v>
      </c>
      <c r="BI964" s="1" t="n">
        <v>8</v>
      </c>
      <c r="BJ964" s="1" t="s">
        <v>17135</v>
      </c>
      <c r="BK964" s="1" t="s">
        <v>253</v>
      </c>
      <c r="BL964" s="1" t="s">
        <v>17136</v>
      </c>
      <c r="BM964" s="1" t="s">
        <v>17137</v>
      </c>
      <c r="BN964" s="1" t="n">
        <v>38746060</v>
      </c>
      <c r="BO964" s="1" t="s">
        <v>401</v>
      </c>
      <c r="BP964" s="1"/>
      <c r="BQ964" s="1"/>
      <c r="BR964" s="1" t="s">
        <v>103</v>
      </c>
      <c r="BS964" s="1" t="s">
        <v>17138</v>
      </c>
      <c r="BT964" s="1" t="str">
        <f aca="false">HYPERLINK("https%3A%2F%2Fwww.webofscience.com%2Fwos%2Fwoscc%2Ffull-record%2FWOS:001239248100001","View Full Record in Web of Science")</f>
        <v>View Full Record in Web of Science</v>
      </c>
    </row>
    <row r="965" customFormat="false" ht="12.75" hidden="false" customHeight="false" outlineLevel="0" collapsed="false">
      <c r="A965" s="1" t="s">
        <v>181</v>
      </c>
      <c r="B965" s="1" t="s">
        <v>17139</v>
      </c>
      <c r="C965" s="1"/>
      <c r="D965" s="1"/>
      <c r="E965" s="1"/>
      <c r="F965" s="1" t="s">
        <v>17140</v>
      </c>
      <c r="G965" s="1"/>
      <c r="H965" s="1"/>
      <c r="I965" s="1" t="s">
        <v>17141</v>
      </c>
      <c r="J965" s="1" t="s">
        <v>523</v>
      </c>
      <c r="K965" s="1"/>
      <c r="L965" s="1"/>
      <c r="M965" s="1" t="s">
        <v>78</v>
      </c>
      <c r="N965" s="1" t="s">
        <v>186</v>
      </c>
      <c r="O965" s="1"/>
      <c r="P965" s="1"/>
      <c r="Q965" s="1"/>
      <c r="R965" s="1"/>
      <c r="S965" s="1"/>
      <c r="T965" s="1" t="s">
        <v>17142</v>
      </c>
      <c r="U965" s="1" t="s">
        <v>17143</v>
      </c>
      <c r="V965" s="1" t="s">
        <v>17144</v>
      </c>
      <c r="W965" s="1" t="s">
        <v>17145</v>
      </c>
      <c r="X965" s="1" t="s">
        <v>17146</v>
      </c>
      <c r="Y965" s="1" t="s">
        <v>14315</v>
      </c>
      <c r="Z965" s="1" t="s">
        <v>14353</v>
      </c>
      <c r="AA965" s="1" t="s">
        <v>17147</v>
      </c>
      <c r="AB965" s="1" t="s">
        <v>17148</v>
      </c>
      <c r="AC965" s="1"/>
      <c r="AD965" s="1"/>
      <c r="AE965" s="1"/>
      <c r="AF965" s="1"/>
      <c r="AG965" s="1" t="n">
        <v>40</v>
      </c>
      <c r="AH965" s="1" t="n">
        <v>4</v>
      </c>
      <c r="AI965" s="1" t="n">
        <v>4</v>
      </c>
      <c r="AJ965" s="1" t="n">
        <v>0</v>
      </c>
      <c r="AK965" s="1" t="n">
        <v>12</v>
      </c>
      <c r="AL965" s="1" t="s">
        <v>367</v>
      </c>
      <c r="AM965" s="1" t="s">
        <v>368</v>
      </c>
      <c r="AN965" s="1" t="s">
        <v>369</v>
      </c>
      <c r="AO965" s="1"/>
      <c r="AP965" s="1" t="s">
        <v>534</v>
      </c>
      <c r="AQ965" s="1"/>
      <c r="AR965" s="1" t="s">
        <v>535</v>
      </c>
      <c r="AS965" s="1" t="s">
        <v>536</v>
      </c>
      <c r="AT965" s="1" t="s">
        <v>421</v>
      </c>
      <c r="AU965" s="1" t="n">
        <v>2023</v>
      </c>
      <c r="AV965" s="1" t="n">
        <v>13</v>
      </c>
      <c r="AW965" s="1" t="n">
        <v>8</v>
      </c>
      <c r="AX965" s="1"/>
      <c r="AY965" s="1"/>
      <c r="AZ965" s="1"/>
      <c r="BA965" s="1"/>
      <c r="BB965" s="1"/>
      <c r="BC965" s="1"/>
      <c r="BD965" s="1" t="n">
        <v>5188</v>
      </c>
      <c r="BE965" s="1" t="s">
        <v>17149</v>
      </c>
      <c r="BF965" s="1" t="str">
        <f aca="false">HYPERLINK("http://dx.doi.org/10.3390/app13085188","http://dx.doi.org/10.3390/app13085188")</f>
        <v>http://dx.doi.org/10.3390/app13085188</v>
      </c>
      <c r="BG965" s="1"/>
      <c r="BH965" s="1"/>
      <c r="BI965" s="1" t="n">
        <v>14</v>
      </c>
      <c r="BJ965" s="1" t="s">
        <v>539</v>
      </c>
      <c r="BK965" s="1" t="s">
        <v>204</v>
      </c>
      <c r="BL965" s="1" t="s">
        <v>540</v>
      </c>
      <c r="BM965" s="1" t="s">
        <v>17150</v>
      </c>
      <c r="BN965" s="1"/>
      <c r="BO965" s="1" t="s">
        <v>401</v>
      </c>
      <c r="BP965" s="1"/>
      <c r="BQ965" s="1"/>
      <c r="BR965" s="1" t="s">
        <v>103</v>
      </c>
      <c r="BS965" s="1" t="s">
        <v>17151</v>
      </c>
      <c r="BT965" s="1" t="str">
        <f aca="false">HYPERLINK("https%3A%2F%2Fwww.webofscience.com%2Fwos%2Fwoscc%2Ffull-record%2FWOS:000980955700001","View Full Record in Web of Science")</f>
        <v>View Full Record in Web of Science</v>
      </c>
    </row>
    <row r="966" customFormat="false" ht="12.75" hidden="false" customHeight="false" outlineLevel="0" collapsed="false">
      <c r="A966" s="1" t="s">
        <v>181</v>
      </c>
      <c r="B966" s="1" t="s">
        <v>17152</v>
      </c>
      <c r="C966" s="1"/>
      <c r="D966" s="1"/>
      <c r="E966" s="1"/>
      <c r="F966" s="1" t="s">
        <v>17153</v>
      </c>
      <c r="G966" s="1"/>
      <c r="H966" s="1"/>
      <c r="I966" s="1" t="s">
        <v>17154</v>
      </c>
      <c r="J966" s="1" t="s">
        <v>17155</v>
      </c>
      <c r="K966" s="1"/>
      <c r="L966" s="1"/>
      <c r="M966" s="1" t="s">
        <v>78</v>
      </c>
      <c r="N966" s="1" t="s">
        <v>186</v>
      </c>
      <c r="O966" s="1"/>
      <c r="P966" s="1"/>
      <c r="Q966" s="1"/>
      <c r="R966" s="1"/>
      <c r="S966" s="1"/>
      <c r="T966" s="1" t="s">
        <v>17156</v>
      </c>
      <c r="U966" s="1" t="s">
        <v>17157</v>
      </c>
      <c r="V966" s="1" t="s">
        <v>17158</v>
      </c>
      <c r="W966" s="1" t="s">
        <v>17159</v>
      </c>
      <c r="X966" s="1" t="s">
        <v>17160</v>
      </c>
      <c r="Y966" s="1" t="s">
        <v>17161</v>
      </c>
      <c r="Z966" s="1" t="s">
        <v>17162</v>
      </c>
      <c r="AA966" s="1"/>
      <c r="AB966" s="1" t="s">
        <v>17163</v>
      </c>
      <c r="AC966" s="1" t="s">
        <v>17164</v>
      </c>
      <c r="AD966" s="1" t="s">
        <v>17165</v>
      </c>
      <c r="AE966" s="1" t="s">
        <v>17166</v>
      </c>
      <c r="AF966" s="1"/>
      <c r="AG966" s="1" t="n">
        <v>35</v>
      </c>
      <c r="AH966" s="1" t="n">
        <v>0</v>
      </c>
      <c r="AI966" s="1" t="n">
        <v>0</v>
      </c>
      <c r="AJ966" s="1" t="n">
        <v>0</v>
      </c>
      <c r="AK966" s="1" t="n">
        <v>16</v>
      </c>
      <c r="AL966" s="1" t="s">
        <v>195</v>
      </c>
      <c r="AM966" s="1" t="s">
        <v>196</v>
      </c>
      <c r="AN966" s="1" t="s">
        <v>197</v>
      </c>
      <c r="AO966" s="1" t="s">
        <v>17167</v>
      </c>
      <c r="AP966" s="1" t="s">
        <v>17168</v>
      </c>
      <c r="AQ966" s="1"/>
      <c r="AR966" s="1" t="s">
        <v>17169</v>
      </c>
      <c r="AS966" s="1" t="s">
        <v>17170</v>
      </c>
      <c r="AT966" s="1" t="s">
        <v>1453</v>
      </c>
      <c r="AU966" s="1" t="n">
        <v>2022</v>
      </c>
      <c r="AV966" s="1" t="n">
        <v>69</v>
      </c>
      <c r="AW966" s="1" t="n">
        <v>1</v>
      </c>
      <c r="AX966" s="1"/>
      <c r="AY966" s="1"/>
      <c r="AZ966" s="1"/>
      <c r="BA966" s="1"/>
      <c r="BB966" s="1" t="n">
        <v>494</v>
      </c>
      <c r="BC966" s="1" t="n">
        <v>502</v>
      </c>
      <c r="BD966" s="1"/>
      <c r="BE966" s="1" t="s">
        <v>17171</v>
      </c>
      <c r="BF966" s="1" t="str">
        <f aca="false">HYPERLINK("http://dx.doi.org/10.1109/TBME.2021.3100256","http://dx.doi.org/10.1109/TBME.2021.3100256")</f>
        <v>http://dx.doi.org/10.1109/TBME.2021.3100256</v>
      </c>
      <c r="BG966" s="1"/>
      <c r="BH966" s="1"/>
      <c r="BI966" s="1" t="n">
        <v>9</v>
      </c>
      <c r="BJ966" s="1" t="s">
        <v>17172</v>
      </c>
      <c r="BK966" s="1" t="s">
        <v>204</v>
      </c>
      <c r="BL966" s="1" t="s">
        <v>640</v>
      </c>
      <c r="BM966" s="1" t="s">
        <v>17173</v>
      </c>
      <c r="BN966" s="1" t="n">
        <v>34314352</v>
      </c>
      <c r="BO966" s="1" t="s">
        <v>227</v>
      </c>
      <c r="BP966" s="1"/>
      <c r="BQ966" s="1"/>
      <c r="BR966" s="1" t="s">
        <v>103</v>
      </c>
      <c r="BS966" s="1" t="s">
        <v>17174</v>
      </c>
      <c r="BT966" s="1" t="str">
        <f aca="false">HYPERLINK("https%3A%2F%2Fwww.webofscience.com%2Fwos%2Fwoscc%2Ffull-record%2FWOS:000733943200053","View Full Record in Web of Science")</f>
        <v>View Full Record in Web of Science</v>
      </c>
    </row>
    <row r="967" customFormat="false" ht="12.75" hidden="false" customHeight="false" outlineLevel="0" collapsed="false">
      <c r="A967" s="1" t="s">
        <v>181</v>
      </c>
      <c r="B967" s="1" t="s">
        <v>17175</v>
      </c>
      <c r="C967" s="1"/>
      <c r="D967" s="1"/>
      <c r="E967" s="1"/>
      <c r="F967" s="1" t="s">
        <v>17176</v>
      </c>
      <c r="G967" s="1"/>
      <c r="H967" s="1"/>
      <c r="I967" s="1" t="s">
        <v>17177</v>
      </c>
      <c r="J967" s="1" t="s">
        <v>17178</v>
      </c>
      <c r="K967" s="1"/>
      <c r="L967" s="1"/>
      <c r="M967" s="1" t="s">
        <v>78</v>
      </c>
      <c r="N967" s="1" t="s">
        <v>186</v>
      </c>
      <c r="O967" s="1"/>
      <c r="P967" s="1"/>
      <c r="Q967" s="1"/>
      <c r="R967" s="1"/>
      <c r="S967" s="1"/>
      <c r="T967" s="1"/>
      <c r="U967" s="1"/>
      <c r="V967" s="1" t="s">
        <v>17179</v>
      </c>
      <c r="W967" s="1" t="s">
        <v>17180</v>
      </c>
      <c r="X967" s="1" t="s">
        <v>17181</v>
      </c>
      <c r="Y967" s="1" t="s">
        <v>17182</v>
      </c>
      <c r="Z967" s="1" t="s">
        <v>17183</v>
      </c>
      <c r="AA967" s="1" t="s">
        <v>17184</v>
      </c>
      <c r="AB967" s="1" t="s">
        <v>17185</v>
      </c>
      <c r="AC967" s="1"/>
      <c r="AD967" s="1"/>
      <c r="AE967" s="1"/>
      <c r="AF967" s="1"/>
      <c r="AG967" s="1" t="n">
        <v>25</v>
      </c>
      <c r="AH967" s="1" t="n">
        <v>4</v>
      </c>
      <c r="AI967" s="1" t="n">
        <v>4</v>
      </c>
      <c r="AJ967" s="1" t="n">
        <v>5</v>
      </c>
      <c r="AK967" s="1" t="n">
        <v>13</v>
      </c>
      <c r="AL967" s="1" t="s">
        <v>172</v>
      </c>
      <c r="AM967" s="1" t="s">
        <v>173</v>
      </c>
      <c r="AN967" s="1" t="s">
        <v>4882</v>
      </c>
      <c r="AO967" s="1" t="s">
        <v>17186</v>
      </c>
      <c r="AP967" s="1" t="s">
        <v>17187</v>
      </c>
      <c r="AQ967" s="1"/>
      <c r="AR967" s="1" t="s">
        <v>17178</v>
      </c>
      <c r="AS967" s="1" t="s">
        <v>17188</v>
      </c>
      <c r="AT967" s="1" t="s">
        <v>277</v>
      </c>
      <c r="AU967" s="1" t="n">
        <v>2022</v>
      </c>
      <c r="AV967" s="1" t="n">
        <v>55</v>
      </c>
      <c r="AW967" s="1" t="n">
        <v>3</v>
      </c>
      <c r="AX967" s="1"/>
      <c r="AY967" s="1"/>
      <c r="AZ967" s="1"/>
      <c r="BA967" s="1"/>
      <c r="BB967" s="1" t="n">
        <v>52</v>
      </c>
      <c r="BC967" s="1" t="n">
        <v>63</v>
      </c>
      <c r="BD967" s="1"/>
      <c r="BE967" s="1" t="s">
        <v>17189</v>
      </c>
      <c r="BF967" s="1" t="str">
        <f aca="false">HYPERLINK("http://dx.doi.org/10.1109/MC.2021.3131990","http://dx.doi.org/10.1109/MC.2021.3131990")</f>
        <v>http://dx.doi.org/10.1109/MC.2021.3131990</v>
      </c>
      <c r="BG967" s="1"/>
      <c r="BH967" s="1"/>
      <c r="BI967" s="1" t="n">
        <v>12</v>
      </c>
      <c r="BJ967" s="1" t="s">
        <v>1098</v>
      </c>
      <c r="BK967" s="1" t="s">
        <v>204</v>
      </c>
      <c r="BL967" s="1" t="s">
        <v>101</v>
      </c>
      <c r="BM967" s="1" t="s">
        <v>17190</v>
      </c>
      <c r="BN967" s="1"/>
      <c r="BO967" s="1" t="s">
        <v>833</v>
      </c>
      <c r="BP967" s="1"/>
      <c r="BQ967" s="1"/>
      <c r="BR967" s="1" t="s">
        <v>103</v>
      </c>
      <c r="BS967" s="1" t="s">
        <v>17191</v>
      </c>
      <c r="BT967" s="1" t="str">
        <f aca="false">HYPERLINK("https%3A%2F%2Fwww.webofscience.com%2Fwos%2Fwoscc%2Ffull-record%2FWOS:000769986500008","View Full Record in Web of Science")</f>
        <v>View Full Record in Web of Science</v>
      </c>
    </row>
    <row r="968" customFormat="false" ht="12.75" hidden="false" customHeight="false" outlineLevel="0" collapsed="false">
      <c r="A968" s="1" t="s">
        <v>181</v>
      </c>
      <c r="B968" s="1" t="s">
        <v>17192</v>
      </c>
      <c r="C968" s="1"/>
      <c r="D968" s="1"/>
      <c r="E968" s="1"/>
      <c r="F968" s="1" t="s">
        <v>17193</v>
      </c>
      <c r="G968" s="1"/>
      <c r="H968" s="1"/>
      <c r="I968" s="1" t="s">
        <v>17194</v>
      </c>
      <c r="J968" s="1" t="s">
        <v>1378</v>
      </c>
      <c r="K968" s="1"/>
      <c r="L968" s="1"/>
      <c r="M968" s="1" t="s">
        <v>78</v>
      </c>
      <c r="N968" s="1" t="s">
        <v>186</v>
      </c>
      <c r="O968" s="1"/>
      <c r="P968" s="1"/>
      <c r="Q968" s="1"/>
      <c r="R968" s="1"/>
      <c r="S968" s="1"/>
      <c r="T968" s="1" t="s">
        <v>17195</v>
      </c>
      <c r="U968" s="1"/>
      <c r="V968" s="1" t="s">
        <v>17196</v>
      </c>
      <c r="W968" s="1" t="s">
        <v>17197</v>
      </c>
      <c r="X968" s="1" t="s">
        <v>17198</v>
      </c>
      <c r="Y968" s="1" t="s">
        <v>17199</v>
      </c>
      <c r="Z968" s="1" t="s">
        <v>17200</v>
      </c>
      <c r="AA968" s="1" t="s">
        <v>17201</v>
      </c>
      <c r="AB968" s="1" t="s">
        <v>17202</v>
      </c>
      <c r="AC968" s="1"/>
      <c r="AD968" s="1"/>
      <c r="AE968" s="1"/>
      <c r="AF968" s="1"/>
      <c r="AG968" s="1" t="n">
        <v>61</v>
      </c>
      <c r="AH968" s="1" t="n">
        <v>22</v>
      </c>
      <c r="AI968" s="1" t="n">
        <v>22</v>
      </c>
      <c r="AJ968" s="1" t="n">
        <v>0</v>
      </c>
      <c r="AK968" s="1" t="n">
        <v>4</v>
      </c>
      <c r="AL968" s="1" t="s">
        <v>893</v>
      </c>
      <c r="AM968" s="1" t="s">
        <v>894</v>
      </c>
      <c r="AN968" s="1" t="s">
        <v>895</v>
      </c>
      <c r="AO968" s="1" t="s">
        <v>1387</v>
      </c>
      <c r="AP968" s="1" t="s">
        <v>1388</v>
      </c>
      <c r="AQ968" s="1"/>
      <c r="AR968" s="1" t="s">
        <v>1389</v>
      </c>
      <c r="AS968" s="1" t="s">
        <v>1390</v>
      </c>
      <c r="AT968" s="1" t="s">
        <v>277</v>
      </c>
      <c r="AU968" s="1" t="n">
        <v>2022</v>
      </c>
      <c r="AV968" s="1" t="n">
        <v>143</v>
      </c>
      <c r="AW968" s="1"/>
      <c r="AX968" s="1"/>
      <c r="AY968" s="1"/>
      <c r="AZ968" s="1"/>
      <c r="BA968" s="1"/>
      <c r="BB968" s="1"/>
      <c r="BC968" s="1"/>
      <c r="BD968" s="1" t="n">
        <v>106736</v>
      </c>
      <c r="BE968" s="1" t="s">
        <v>17203</v>
      </c>
      <c r="BF968" s="1" t="str">
        <f aca="false">HYPERLINK("http://dx.doi.org/10.1016/j.infsof.2021.106736","http://dx.doi.org/10.1016/j.infsof.2021.106736")</f>
        <v>http://dx.doi.org/10.1016/j.infsof.2021.106736</v>
      </c>
      <c r="BG968" s="1"/>
      <c r="BH968" s="1" t="s">
        <v>1624</v>
      </c>
      <c r="BI968" s="1" t="n">
        <v>18</v>
      </c>
      <c r="BJ968" s="1" t="s">
        <v>1394</v>
      </c>
      <c r="BK968" s="1" t="s">
        <v>204</v>
      </c>
      <c r="BL968" s="1" t="s">
        <v>101</v>
      </c>
      <c r="BM968" s="1" t="s">
        <v>17204</v>
      </c>
      <c r="BN968" s="1"/>
      <c r="BO968" s="1" t="s">
        <v>207</v>
      </c>
      <c r="BP968" s="1"/>
      <c r="BQ968" s="1"/>
      <c r="BR968" s="1" t="s">
        <v>103</v>
      </c>
      <c r="BS968" s="1" t="s">
        <v>17205</v>
      </c>
      <c r="BT968" s="1" t="str">
        <f aca="false">HYPERLINK("https%3A%2F%2Fwww.webofscience.com%2Fwos%2Fwoscc%2Ffull-record%2FWOS:000720570800002","View Full Record in Web of Science")</f>
        <v>View Full Record in Web of Science</v>
      </c>
    </row>
    <row r="969" customFormat="false" ht="12.75" hidden="false" customHeight="false" outlineLevel="0" collapsed="false">
      <c r="A969" s="1" t="s">
        <v>181</v>
      </c>
      <c r="B969" s="1" t="s">
        <v>17206</v>
      </c>
      <c r="C969" s="1"/>
      <c r="D969" s="1"/>
      <c r="E969" s="1"/>
      <c r="F969" s="1" t="s">
        <v>17207</v>
      </c>
      <c r="G969" s="1"/>
      <c r="H969" s="1"/>
      <c r="I969" s="1" t="s">
        <v>17208</v>
      </c>
      <c r="J969" s="1" t="s">
        <v>17209</v>
      </c>
      <c r="K969" s="1"/>
      <c r="L969" s="1"/>
      <c r="M969" s="1" t="s">
        <v>78</v>
      </c>
      <c r="N969" s="1" t="s">
        <v>186</v>
      </c>
      <c r="O969" s="1"/>
      <c r="P969" s="1"/>
      <c r="Q969" s="1"/>
      <c r="R969" s="1"/>
      <c r="S969" s="1"/>
      <c r="T969" s="1"/>
      <c r="U969" s="1" t="s">
        <v>17210</v>
      </c>
      <c r="V969" s="1" t="s">
        <v>17211</v>
      </c>
      <c r="W969" s="1" t="s">
        <v>17212</v>
      </c>
      <c r="X969" s="1" t="s">
        <v>17213</v>
      </c>
      <c r="Y969" s="1" t="s">
        <v>17214</v>
      </c>
      <c r="Z969" s="1" t="s">
        <v>17215</v>
      </c>
      <c r="AA969" s="1" t="s">
        <v>17216</v>
      </c>
      <c r="AB969" s="1" t="s">
        <v>17217</v>
      </c>
      <c r="AC969" s="1"/>
      <c r="AD969" s="1"/>
      <c r="AE969" s="1"/>
      <c r="AF969" s="1"/>
      <c r="AG969" s="1" t="n">
        <v>217</v>
      </c>
      <c r="AH969" s="1" t="n">
        <v>16</v>
      </c>
      <c r="AI969" s="1" t="n">
        <v>17</v>
      </c>
      <c r="AJ969" s="1" t="n">
        <v>0</v>
      </c>
      <c r="AK969" s="1" t="n">
        <v>21</v>
      </c>
      <c r="AL969" s="1" t="s">
        <v>1907</v>
      </c>
      <c r="AM969" s="1" t="s">
        <v>1908</v>
      </c>
      <c r="AN969" s="1" t="s">
        <v>1909</v>
      </c>
      <c r="AO969" s="1" t="s">
        <v>17218</v>
      </c>
      <c r="AP969" s="1" t="s">
        <v>17219</v>
      </c>
      <c r="AQ969" s="1"/>
      <c r="AR969" s="1" t="s">
        <v>17220</v>
      </c>
      <c r="AS969" s="1" t="s">
        <v>17221</v>
      </c>
      <c r="AT969" s="1" t="s">
        <v>3896</v>
      </c>
      <c r="AU969" s="1" t="n">
        <v>2022</v>
      </c>
      <c r="AV969" s="1" t="n">
        <v>2022</v>
      </c>
      <c r="AW969" s="1"/>
      <c r="AX969" s="1"/>
      <c r="AY969" s="1"/>
      <c r="AZ969" s="1"/>
      <c r="BA969" s="1"/>
      <c r="BB969" s="1"/>
      <c r="BC969" s="1"/>
      <c r="BD969" s="1" t="n">
        <v>8904768</v>
      </c>
      <c r="BE969" s="1" t="s">
        <v>17222</v>
      </c>
      <c r="BF969" s="1" t="str">
        <f aca="false">HYPERLINK("http://dx.doi.org/10.1155/2022/8904768","http://dx.doi.org/10.1155/2022/8904768")</f>
        <v>http://dx.doi.org/10.1155/2022/8904768</v>
      </c>
      <c r="BG969" s="1"/>
      <c r="BH969" s="1"/>
      <c r="BI969" s="1" t="n">
        <v>31</v>
      </c>
      <c r="BJ969" s="1" t="s">
        <v>17223</v>
      </c>
      <c r="BK969" s="1" t="s">
        <v>204</v>
      </c>
      <c r="BL969" s="1" t="s">
        <v>17224</v>
      </c>
      <c r="BM969" s="1" t="s">
        <v>17225</v>
      </c>
      <c r="BN969" s="1" t="n">
        <v>36262621</v>
      </c>
      <c r="BO969" s="1" t="s">
        <v>542</v>
      </c>
      <c r="BP969" s="1"/>
      <c r="BQ969" s="1"/>
      <c r="BR969" s="1" t="s">
        <v>103</v>
      </c>
      <c r="BS969" s="1" t="s">
        <v>17226</v>
      </c>
      <c r="BT969" s="1" t="str">
        <f aca="false">HYPERLINK("https%3A%2F%2Fwww.webofscience.com%2Fwos%2Fwoscc%2Ffull-record%2FWOS:000876420000025","View Full Record in Web of Science")</f>
        <v>View Full Record in Web of Science</v>
      </c>
    </row>
    <row r="970" customFormat="false" ht="12.75" hidden="false" customHeight="false" outlineLevel="0" collapsed="false">
      <c r="A970" s="1" t="s">
        <v>181</v>
      </c>
      <c r="B970" s="1" t="s">
        <v>17227</v>
      </c>
      <c r="C970" s="1"/>
      <c r="D970" s="1"/>
      <c r="E970" s="1"/>
      <c r="F970" s="1" t="s">
        <v>17228</v>
      </c>
      <c r="G970" s="1"/>
      <c r="H970" s="1"/>
      <c r="I970" s="1" t="s">
        <v>17229</v>
      </c>
      <c r="J970" s="1" t="s">
        <v>11923</v>
      </c>
      <c r="K970" s="1"/>
      <c r="L970" s="1"/>
      <c r="M970" s="1" t="s">
        <v>78</v>
      </c>
      <c r="N970" s="1" t="s">
        <v>186</v>
      </c>
      <c r="O970" s="1"/>
      <c r="P970" s="1"/>
      <c r="Q970" s="1"/>
      <c r="R970" s="1"/>
      <c r="S970" s="1"/>
      <c r="T970" s="1" t="s">
        <v>17230</v>
      </c>
      <c r="U970" s="1" t="s">
        <v>17231</v>
      </c>
      <c r="V970" s="1" t="s">
        <v>17232</v>
      </c>
      <c r="W970" s="1" t="s">
        <v>17233</v>
      </c>
      <c r="X970" s="1" t="s">
        <v>17234</v>
      </c>
      <c r="Y970" s="1" t="s">
        <v>17235</v>
      </c>
      <c r="Z970" s="1" t="s">
        <v>17236</v>
      </c>
      <c r="AA970" s="1" t="s">
        <v>11931</v>
      </c>
      <c r="AB970" s="1" t="s">
        <v>15504</v>
      </c>
      <c r="AC970" s="1" t="s">
        <v>17237</v>
      </c>
      <c r="AD970" s="1" t="s">
        <v>17237</v>
      </c>
      <c r="AE970" s="1" t="s">
        <v>17238</v>
      </c>
      <c r="AF970" s="1"/>
      <c r="AG970" s="1" t="n">
        <v>20</v>
      </c>
      <c r="AH970" s="1" t="n">
        <v>35</v>
      </c>
      <c r="AI970" s="1" t="n">
        <v>35</v>
      </c>
      <c r="AJ970" s="1" t="n">
        <v>1</v>
      </c>
      <c r="AK970" s="1" t="n">
        <v>14</v>
      </c>
      <c r="AL970" s="1" t="s">
        <v>2825</v>
      </c>
      <c r="AM970" s="1" t="s">
        <v>2826</v>
      </c>
      <c r="AN970" s="1" t="s">
        <v>2827</v>
      </c>
      <c r="AO970" s="1"/>
      <c r="AP970" s="1" t="s">
        <v>11935</v>
      </c>
      <c r="AQ970" s="1"/>
      <c r="AR970" s="1" t="s">
        <v>11936</v>
      </c>
      <c r="AS970" s="1" t="s">
        <v>11937</v>
      </c>
      <c r="AT970" s="1" t="s">
        <v>17239</v>
      </c>
      <c r="AU970" s="1" t="n">
        <v>2020</v>
      </c>
      <c r="AV970" s="1" t="n">
        <v>6</v>
      </c>
      <c r="AW970" s="1" t="n">
        <v>1</v>
      </c>
      <c r="AX970" s="1"/>
      <c r="AY970" s="1"/>
      <c r="AZ970" s="1"/>
      <c r="BA970" s="1"/>
      <c r="BB970" s="1"/>
      <c r="BC970" s="1"/>
      <c r="BD970" s="1" t="n">
        <v>33</v>
      </c>
      <c r="BE970" s="1" t="s">
        <v>17240</v>
      </c>
      <c r="BF970" s="1" t="str">
        <f aca="false">HYPERLINK("http://dx.doi.org/10.1186/s40729-020-00219-5","http://dx.doi.org/10.1186/s40729-020-00219-5")</f>
        <v>http://dx.doi.org/10.1186/s40729-020-00219-5</v>
      </c>
      <c r="BG970" s="1"/>
      <c r="BH970" s="1"/>
      <c r="BI970" s="1" t="n">
        <v>10</v>
      </c>
      <c r="BJ970" s="1" t="s">
        <v>4910</v>
      </c>
      <c r="BK970" s="1" t="s">
        <v>204</v>
      </c>
      <c r="BL970" s="1" t="s">
        <v>4910</v>
      </c>
      <c r="BM970" s="1" t="s">
        <v>17241</v>
      </c>
      <c r="BN970" s="1" t="n">
        <v>32548733</v>
      </c>
      <c r="BO970" s="1" t="s">
        <v>542</v>
      </c>
      <c r="BP970" s="1"/>
      <c r="BQ970" s="1"/>
      <c r="BR970" s="1" t="s">
        <v>103</v>
      </c>
      <c r="BS970" s="1" t="s">
        <v>17242</v>
      </c>
      <c r="BT970" s="1" t="str">
        <f aca="false">HYPERLINK("https%3A%2F%2Fwww.webofscience.com%2Fwos%2Fwoscc%2Ffull-record%2FWOS:000540531400001","View Full Record in Web of Science")</f>
        <v>View Full Record in Web of Science</v>
      </c>
    </row>
    <row r="971" customFormat="false" ht="12.75" hidden="false" customHeight="false" outlineLevel="0" collapsed="false">
      <c r="A971" s="1" t="s">
        <v>181</v>
      </c>
      <c r="B971" s="1" t="s">
        <v>17243</v>
      </c>
      <c r="C971" s="1"/>
      <c r="D971" s="1"/>
      <c r="E971" s="1"/>
      <c r="F971" s="1" t="s">
        <v>17244</v>
      </c>
      <c r="G971" s="1"/>
      <c r="H971" s="1"/>
      <c r="I971" s="1" t="s">
        <v>17245</v>
      </c>
      <c r="J971" s="1" t="s">
        <v>1104</v>
      </c>
      <c r="K971" s="1"/>
      <c r="L971" s="1"/>
      <c r="M971" s="1" t="s">
        <v>78</v>
      </c>
      <c r="N971" s="1" t="s">
        <v>186</v>
      </c>
      <c r="O971" s="1"/>
      <c r="P971" s="1"/>
      <c r="Q971" s="1"/>
      <c r="R971" s="1"/>
      <c r="S971" s="1"/>
      <c r="T971" s="1" t="s">
        <v>17246</v>
      </c>
      <c r="U971" s="1" t="s">
        <v>17247</v>
      </c>
      <c r="V971" s="1" t="s">
        <v>17248</v>
      </c>
      <c r="W971" s="1" t="s">
        <v>17249</v>
      </c>
      <c r="X971" s="1" t="s">
        <v>17250</v>
      </c>
      <c r="Y971" s="1" t="s">
        <v>17251</v>
      </c>
      <c r="Z971" s="1" t="s">
        <v>17252</v>
      </c>
      <c r="AA971" s="1" t="s">
        <v>17253</v>
      </c>
      <c r="AB971" s="1" t="s">
        <v>17254</v>
      </c>
      <c r="AC971" s="1"/>
      <c r="AD971" s="1"/>
      <c r="AE971" s="1"/>
      <c r="AF971" s="1"/>
      <c r="AG971" s="1" t="n">
        <v>79</v>
      </c>
      <c r="AH971" s="1" t="n">
        <v>0</v>
      </c>
      <c r="AI971" s="1" t="n">
        <v>0</v>
      </c>
      <c r="AJ971" s="1" t="n">
        <v>19</v>
      </c>
      <c r="AK971" s="1" t="n">
        <v>19</v>
      </c>
      <c r="AL971" s="1" t="s">
        <v>195</v>
      </c>
      <c r="AM971" s="1" t="s">
        <v>196</v>
      </c>
      <c r="AN971" s="1" t="s">
        <v>197</v>
      </c>
      <c r="AO971" s="1" t="s">
        <v>1114</v>
      </c>
      <c r="AP971" s="1"/>
      <c r="AQ971" s="1"/>
      <c r="AR971" s="1" t="s">
        <v>1104</v>
      </c>
      <c r="AS971" s="1" t="s">
        <v>1115</v>
      </c>
      <c r="AT971" s="1"/>
      <c r="AU971" s="1" t="n">
        <v>2024</v>
      </c>
      <c r="AV971" s="1" t="n">
        <v>12</v>
      </c>
      <c r="AW971" s="1"/>
      <c r="AX971" s="1"/>
      <c r="AY971" s="1"/>
      <c r="AZ971" s="1"/>
      <c r="BA971" s="1"/>
      <c r="BB971" s="1" t="n">
        <v>98900</v>
      </c>
      <c r="BC971" s="1" t="n">
        <v>98916</v>
      </c>
      <c r="BD971" s="1"/>
      <c r="BE971" s="1" t="s">
        <v>17255</v>
      </c>
      <c r="BF971" s="1" t="str">
        <f aca="false">HYPERLINK("http://dx.doi.org/10.1109/ACCESS.2024.3427416","http://dx.doi.org/10.1109/ACCESS.2024.3427416")</f>
        <v>http://dx.doi.org/10.1109/ACCESS.2024.3427416</v>
      </c>
      <c r="BG971" s="1"/>
      <c r="BH971" s="1"/>
      <c r="BI971" s="1" t="n">
        <v>17</v>
      </c>
      <c r="BJ971" s="1" t="s">
        <v>1117</v>
      </c>
      <c r="BK971" s="1" t="s">
        <v>204</v>
      </c>
      <c r="BL971" s="1" t="s">
        <v>1118</v>
      </c>
      <c r="BM971" s="1" t="s">
        <v>17256</v>
      </c>
      <c r="BN971" s="1"/>
      <c r="BO971" s="1" t="s">
        <v>642</v>
      </c>
      <c r="BP971" s="1"/>
      <c r="BQ971" s="1"/>
      <c r="BR971" s="1" t="s">
        <v>103</v>
      </c>
      <c r="BS971" s="1" t="s">
        <v>17257</v>
      </c>
      <c r="BT971" s="1" t="str">
        <f aca="false">HYPERLINK("https%3A%2F%2Fwww.webofscience.com%2Fwos%2Fwoscc%2Ffull-record%2FWOS:001276338800001","View Full Record in Web of Science")</f>
        <v>View Full Record in Web of Science</v>
      </c>
    </row>
    <row r="972" customFormat="false" ht="12.75" hidden="false" customHeight="false" outlineLevel="0" collapsed="false">
      <c r="A972" s="1" t="s">
        <v>181</v>
      </c>
      <c r="B972" s="1" t="s">
        <v>17258</v>
      </c>
      <c r="C972" s="1"/>
      <c r="D972" s="1"/>
      <c r="E972" s="1"/>
      <c r="F972" s="1" t="s">
        <v>17259</v>
      </c>
      <c r="G972" s="1"/>
      <c r="H972" s="1"/>
      <c r="I972" s="1" t="s">
        <v>17260</v>
      </c>
      <c r="J972" s="1" t="s">
        <v>17261</v>
      </c>
      <c r="K972" s="1"/>
      <c r="L972" s="1"/>
      <c r="M972" s="1" t="s">
        <v>78</v>
      </c>
      <c r="N972" s="1" t="s">
        <v>618</v>
      </c>
      <c r="O972" s="1"/>
      <c r="P972" s="1"/>
      <c r="Q972" s="1"/>
      <c r="R972" s="1"/>
      <c r="S972" s="1"/>
      <c r="T972" s="1" t="s">
        <v>17262</v>
      </c>
      <c r="U972" s="1" t="s">
        <v>17263</v>
      </c>
      <c r="V972" s="1" t="s">
        <v>17264</v>
      </c>
      <c r="W972" s="1" t="s">
        <v>17265</v>
      </c>
      <c r="X972" s="1" t="s">
        <v>17266</v>
      </c>
      <c r="Y972" s="1" t="s">
        <v>17267</v>
      </c>
      <c r="Z972" s="1" t="s">
        <v>15503</v>
      </c>
      <c r="AA972" s="1" t="s">
        <v>17268</v>
      </c>
      <c r="AB972" s="1" t="s">
        <v>17269</v>
      </c>
      <c r="AC972" s="1" t="s">
        <v>17270</v>
      </c>
      <c r="AD972" s="1" t="s">
        <v>17270</v>
      </c>
      <c r="AE972" s="1" t="s">
        <v>17271</v>
      </c>
      <c r="AF972" s="1"/>
      <c r="AG972" s="1" t="n">
        <v>97</v>
      </c>
      <c r="AH972" s="1" t="n">
        <v>27</v>
      </c>
      <c r="AI972" s="1" t="n">
        <v>30</v>
      </c>
      <c r="AJ972" s="1" t="n">
        <v>1</v>
      </c>
      <c r="AK972" s="1" t="n">
        <v>14</v>
      </c>
      <c r="AL972" s="1" t="s">
        <v>15126</v>
      </c>
      <c r="AM972" s="1" t="s">
        <v>15127</v>
      </c>
      <c r="AN972" s="1" t="s">
        <v>15128</v>
      </c>
      <c r="AO972" s="1" t="s">
        <v>17272</v>
      </c>
      <c r="AP972" s="1"/>
      <c r="AQ972" s="1"/>
      <c r="AR972" s="1" t="s">
        <v>17273</v>
      </c>
      <c r="AS972" s="1" t="s">
        <v>17274</v>
      </c>
      <c r="AT972" s="1"/>
      <c r="AU972" s="1" t="n">
        <v>2020</v>
      </c>
      <c r="AV972" s="1" t="n">
        <v>12</v>
      </c>
      <c r="AW972" s="1"/>
      <c r="AX972" s="1"/>
      <c r="AY972" s="1"/>
      <c r="AZ972" s="1"/>
      <c r="BA972" s="1"/>
      <c r="BB972" s="1" t="n">
        <v>251</v>
      </c>
      <c r="BC972" s="1" t="n">
        <v>262</v>
      </c>
      <c r="BD972" s="1"/>
      <c r="BE972" s="1" t="s">
        <v>17275</v>
      </c>
      <c r="BF972" s="1" t="str">
        <f aca="false">HYPERLINK("http://dx.doi.org/10.2147/CCIDE.S253765","http://dx.doi.org/10.2147/CCIDE.S253765")</f>
        <v>http://dx.doi.org/10.2147/CCIDE.S253765</v>
      </c>
      <c r="BG972" s="1"/>
      <c r="BH972" s="1"/>
      <c r="BI972" s="1" t="n">
        <v>12</v>
      </c>
      <c r="BJ972" s="1" t="s">
        <v>4910</v>
      </c>
      <c r="BK972" s="1" t="s">
        <v>253</v>
      </c>
      <c r="BL972" s="1" t="s">
        <v>4910</v>
      </c>
      <c r="BM972" s="1" t="s">
        <v>17276</v>
      </c>
      <c r="BN972" s="1" t="n">
        <v>32753975</v>
      </c>
      <c r="BO972" s="1" t="s">
        <v>401</v>
      </c>
      <c r="BP972" s="1"/>
      <c r="BQ972" s="1"/>
      <c r="BR972" s="1" t="s">
        <v>103</v>
      </c>
      <c r="BS972" s="1" t="s">
        <v>17277</v>
      </c>
      <c r="BT972" s="1" t="str">
        <f aca="false">HYPERLINK("https%3A%2F%2Fwww.webofscience.com%2Fwos%2Fwoscc%2Ffull-record%2FWOS:000552736400001","View Full Record in Web of Science")</f>
        <v>View Full Record in Web of Science</v>
      </c>
    </row>
    <row r="973" customFormat="false" ht="12.75" hidden="false" customHeight="false" outlineLevel="0" collapsed="false">
      <c r="A973" s="1" t="s">
        <v>181</v>
      </c>
      <c r="B973" s="1" t="s">
        <v>17278</v>
      </c>
      <c r="C973" s="1"/>
      <c r="D973" s="1"/>
      <c r="E973" s="1"/>
      <c r="F973" s="1" t="s">
        <v>17279</v>
      </c>
      <c r="G973" s="1"/>
      <c r="H973" s="1"/>
      <c r="I973" s="1" t="s">
        <v>17280</v>
      </c>
      <c r="J973" s="1" t="s">
        <v>17281</v>
      </c>
      <c r="K973" s="1"/>
      <c r="L973" s="1"/>
      <c r="M973" s="1" t="s">
        <v>78</v>
      </c>
      <c r="N973" s="1" t="s">
        <v>186</v>
      </c>
      <c r="O973" s="1"/>
      <c r="P973" s="1"/>
      <c r="Q973" s="1"/>
      <c r="R973" s="1"/>
      <c r="S973" s="1"/>
      <c r="T973" s="1" t="s">
        <v>17282</v>
      </c>
      <c r="U973" s="1" t="s">
        <v>17283</v>
      </c>
      <c r="V973" s="1" t="s">
        <v>17284</v>
      </c>
      <c r="W973" s="1" t="s">
        <v>17285</v>
      </c>
      <c r="X973" s="1" t="s">
        <v>17286</v>
      </c>
      <c r="Y973" s="1" t="s">
        <v>16962</v>
      </c>
      <c r="Z973" s="1" t="s">
        <v>16963</v>
      </c>
      <c r="AA973" s="1" t="s">
        <v>17287</v>
      </c>
      <c r="AB973" s="1" t="s">
        <v>17288</v>
      </c>
      <c r="AC973" s="1" t="s">
        <v>17289</v>
      </c>
      <c r="AD973" s="1" t="s">
        <v>17289</v>
      </c>
      <c r="AE973" s="1" t="s">
        <v>17289</v>
      </c>
      <c r="AF973" s="1"/>
      <c r="AG973" s="1" t="n">
        <v>37</v>
      </c>
      <c r="AH973" s="1" t="n">
        <v>8</v>
      </c>
      <c r="AI973" s="1" t="n">
        <v>8</v>
      </c>
      <c r="AJ973" s="1" t="n">
        <v>0</v>
      </c>
      <c r="AK973" s="1" t="n">
        <v>10</v>
      </c>
      <c r="AL973" s="1" t="s">
        <v>600</v>
      </c>
      <c r="AM973" s="1" t="s">
        <v>601</v>
      </c>
      <c r="AN973" s="1" t="s">
        <v>602</v>
      </c>
      <c r="AO973" s="1" t="s">
        <v>17290</v>
      </c>
      <c r="AP973" s="1" t="s">
        <v>17291</v>
      </c>
      <c r="AQ973" s="1"/>
      <c r="AR973" s="1" t="s">
        <v>17292</v>
      </c>
      <c r="AS973" s="1" t="s">
        <v>17293</v>
      </c>
      <c r="AT973" s="1" t="s">
        <v>1453</v>
      </c>
      <c r="AU973" s="1" t="n">
        <v>2023</v>
      </c>
      <c r="AV973" s="1" t="n">
        <v>89</v>
      </c>
      <c r="AW973" s="1" t="n">
        <v>1</v>
      </c>
      <c r="AX973" s="1"/>
      <c r="AY973" s="1"/>
      <c r="AZ973" s="1"/>
      <c r="BA973" s="1"/>
      <c r="BB973" s="1" t="n">
        <v>331</v>
      </c>
      <c r="BC973" s="1" t="n">
        <v>342</v>
      </c>
      <c r="BD973" s="1"/>
      <c r="BE973" s="1" t="s">
        <v>17294</v>
      </c>
      <c r="BF973" s="1" t="str">
        <f aca="false">HYPERLINK("http://dx.doi.org/10.1002/mrm.29432","http://dx.doi.org/10.1002/mrm.29432")</f>
        <v>http://dx.doi.org/10.1002/mrm.29432</v>
      </c>
      <c r="BG973" s="1"/>
      <c r="BH973" s="1" t="s">
        <v>3679</v>
      </c>
      <c r="BI973" s="1" t="n">
        <v>12</v>
      </c>
      <c r="BJ973" s="1" t="s">
        <v>17003</v>
      </c>
      <c r="BK973" s="1" t="s">
        <v>204</v>
      </c>
      <c r="BL973" s="1" t="s">
        <v>17003</v>
      </c>
      <c r="BM973" s="1" t="s">
        <v>17295</v>
      </c>
      <c r="BN973" s="1" t="n">
        <v>36110062</v>
      </c>
      <c r="BO973" s="1" t="s">
        <v>207</v>
      </c>
      <c r="BP973" s="1"/>
      <c r="BQ973" s="1"/>
      <c r="BR973" s="1" t="s">
        <v>103</v>
      </c>
      <c r="BS973" s="1" t="s">
        <v>17296</v>
      </c>
      <c r="BT973" s="1" t="str">
        <f aca="false">HYPERLINK("https%3A%2F%2Fwww.webofscience.com%2Fwos%2Fwoscc%2Ffull-record%2FWOS:000854034400001","View Full Record in Web of Science")</f>
        <v>View Full Record in Web of Science</v>
      </c>
    </row>
    <row r="974" customFormat="false" ht="12.75" hidden="false" customHeight="false" outlineLevel="0" collapsed="false">
      <c r="A974" s="1" t="s">
        <v>72</v>
      </c>
      <c r="B974" s="1" t="s">
        <v>17297</v>
      </c>
      <c r="C974" s="1"/>
      <c r="D974" s="1" t="s">
        <v>4598</v>
      </c>
      <c r="E974" s="1"/>
      <c r="F974" s="1" t="s">
        <v>17298</v>
      </c>
      <c r="G974" s="1"/>
      <c r="H974" s="1"/>
      <c r="I974" s="1" t="s">
        <v>17299</v>
      </c>
      <c r="J974" s="1" t="s">
        <v>9183</v>
      </c>
      <c r="K974" s="1" t="s">
        <v>9184</v>
      </c>
      <c r="L974" s="1"/>
      <c r="M974" s="1" t="s">
        <v>78</v>
      </c>
      <c r="N974" s="1" t="s">
        <v>79</v>
      </c>
      <c r="O974" s="1" t="s">
        <v>4602</v>
      </c>
      <c r="P974" s="1" t="s">
        <v>4603</v>
      </c>
      <c r="Q974" s="1" t="s">
        <v>4604</v>
      </c>
      <c r="R974" s="1" t="s">
        <v>1086</v>
      </c>
      <c r="S974" s="1"/>
      <c r="T974" s="1" t="s">
        <v>17300</v>
      </c>
      <c r="U974" s="1"/>
      <c r="V974" s="1" t="s">
        <v>17301</v>
      </c>
      <c r="W974" s="1" t="s">
        <v>17302</v>
      </c>
      <c r="X974" s="1" t="s">
        <v>17303</v>
      </c>
      <c r="Y974" s="1" t="s">
        <v>17304</v>
      </c>
      <c r="Z974" s="1" t="s">
        <v>17305</v>
      </c>
      <c r="AA974" s="1"/>
      <c r="AB974" s="1"/>
      <c r="AC974" s="1"/>
      <c r="AD974" s="1"/>
      <c r="AE974" s="1"/>
      <c r="AF974" s="1"/>
      <c r="AG974" s="1" t="n">
        <v>8</v>
      </c>
      <c r="AH974" s="1" t="n">
        <v>0</v>
      </c>
      <c r="AI974" s="1" t="n">
        <v>0</v>
      </c>
      <c r="AJ974" s="1" t="n">
        <v>1</v>
      </c>
      <c r="AK974" s="1" t="n">
        <v>1</v>
      </c>
      <c r="AL974" s="1" t="s">
        <v>172</v>
      </c>
      <c r="AM974" s="1" t="s">
        <v>173</v>
      </c>
      <c r="AN974" s="1" t="s">
        <v>174</v>
      </c>
      <c r="AO974" s="1" t="s">
        <v>9193</v>
      </c>
      <c r="AP974" s="1"/>
      <c r="AQ974" s="1" t="s">
        <v>9194</v>
      </c>
      <c r="AR974" s="1" t="s">
        <v>9195</v>
      </c>
      <c r="AS974" s="1"/>
      <c r="AT974" s="1"/>
      <c r="AU974" s="1" t="n">
        <v>2024</v>
      </c>
      <c r="AV974" s="1"/>
      <c r="AW974" s="1"/>
      <c r="AX974" s="1"/>
      <c r="AY974" s="1"/>
      <c r="AZ974" s="1"/>
      <c r="BA974" s="1"/>
      <c r="BB974" s="1" t="n">
        <v>83</v>
      </c>
      <c r="BC974" s="1" t="n">
        <v>85</v>
      </c>
      <c r="BD974" s="1"/>
      <c r="BE974" s="1" t="s">
        <v>17306</v>
      </c>
      <c r="BF974" s="1" t="str">
        <f aca="false">HYPERLINK("http://dx.doi.org/10.1109/REW61692.2024.00015","http://dx.doi.org/10.1109/REW61692.2024.00015")</f>
        <v>http://dx.doi.org/10.1109/REW61692.2024.00015</v>
      </c>
      <c r="BG974" s="1"/>
      <c r="BH974" s="1"/>
      <c r="BI974" s="1" t="n">
        <v>3</v>
      </c>
      <c r="BJ974" s="1" t="s">
        <v>9197</v>
      </c>
      <c r="BK974" s="1" t="s">
        <v>100</v>
      </c>
      <c r="BL974" s="1" t="s">
        <v>1255</v>
      </c>
      <c r="BM974" s="1" t="s">
        <v>9198</v>
      </c>
      <c r="BN974" s="1"/>
      <c r="BO974" s="1"/>
      <c r="BP974" s="1"/>
      <c r="BQ974" s="1"/>
      <c r="BR974" s="1" t="s">
        <v>103</v>
      </c>
      <c r="BS974" s="1" t="s">
        <v>17307</v>
      </c>
      <c r="BT974" s="1" t="str">
        <f aca="false">HYPERLINK("https%3A%2F%2Fwww.webofscience.com%2Fwos%2Fwoscc%2Ffull-record%2FWOS:001304537500011","View Full Record in Web of Science")</f>
        <v>View Full Record in Web of Science</v>
      </c>
    </row>
    <row r="975" customFormat="false" ht="12.75" hidden="false" customHeight="false" outlineLevel="0" collapsed="false">
      <c r="A975" s="1" t="s">
        <v>181</v>
      </c>
      <c r="B975" s="1" t="s">
        <v>17308</v>
      </c>
      <c r="C975" s="1"/>
      <c r="D975" s="1"/>
      <c r="E975" s="1"/>
      <c r="F975" s="1" t="s">
        <v>17309</v>
      </c>
      <c r="G975" s="1"/>
      <c r="H975" s="1"/>
      <c r="I975" s="1" t="s">
        <v>17310</v>
      </c>
      <c r="J975" s="1" t="s">
        <v>1104</v>
      </c>
      <c r="K975" s="1"/>
      <c r="L975" s="1"/>
      <c r="M975" s="1" t="s">
        <v>78</v>
      </c>
      <c r="N975" s="1" t="s">
        <v>186</v>
      </c>
      <c r="O975" s="1"/>
      <c r="P975" s="1"/>
      <c r="Q975" s="1"/>
      <c r="R975" s="1"/>
      <c r="S975" s="1"/>
      <c r="T975" s="1" t="s">
        <v>17311</v>
      </c>
      <c r="U975" s="1"/>
      <c r="V975" s="1" t="s">
        <v>17312</v>
      </c>
      <c r="W975" s="1" t="s">
        <v>17313</v>
      </c>
      <c r="X975" s="1" t="s">
        <v>17314</v>
      </c>
      <c r="Y975" s="1" t="s">
        <v>17315</v>
      </c>
      <c r="Z975" s="1" t="s">
        <v>17316</v>
      </c>
      <c r="AA975" s="1" t="s">
        <v>17317</v>
      </c>
      <c r="AB975" s="1" t="s">
        <v>17318</v>
      </c>
      <c r="AC975" s="1" t="s">
        <v>268</v>
      </c>
      <c r="AD975" s="1" t="s">
        <v>268</v>
      </c>
      <c r="AE975" s="1" t="s">
        <v>916</v>
      </c>
      <c r="AF975" s="1"/>
      <c r="AG975" s="1" t="n">
        <v>74</v>
      </c>
      <c r="AH975" s="1" t="n">
        <v>4</v>
      </c>
      <c r="AI975" s="1" t="n">
        <v>4</v>
      </c>
      <c r="AJ975" s="1" t="n">
        <v>3</v>
      </c>
      <c r="AK975" s="1" t="n">
        <v>5</v>
      </c>
      <c r="AL975" s="1" t="s">
        <v>195</v>
      </c>
      <c r="AM975" s="1" t="s">
        <v>196</v>
      </c>
      <c r="AN975" s="1" t="s">
        <v>197</v>
      </c>
      <c r="AO975" s="1" t="s">
        <v>1114</v>
      </c>
      <c r="AP975" s="1"/>
      <c r="AQ975" s="1"/>
      <c r="AR975" s="1" t="s">
        <v>1104</v>
      </c>
      <c r="AS975" s="1" t="s">
        <v>1115</v>
      </c>
      <c r="AT975" s="1"/>
      <c r="AU975" s="1" t="n">
        <v>2024</v>
      </c>
      <c r="AV975" s="1" t="n">
        <v>12</v>
      </c>
      <c r="AW975" s="1"/>
      <c r="AX975" s="1"/>
      <c r="AY975" s="1"/>
      <c r="AZ975" s="1"/>
      <c r="BA975" s="1"/>
      <c r="BB975" s="1" t="n">
        <v>44888</v>
      </c>
      <c r="BC975" s="1" t="n">
        <v>44904</v>
      </c>
      <c r="BD975" s="1"/>
      <c r="BE975" s="1" t="s">
        <v>17319</v>
      </c>
      <c r="BF975" s="1" t="str">
        <f aca="false">HYPERLINK("http://dx.doi.org/10.1109/ACCESS.2024.3380167","http://dx.doi.org/10.1109/ACCESS.2024.3380167")</f>
        <v>http://dx.doi.org/10.1109/ACCESS.2024.3380167</v>
      </c>
      <c r="BG975" s="1"/>
      <c r="BH975" s="1"/>
      <c r="BI975" s="1" t="n">
        <v>17</v>
      </c>
      <c r="BJ975" s="1" t="s">
        <v>1117</v>
      </c>
      <c r="BK975" s="1" t="s">
        <v>204</v>
      </c>
      <c r="BL975" s="1" t="s">
        <v>1118</v>
      </c>
      <c r="BM975" s="1" t="s">
        <v>17320</v>
      </c>
      <c r="BN975" s="1"/>
      <c r="BO975" s="1" t="s">
        <v>376</v>
      </c>
      <c r="BP975" s="1"/>
      <c r="BQ975" s="1"/>
      <c r="BR975" s="1" t="s">
        <v>103</v>
      </c>
      <c r="BS975" s="1" t="s">
        <v>17321</v>
      </c>
      <c r="BT975" s="1" t="str">
        <f aca="false">HYPERLINK("https%3A%2F%2Fwww.webofscience.com%2Fwos%2Fwoscc%2Ffull-record%2FWOS:001193664800001","View Full Record in Web of Science")</f>
        <v>View Full Record in Web of Science</v>
      </c>
    </row>
    <row r="976" customFormat="false" ht="12.75" hidden="false" customHeight="false" outlineLevel="0" collapsed="false">
      <c r="A976" s="1" t="s">
        <v>181</v>
      </c>
      <c r="B976" s="1" t="s">
        <v>17322</v>
      </c>
      <c r="C976" s="1"/>
      <c r="D976" s="1"/>
      <c r="E976" s="1"/>
      <c r="F976" s="1" t="s">
        <v>17323</v>
      </c>
      <c r="G976" s="1"/>
      <c r="H976" s="1"/>
      <c r="I976" s="1" t="s">
        <v>17324</v>
      </c>
      <c r="J976" s="1" t="s">
        <v>17325</v>
      </c>
      <c r="K976" s="1"/>
      <c r="L976" s="1"/>
      <c r="M976" s="1" t="s">
        <v>78</v>
      </c>
      <c r="N976" s="1" t="s">
        <v>618</v>
      </c>
      <c r="O976" s="1"/>
      <c r="P976" s="1"/>
      <c r="Q976" s="1"/>
      <c r="R976" s="1"/>
      <c r="S976" s="1"/>
      <c r="T976" s="1" t="s">
        <v>17326</v>
      </c>
      <c r="U976" s="1" t="s">
        <v>17327</v>
      </c>
      <c r="V976" s="1" t="s">
        <v>17328</v>
      </c>
      <c r="W976" s="1" t="s">
        <v>17329</v>
      </c>
      <c r="X976" s="1" t="s">
        <v>17330</v>
      </c>
      <c r="Y976" s="1" t="s">
        <v>17331</v>
      </c>
      <c r="Z976" s="1" t="s">
        <v>17332</v>
      </c>
      <c r="AA976" s="1" t="s">
        <v>17333</v>
      </c>
      <c r="AB976" s="1" t="s">
        <v>17334</v>
      </c>
      <c r="AC976" s="1" t="s">
        <v>17335</v>
      </c>
      <c r="AD976" s="1" t="s">
        <v>17336</v>
      </c>
      <c r="AE976" s="1" t="s">
        <v>17337</v>
      </c>
      <c r="AF976" s="1"/>
      <c r="AG976" s="1" t="n">
        <v>191</v>
      </c>
      <c r="AH976" s="1" t="n">
        <v>22</v>
      </c>
      <c r="AI976" s="1" t="n">
        <v>25</v>
      </c>
      <c r="AJ976" s="1" t="n">
        <v>4</v>
      </c>
      <c r="AK976" s="1" t="n">
        <v>35</v>
      </c>
      <c r="AL976" s="1" t="s">
        <v>367</v>
      </c>
      <c r="AM976" s="1" t="s">
        <v>368</v>
      </c>
      <c r="AN976" s="1" t="s">
        <v>369</v>
      </c>
      <c r="AO976" s="1"/>
      <c r="AP976" s="1" t="s">
        <v>17338</v>
      </c>
      <c r="AQ976" s="1"/>
      <c r="AR976" s="1" t="s">
        <v>17325</v>
      </c>
      <c r="AS976" s="1" t="s">
        <v>17339</v>
      </c>
      <c r="AT976" s="1" t="s">
        <v>537</v>
      </c>
      <c r="AU976" s="1" t="n">
        <v>2021</v>
      </c>
      <c r="AV976" s="1" t="n">
        <v>13</v>
      </c>
      <c r="AW976" s="1" t="n">
        <v>3</v>
      </c>
      <c r="AX976" s="1"/>
      <c r="AY976" s="1"/>
      <c r="AZ976" s="1"/>
      <c r="BA976" s="1"/>
      <c r="BB976" s="1"/>
      <c r="BC976" s="1"/>
      <c r="BD976" s="1" t="n">
        <v>552</v>
      </c>
      <c r="BE976" s="1" t="s">
        <v>17340</v>
      </c>
      <c r="BF976" s="1" t="str">
        <f aca="false">HYPERLINK("http://dx.doi.org/10.3390/cancers13030552","http://dx.doi.org/10.3390/cancers13030552")</f>
        <v>http://dx.doi.org/10.3390/cancers13030552</v>
      </c>
      <c r="BG976" s="1"/>
      <c r="BH976" s="1"/>
      <c r="BI976" s="1" t="n">
        <v>21</v>
      </c>
      <c r="BJ976" s="1" t="s">
        <v>14513</v>
      </c>
      <c r="BK976" s="1" t="s">
        <v>204</v>
      </c>
      <c r="BL976" s="1" t="s">
        <v>14513</v>
      </c>
      <c r="BM976" s="1" t="s">
        <v>17341</v>
      </c>
      <c r="BN976" s="1" t="n">
        <v>33535569</v>
      </c>
      <c r="BO976" s="1" t="s">
        <v>542</v>
      </c>
      <c r="BP976" s="1"/>
      <c r="BQ976" s="1"/>
      <c r="BR976" s="1" t="s">
        <v>103</v>
      </c>
      <c r="BS976" s="1" t="s">
        <v>17342</v>
      </c>
      <c r="BT976" s="1" t="str">
        <f aca="false">HYPERLINK("https%3A%2F%2Fwww.webofscience.com%2Fwos%2Fwoscc%2Ffull-record%2FWOS:000614966800001","View Full Record in Web of Science")</f>
        <v>View Full Record in Web of Science</v>
      </c>
    </row>
    <row r="977" customFormat="false" ht="12.75" hidden="false" customHeight="false" outlineLevel="0" collapsed="false">
      <c r="A977" s="1" t="s">
        <v>181</v>
      </c>
      <c r="B977" s="1" t="s">
        <v>17343</v>
      </c>
      <c r="C977" s="1"/>
      <c r="D977" s="1"/>
      <c r="E977" s="1"/>
      <c r="F977" s="1" t="s">
        <v>17344</v>
      </c>
      <c r="G977" s="1"/>
      <c r="H977" s="1"/>
      <c r="I977" s="1" t="s">
        <v>17345</v>
      </c>
      <c r="J977" s="1" t="s">
        <v>743</v>
      </c>
      <c r="K977" s="1"/>
      <c r="L977" s="1"/>
      <c r="M977" s="1" t="s">
        <v>78</v>
      </c>
      <c r="N977" s="1" t="s">
        <v>5066</v>
      </c>
      <c r="O977" s="1"/>
      <c r="P977" s="1"/>
      <c r="Q977" s="1"/>
      <c r="R977" s="1"/>
      <c r="S977" s="1"/>
      <c r="T977" s="1"/>
      <c r="U977" s="1"/>
      <c r="V977" s="1"/>
      <c r="W977" s="1" t="s">
        <v>17346</v>
      </c>
      <c r="X977" s="1" t="s">
        <v>17347</v>
      </c>
      <c r="Y977" s="1" t="s">
        <v>17348</v>
      </c>
      <c r="Z977" s="1" t="s">
        <v>17349</v>
      </c>
      <c r="AA977" s="1" t="s">
        <v>17350</v>
      </c>
      <c r="AB977" s="1"/>
      <c r="AC977" s="1"/>
      <c r="AD977" s="1"/>
      <c r="AE977" s="1"/>
      <c r="AF977" s="1"/>
      <c r="AG977" s="1" t="n">
        <v>1</v>
      </c>
      <c r="AH977" s="1" t="n">
        <v>0</v>
      </c>
      <c r="AI977" s="1" t="n">
        <v>0</v>
      </c>
      <c r="AJ977" s="1" t="n">
        <v>0</v>
      </c>
      <c r="AK977" s="1" t="n">
        <v>4</v>
      </c>
      <c r="AL977" s="1" t="s">
        <v>367</v>
      </c>
      <c r="AM977" s="1" t="s">
        <v>368</v>
      </c>
      <c r="AN977" s="1" t="s">
        <v>369</v>
      </c>
      <c r="AO977" s="1"/>
      <c r="AP977" s="1" t="s">
        <v>751</v>
      </c>
      <c r="AQ977" s="1"/>
      <c r="AR977" s="1" t="s">
        <v>752</v>
      </c>
      <c r="AS977" s="1" t="s">
        <v>753</v>
      </c>
      <c r="AT977" s="1" t="s">
        <v>537</v>
      </c>
      <c r="AU977" s="1" t="n">
        <v>2022</v>
      </c>
      <c r="AV977" s="1" t="n">
        <v>11</v>
      </c>
      <c r="AW977" s="1" t="n">
        <v>3</v>
      </c>
      <c r="AX977" s="1"/>
      <c r="AY977" s="1"/>
      <c r="AZ977" s="1"/>
      <c r="BA977" s="1"/>
      <c r="BB977" s="1"/>
      <c r="BC977" s="1"/>
      <c r="BD977" s="1" t="n">
        <v>349</v>
      </c>
      <c r="BE977" s="1" t="s">
        <v>17351</v>
      </c>
      <c r="BF977" s="1" t="str">
        <f aca="false">HYPERLINK("http://dx.doi.org/10.3390/electronics11030349","http://dx.doi.org/10.3390/electronics11030349")</f>
        <v>http://dx.doi.org/10.3390/electronics11030349</v>
      </c>
      <c r="BG977" s="1"/>
      <c r="BH977" s="1"/>
      <c r="BI977" s="1" t="n">
        <v>1</v>
      </c>
      <c r="BJ977" s="1" t="s">
        <v>756</v>
      </c>
      <c r="BK977" s="1" t="s">
        <v>204</v>
      </c>
      <c r="BL977" s="1" t="s">
        <v>757</v>
      </c>
      <c r="BM977" s="1" t="s">
        <v>17352</v>
      </c>
      <c r="BN977" s="1"/>
      <c r="BO977" s="1" t="s">
        <v>401</v>
      </c>
      <c r="BP977" s="1"/>
      <c r="BQ977" s="1"/>
      <c r="BR977" s="1" t="s">
        <v>103</v>
      </c>
      <c r="BS977" s="1" t="s">
        <v>17353</v>
      </c>
      <c r="BT977" s="1" t="str">
        <f aca="false">HYPERLINK("https%3A%2F%2Fwww.webofscience.com%2Fwos%2Fwoscc%2Ffull-record%2FWOS:000760789300001","View Full Record in Web of Science")</f>
        <v>View Full Record in Web of Science</v>
      </c>
    </row>
    <row r="978" customFormat="false" ht="12.75" hidden="false" customHeight="false" outlineLevel="0" collapsed="false">
      <c r="A978" s="1" t="s">
        <v>181</v>
      </c>
      <c r="B978" s="1" t="s">
        <v>17354</v>
      </c>
      <c r="C978" s="1"/>
      <c r="D978" s="1"/>
      <c r="E978" s="1"/>
      <c r="F978" s="1" t="s">
        <v>17355</v>
      </c>
      <c r="G978" s="1"/>
      <c r="H978" s="1"/>
      <c r="I978" s="1" t="s">
        <v>17356</v>
      </c>
      <c r="J978" s="1" t="s">
        <v>11510</v>
      </c>
      <c r="K978" s="1"/>
      <c r="L978" s="1"/>
      <c r="M978" s="1" t="s">
        <v>78</v>
      </c>
      <c r="N978" s="1" t="s">
        <v>618</v>
      </c>
      <c r="O978" s="1"/>
      <c r="P978" s="1"/>
      <c r="Q978" s="1"/>
      <c r="R978" s="1"/>
      <c r="S978" s="1"/>
      <c r="T978" s="1" t="s">
        <v>17357</v>
      </c>
      <c r="U978" s="1" t="s">
        <v>17358</v>
      </c>
      <c r="V978" s="1" t="s">
        <v>17359</v>
      </c>
      <c r="W978" s="1" t="s">
        <v>17360</v>
      </c>
      <c r="X978" s="1" t="s">
        <v>17361</v>
      </c>
      <c r="Y978" s="1" t="s">
        <v>17362</v>
      </c>
      <c r="Z978" s="1" t="s">
        <v>17363</v>
      </c>
      <c r="AA978" s="1" t="s">
        <v>17364</v>
      </c>
      <c r="AB978" s="1" t="s">
        <v>17365</v>
      </c>
      <c r="AC978" s="1"/>
      <c r="AD978" s="1"/>
      <c r="AE978" s="1"/>
      <c r="AF978" s="1"/>
      <c r="AG978" s="1" t="n">
        <v>119</v>
      </c>
      <c r="AH978" s="1" t="n">
        <v>4</v>
      </c>
      <c r="AI978" s="1" t="n">
        <v>4</v>
      </c>
      <c r="AJ978" s="1" t="n">
        <v>37</v>
      </c>
      <c r="AK978" s="1" t="n">
        <v>37</v>
      </c>
      <c r="AL978" s="1" t="s">
        <v>679</v>
      </c>
      <c r="AM978" s="1" t="s">
        <v>95</v>
      </c>
      <c r="AN978" s="1" t="s">
        <v>803</v>
      </c>
      <c r="AO978" s="1"/>
      <c r="AP978" s="1" t="s">
        <v>11522</v>
      </c>
      <c r="AQ978" s="1"/>
      <c r="AR978" s="1" t="s">
        <v>11523</v>
      </c>
      <c r="AS978" s="1" t="s">
        <v>11524</v>
      </c>
      <c r="AT978" s="1" t="s">
        <v>7739</v>
      </c>
      <c r="AU978" s="1" t="n">
        <v>2024</v>
      </c>
      <c r="AV978" s="1" t="n">
        <v>13</v>
      </c>
      <c r="AW978" s="1" t="n">
        <v>1</v>
      </c>
      <c r="AX978" s="1"/>
      <c r="AY978" s="1"/>
      <c r="AZ978" s="1"/>
      <c r="BA978" s="1"/>
      <c r="BB978" s="1"/>
      <c r="BC978" s="1"/>
      <c r="BD978" s="1" t="n">
        <v>131</v>
      </c>
      <c r="BE978" s="1" t="s">
        <v>17366</v>
      </c>
      <c r="BF978" s="1" t="str">
        <f aca="false">HYPERLINK("http://dx.doi.org/10.1186/s13677-024-00691-z","http://dx.doi.org/10.1186/s13677-024-00691-z")</f>
        <v>http://dx.doi.org/10.1186/s13677-024-00691-z</v>
      </c>
      <c r="BG978" s="1"/>
      <c r="BH978" s="1"/>
      <c r="BI978" s="1" t="n">
        <v>21</v>
      </c>
      <c r="BJ978" s="1" t="s">
        <v>4212</v>
      </c>
      <c r="BK978" s="1" t="s">
        <v>204</v>
      </c>
      <c r="BL978" s="1" t="s">
        <v>101</v>
      </c>
      <c r="BM978" s="1" t="s">
        <v>17367</v>
      </c>
      <c r="BN978" s="1"/>
      <c r="BO978" s="1" t="s">
        <v>642</v>
      </c>
      <c r="BP978" s="1"/>
      <c r="BQ978" s="1"/>
      <c r="BR978" s="1" t="s">
        <v>103</v>
      </c>
      <c r="BS978" s="1" t="s">
        <v>17368</v>
      </c>
      <c r="BT978" s="1" t="str">
        <f aca="false">HYPERLINK("https%3A%2F%2Fwww.webofscience.com%2Fwos%2Fwoscc%2Ffull-record%2FWOS:001291233300002","View Full Record in Web of Science")</f>
        <v>View Full Record in Web of Science</v>
      </c>
    </row>
    <row r="979" customFormat="false" ht="12.75" hidden="false" customHeight="false" outlineLevel="0" collapsed="false">
      <c r="A979" s="1" t="s">
        <v>72</v>
      </c>
      <c r="B979" s="1" t="s">
        <v>17369</v>
      </c>
      <c r="C979" s="1"/>
      <c r="D979" s="1" t="s">
        <v>17370</v>
      </c>
      <c r="E979" s="1"/>
      <c r="F979" s="1" t="s">
        <v>17371</v>
      </c>
      <c r="G979" s="1"/>
      <c r="H979" s="1"/>
      <c r="I979" s="1" t="s">
        <v>17372</v>
      </c>
      <c r="J979" s="1" t="s">
        <v>17373</v>
      </c>
      <c r="K979" s="1" t="s">
        <v>498</v>
      </c>
      <c r="L979" s="1"/>
      <c r="M979" s="1" t="s">
        <v>78</v>
      </c>
      <c r="N979" s="1" t="s">
        <v>79</v>
      </c>
      <c r="O979" s="1" t="s">
        <v>17374</v>
      </c>
      <c r="P979" s="1" t="s">
        <v>17375</v>
      </c>
      <c r="Q979" s="1" t="s">
        <v>1792</v>
      </c>
      <c r="R979" s="1"/>
      <c r="S979" s="1"/>
      <c r="T979" s="1" t="s">
        <v>17376</v>
      </c>
      <c r="U979" s="1" t="s">
        <v>17377</v>
      </c>
      <c r="V979" s="1" t="s">
        <v>17378</v>
      </c>
      <c r="W979" s="1" t="s">
        <v>17379</v>
      </c>
      <c r="X979" s="1" t="s">
        <v>17380</v>
      </c>
      <c r="Y979" s="1" t="s">
        <v>17381</v>
      </c>
      <c r="Z979" s="1" t="s">
        <v>16824</v>
      </c>
      <c r="AA979" s="1" t="s">
        <v>17382</v>
      </c>
      <c r="AB979" s="1" t="s">
        <v>17383</v>
      </c>
      <c r="AC979" s="1"/>
      <c r="AD979" s="1"/>
      <c r="AE979" s="1"/>
      <c r="AF979" s="1"/>
      <c r="AG979" s="1" t="n">
        <v>44</v>
      </c>
      <c r="AH979" s="1" t="n">
        <v>1</v>
      </c>
      <c r="AI979" s="1" t="n">
        <v>1</v>
      </c>
      <c r="AJ979" s="1" t="n">
        <v>0</v>
      </c>
      <c r="AK979" s="1" t="n">
        <v>0</v>
      </c>
      <c r="AL979" s="1" t="s">
        <v>302</v>
      </c>
      <c r="AM979" s="1" t="s">
        <v>303</v>
      </c>
      <c r="AN979" s="1" t="s">
        <v>304</v>
      </c>
      <c r="AO979" s="1" t="s">
        <v>512</v>
      </c>
      <c r="AP979" s="1" t="s">
        <v>513</v>
      </c>
      <c r="AQ979" s="1" t="s">
        <v>17384</v>
      </c>
      <c r="AR979" s="1" t="s">
        <v>515</v>
      </c>
      <c r="AS979" s="1"/>
      <c r="AT979" s="1"/>
      <c r="AU979" s="1" t="n">
        <v>2024</v>
      </c>
      <c r="AV979" s="1" t="n">
        <v>505</v>
      </c>
      <c r="AW979" s="1"/>
      <c r="AX979" s="1"/>
      <c r="AY979" s="1"/>
      <c r="AZ979" s="1"/>
      <c r="BA979" s="1"/>
      <c r="BB979" s="1" t="n">
        <v>112</v>
      </c>
      <c r="BC979" s="1" t="n">
        <v>131</v>
      </c>
      <c r="BD979" s="1"/>
      <c r="BE979" s="1" t="s">
        <v>17385</v>
      </c>
      <c r="BF979" s="1" t="str">
        <f aca="false">HYPERLINK("http://dx.doi.org/10.1007/978-3-031-56281-5_7","http://dx.doi.org/10.1007/978-3-031-56281-5_7")</f>
        <v>http://dx.doi.org/10.1007/978-3-031-56281-5_7</v>
      </c>
      <c r="BG979" s="1"/>
      <c r="BH979" s="1"/>
      <c r="BI979" s="1" t="n">
        <v>20</v>
      </c>
      <c r="BJ979" s="1" t="s">
        <v>517</v>
      </c>
      <c r="BK979" s="1" t="s">
        <v>100</v>
      </c>
      <c r="BL979" s="1" t="s">
        <v>101</v>
      </c>
      <c r="BM979" s="1" t="s">
        <v>17386</v>
      </c>
      <c r="BN979" s="1"/>
      <c r="BO979" s="1"/>
      <c r="BP979" s="1"/>
      <c r="BQ979" s="1"/>
      <c r="BR979" s="1" t="s">
        <v>103</v>
      </c>
      <c r="BS979" s="1" t="s">
        <v>17387</v>
      </c>
      <c r="BT979" s="1" t="str">
        <f aca="false">HYPERLINK("https%3A%2F%2Fwww.webofscience.com%2Fwos%2Fwoscc%2Ffull-record%2FWOS:001267936400007","View Full Record in Web of Science")</f>
        <v>View Full Record in Web of Science</v>
      </c>
    </row>
    <row r="980" customFormat="false" ht="12.75" hidden="false" customHeight="false" outlineLevel="0" collapsed="false">
      <c r="A980" s="1" t="s">
        <v>181</v>
      </c>
      <c r="B980" s="1" t="s">
        <v>16385</v>
      </c>
      <c r="C980" s="1"/>
      <c r="D980" s="1"/>
      <c r="E980" s="1"/>
      <c r="F980" s="1" t="s">
        <v>16386</v>
      </c>
      <c r="G980" s="1"/>
      <c r="H980" s="1"/>
      <c r="I980" s="1" t="s">
        <v>17388</v>
      </c>
      <c r="J980" s="1" t="s">
        <v>4178</v>
      </c>
      <c r="K980" s="1"/>
      <c r="L980" s="1"/>
      <c r="M980" s="1" t="s">
        <v>78</v>
      </c>
      <c r="N980" s="1" t="s">
        <v>1996</v>
      </c>
      <c r="O980" s="1"/>
      <c r="P980" s="1"/>
      <c r="Q980" s="1"/>
      <c r="R980" s="1"/>
      <c r="S980" s="1"/>
      <c r="T980" s="1" t="s">
        <v>17389</v>
      </c>
      <c r="U980" s="1"/>
      <c r="V980" s="1" t="s">
        <v>17390</v>
      </c>
      <c r="W980" s="1" t="s">
        <v>17391</v>
      </c>
      <c r="X980" s="1" t="s">
        <v>16391</v>
      </c>
      <c r="Y980" s="1" t="s">
        <v>17392</v>
      </c>
      <c r="Z980" s="1" t="s">
        <v>16393</v>
      </c>
      <c r="AA980" s="1" t="s">
        <v>17393</v>
      </c>
      <c r="AB980" s="1" t="s">
        <v>17394</v>
      </c>
      <c r="AC980" s="1"/>
      <c r="AD980" s="1"/>
      <c r="AE980" s="1"/>
      <c r="AF980" s="1"/>
      <c r="AG980" s="1" t="n">
        <v>4</v>
      </c>
      <c r="AH980" s="1" t="n">
        <v>0</v>
      </c>
      <c r="AI980" s="1" t="n">
        <v>0</v>
      </c>
      <c r="AJ980" s="1" t="n">
        <v>4</v>
      </c>
      <c r="AK980" s="1" t="n">
        <v>9</v>
      </c>
      <c r="AL980" s="1" t="s">
        <v>600</v>
      </c>
      <c r="AM980" s="1" t="s">
        <v>601</v>
      </c>
      <c r="AN980" s="1" t="s">
        <v>602</v>
      </c>
      <c r="AO980" s="1" t="s">
        <v>4190</v>
      </c>
      <c r="AP980" s="1" t="s">
        <v>4191</v>
      </c>
      <c r="AQ980" s="1"/>
      <c r="AR980" s="1" t="s">
        <v>4192</v>
      </c>
      <c r="AS980" s="1" t="s">
        <v>4193</v>
      </c>
      <c r="AT980" s="1" t="s">
        <v>2698</v>
      </c>
      <c r="AU980" s="1" t="n">
        <v>2023</v>
      </c>
      <c r="AV980" s="1" t="n">
        <v>35</v>
      </c>
      <c r="AW980" s="1" t="n">
        <v>6</v>
      </c>
      <c r="AX980" s="1"/>
      <c r="AY980" s="1"/>
      <c r="AZ980" s="1" t="s">
        <v>1698</v>
      </c>
      <c r="BA980" s="1"/>
      <c r="BB980" s="1"/>
      <c r="BC980" s="1"/>
      <c r="BD980" s="1" t="s">
        <v>17395</v>
      </c>
      <c r="BE980" s="1" t="s">
        <v>17396</v>
      </c>
      <c r="BF980" s="1" t="str">
        <f aca="false">HYPERLINK("http://dx.doi.org/10.1002/smr.2545","http://dx.doi.org/10.1002/smr.2545")</f>
        <v>http://dx.doi.org/10.1002/smr.2545</v>
      </c>
      <c r="BG980" s="1"/>
      <c r="BH980" s="1" t="s">
        <v>2833</v>
      </c>
      <c r="BI980" s="1" t="n">
        <v>2</v>
      </c>
      <c r="BJ980" s="1" t="s">
        <v>252</v>
      </c>
      <c r="BK980" s="1" t="s">
        <v>204</v>
      </c>
      <c r="BL980" s="1" t="s">
        <v>101</v>
      </c>
      <c r="BM980" s="1" t="s">
        <v>17397</v>
      </c>
      <c r="BN980" s="1"/>
      <c r="BO980" s="1" t="s">
        <v>7706</v>
      </c>
      <c r="BP980" s="1"/>
      <c r="BQ980" s="1"/>
      <c r="BR980" s="1" t="s">
        <v>103</v>
      </c>
      <c r="BS980" s="1" t="s">
        <v>17398</v>
      </c>
      <c r="BT980" s="1" t="str">
        <f aca="false">HYPERLINK("https%3A%2F%2Fwww.webofscience.com%2Fwos%2Fwoscc%2Ffull-record%2FWOS:000940938700001","View Full Record in Web of Science")</f>
        <v>View Full Record in Web of Science</v>
      </c>
    </row>
    <row r="981" customFormat="false" ht="12.75" hidden="false" customHeight="false" outlineLevel="0" collapsed="false">
      <c r="A981" s="1" t="s">
        <v>181</v>
      </c>
      <c r="B981" s="1" t="s">
        <v>17399</v>
      </c>
      <c r="C981" s="1"/>
      <c r="D981" s="1"/>
      <c r="E981" s="1"/>
      <c r="F981" s="1" t="s">
        <v>17400</v>
      </c>
      <c r="G981" s="1"/>
      <c r="H981" s="1"/>
      <c r="I981" s="1" t="s">
        <v>17401</v>
      </c>
      <c r="J981" s="1" t="s">
        <v>17402</v>
      </c>
      <c r="K981" s="1"/>
      <c r="L981" s="1"/>
      <c r="M981" s="1" t="s">
        <v>78</v>
      </c>
      <c r="N981" s="1" t="s">
        <v>186</v>
      </c>
      <c r="O981" s="1"/>
      <c r="P981" s="1"/>
      <c r="Q981" s="1"/>
      <c r="R981" s="1"/>
      <c r="S981" s="1"/>
      <c r="T981" s="1" t="s">
        <v>17403</v>
      </c>
      <c r="U981" s="1" t="s">
        <v>17404</v>
      </c>
      <c r="V981" s="1" t="s">
        <v>17405</v>
      </c>
      <c r="W981" s="1" t="s">
        <v>17406</v>
      </c>
      <c r="X981" s="1" t="s">
        <v>17407</v>
      </c>
      <c r="Y981" s="1" t="s">
        <v>17408</v>
      </c>
      <c r="Z981" s="1" t="s">
        <v>17409</v>
      </c>
      <c r="AA981" s="1" t="s">
        <v>17410</v>
      </c>
      <c r="AB981" s="1" t="s">
        <v>17411</v>
      </c>
      <c r="AC981" s="1"/>
      <c r="AD981" s="1"/>
      <c r="AE981" s="1"/>
      <c r="AF981" s="1"/>
      <c r="AG981" s="1" t="n">
        <v>31</v>
      </c>
      <c r="AH981" s="1" t="n">
        <v>5</v>
      </c>
      <c r="AI981" s="1" t="n">
        <v>5</v>
      </c>
      <c r="AJ981" s="1" t="n">
        <v>0</v>
      </c>
      <c r="AK981" s="1" t="n">
        <v>2</v>
      </c>
      <c r="AL981" s="1" t="s">
        <v>3228</v>
      </c>
      <c r="AM981" s="1" t="s">
        <v>3229</v>
      </c>
      <c r="AN981" s="1" t="s">
        <v>3230</v>
      </c>
      <c r="AO981" s="1" t="s">
        <v>17412</v>
      </c>
      <c r="AP981" s="1" t="s">
        <v>17413</v>
      </c>
      <c r="AQ981" s="1"/>
      <c r="AR981" s="1" t="s">
        <v>17414</v>
      </c>
      <c r="AS981" s="1" t="s">
        <v>17415</v>
      </c>
      <c r="AT981" s="1" t="s">
        <v>754</v>
      </c>
      <c r="AU981" s="1" t="n">
        <v>2023</v>
      </c>
      <c r="AV981" s="1" t="n">
        <v>162</v>
      </c>
      <c r="AW981" s="1"/>
      <c r="AX981" s="1"/>
      <c r="AY981" s="1"/>
      <c r="AZ981" s="1"/>
      <c r="BA981" s="1"/>
      <c r="BB981" s="1"/>
      <c r="BC981" s="1"/>
      <c r="BD981" s="1" t="n">
        <v>110759</v>
      </c>
      <c r="BE981" s="1" t="s">
        <v>17416</v>
      </c>
      <c r="BF981" s="1" t="str">
        <f aca="false">HYPERLINK("http://dx.doi.org/10.1016/j.ejrad.2023.110759","http://dx.doi.org/10.1016/j.ejrad.2023.110759")</f>
        <v>http://dx.doi.org/10.1016/j.ejrad.2023.110759</v>
      </c>
      <c r="BG981" s="1"/>
      <c r="BH981" s="1" t="s">
        <v>4380</v>
      </c>
      <c r="BI981" s="1" t="n">
        <v>11</v>
      </c>
      <c r="BJ981" s="1" t="s">
        <v>17003</v>
      </c>
      <c r="BK981" s="1" t="s">
        <v>204</v>
      </c>
      <c r="BL981" s="1" t="s">
        <v>17003</v>
      </c>
      <c r="BM981" s="1" t="s">
        <v>17417</v>
      </c>
      <c r="BN981" s="1" t="n">
        <v>36931119</v>
      </c>
      <c r="BO981" s="1" t="s">
        <v>207</v>
      </c>
      <c r="BP981" s="1"/>
      <c r="BQ981" s="1"/>
      <c r="BR981" s="1" t="s">
        <v>103</v>
      </c>
      <c r="BS981" s="1" t="s">
        <v>17418</v>
      </c>
      <c r="BT981" s="1" t="str">
        <f aca="false">HYPERLINK("https%3A%2F%2Fwww.webofscience.com%2Fwos%2Fwoscc%2Ffull-record%2FWOS:000954219700001","View Full Record in Web of Science")</f>
        <v>View Full Record in Web of Science</v>
      </c>
    </row>
    <row r="982" customFormat="false" ht="12.75" hidden="false" customHeight="false" outlineLevel="0" collapsed="false">
      <c r="A982" s="1" t="s">
        <v>181</v>
      </c>
      <c r="B982" s="1" t="s">
        <v>17419</v>
      </c>
      <c r="C982" s="1"/>
      <c r="D982" s="1"/>
      <c r="E982" s="1"/>
      <c r="F982" s="1" t="s">
        <v>17420</v>
      </c>
      <c r="G982" s="1"/>
      <c r="H982" s="1"/>
      <c r="I982" s="1" t="s">
        <v>17421</v>
      </c>
      <c r="J982" s="1" t="s">
        <v>15395</v>
      </c>
      <c r="K982" s="1"/>
      <c r="L982" s="1"/>
      <c r="M982" s="1" t="s">
        <v>78</v>
      </c>
      <c r="N982" s="1" t="s">
        <v>186</v>
      </c>
      <c r="O982" s="1"/>
      <c r="P982" s="1"/>
      <c r="Q982" s="1"/>
      <c r="R982" s="1"/>
      <c r="S982" s="1"/>
      <c r="T982" s="1" t="s">
        <v>17422</v>
      </c>
      <c r="U982" s="1" t="s">
        <v>981</v>
      </c>
      <c r="V982" s="1" t="s">
        <v>17423</v>
      </c>
      <c r="W982" s="1" t="s">
        <v>17424</v>
      </c>
      <c r="X982" s="1" t="s">
        <v>17425</v>
      </c>
      <c r="Y982" s="1" t="s">
        <v>7729</v>
      </c>
      <c r="Z982" s="1" t="s">
        <v>17426</v>
      </c>
      <c r="AA982" s="1" t="s">
        <v>17427</v>
      </c>
      <c r="AB982" s="1" t="s">
        <v>15403</v>
      </c>
      <c r="AC982" s="1" t="s">
        <v>17428</v>
      </c>
      <c r="AD982" s="1" t="s">
        <v>17429</v>
      </c>
      <c r="AE982" s="1" t="s">
        <v>17430</v>
      </c>
      <c r="AF982" s="1"/>
      <c r="AG982" s="1" t="n">
        <v>39</v>
      </c>
      <c r="AH982" s="1" t="n">
        <v>0</v>
      </c>
      <c r="AI982" s="1" t="n">
        <v>0</v>
      </c>
      <c r="AJ982" s="1" t="n">
        <v>6</v>
      </c>
      <c r="AK982" s="1" t="n">
        <v>6</v>
      </c>
      <c r="AL982" s="1" t="s">
        <v>1651</v>
      </c>
      <c r="AM982" s="1" t="s">
        <v>1026</v>
      </c>
      <c r="AN982" s="1" t="s">
        <v>1652</v>
      </c>
      <c r="AO982" s="1" t="s">
        <v>15406</v>
      </c>
      <c r="AP982" s="1" t="s">
        <v>15407</v>
      </c>
      <c r="AQ982" s="1"/>
      <c r="AR982" s="1" t="s">
        <v>15408</v>
      </c>
      <c r="AS982" s="1" t="s">
        <v>15409</v>
      </c>
      <c r="AT982" s="1" t="s">
        <v>372</v>
      </c>
      <c r="AU982" s="1" t="n">
        <v>2024</v>
      </c>
      <c r="AV982" s="1" t="n">
        <v>120</v>
      </c>
      <c r="AW982" s="1"/>
      <c r="AX982" s="1" t="s">
        <v>72</v>
      </c>
      <c r="AY982" s="1"/>
      <c r="AZ982" s="1"/>
      <c r="BA982" s="1"/>
      <c r="BB982" s="1"/>
      <c r="BC982" s="1"/>
      <c r="BD982" s="1" t="n">
        <v>109798</v>
      </c>
      <c r="BE982" s="1" t="s">
        <v>17431</v>
      </c>
      <c r="BF982" s="1" t="str">
        <f aca="false">HYPERLINK("http://dx.doi.org/10.1016/j.compeleceng.2024.109798","http://dx.doi.org/10.1016/j.compeleceng.2024.109798")</f>
        <v>http://dx.doi.org/10.1016/j.compeleceng.2024.109798</v>
      </c>
      <c r="BG982" s="1"/>
      <c r="BH982" s="1" t="s">
        <v>5135</v>
      </c>
      <c r="BI982" s="1" t="n">
        <v>16</v>
      </c>
      <c r="BJ982" s="1" t="s">
        <v>15411</v>
      </c>
      <c r="BK982" s="1" t="s">
        <v>204</v>
      </c>
      <c r="BL982" s="1" t="s">
        <v>1255</v>
      </c>
      <c r="BM982" s="1" t="s">
        <v>17432</v>
      </c>
      <c r="BN982" s="1"/>
      <c r="BO982" s="1"/>
      <c r="BP982" s="1"/>
      <c r="BQ982" s="1"/>
      <c r="BR982" s="1" t="s">
        <v>103</v>
      </c>
      <c r="BS982" s="1" t="s">
        <v>17433</v>
      </c>
      <c r="BT982" s="1" t="str">
        <f aca="false">HYPERLINK("https%3A%2F%2Fwww.webofscience.com%2Fwos%2Fwoscc%2Ffull-record%2FWOS:001348992000001","View Full Record in Web of Science")</f>
        <v>View Full Record in Web of Science</v>
      </c>
    </row>
    <row r="983" customFormat="false" ht="12.75" hidden="false" customHeight="false" outlineLevel="0" collapsed="false">
      <c r="A983" s="1" t="s">
        <v>181</v>
      </c>
      <c r="B983" s="1" t="s">
        <v>17434</v>
      </c>
      <c r="C983" s="1"/>
      <c r="D983" s="1"/>
      <c r="E983" s="1"/>
      <c r="F983" s="1" t="s">
        <v>17435</v>
      </c>
      <c r="G983" s="1"/>
      <c r="H983" s="1"/>
      <c r="I983" s="1" t="s">
        <v>17436</v>
      </c>
      <c r="J983" s="1" t="s">
        <v>743</v>
      </c>
      <c r="K983" s="1"/>
      <c r="L983" s="1"/>
      <c r="M983" s="1" t="s">
        <v>78</v>
      </c>
      <c r="N983" s="1" t="s">
        <v>186</v>
      </c>
      <c r="O983" s="1"/>
      <c r="P983" s="1"/>
      <c r="Q983" s="1"/>
      <c r="R983" s="1"/>
      <c r="S983" s="1"/>
      <c r="T983" s="1" t="s">
        <v>17437</v>
      </c>
      <c r="U983" s="1" t="s">
        <v>17438</v>
      </c>
      <c r="V983" s="1" t="s">
        <v>17439</v>
      </c>
      <c r="W983" s="1" t="s">
        <v>17440</v>
      </c>
      <c r="X983" s="1" t="s">
        <v>17441</v>
      </c>
      <c r="Y983" s="1" t="s">
        <v>17442</v>
      </c>
      <c r="Z983" s="1" t="s">
        <v>17443</v>
      </c>
      <c r="AA983" s="1" t="s">
        <v>17444</v>
      </c>
      <c r="AB983" s="1" t="s">
        <v>17445</v>
      </c>
      <c r="AC983" s="1"/>
      <c r="AD983" s="1"/>
      <c r="AE983" s="1"/>
      <c r="AF983" s="1"/>
      <c r="AG983" s="1" t="n">
        <v>150</v>
      </c>
      <c r="AH983" s="1" t="n">
        <v>8</v>
      </c>
      <c r="AI983" s="1" t="n">
        <v>8</v>
      </c>
      <c r="AJ983" s="1" t="n">
        <v>3</v>
      </c>
      <c r="AK983" s="1" t="n">
        <v>6</v>
      </c>
      <c r="AL983" s="1" t="s">
        <v>367</v>
      </c>
      <c r="AM983" s="1" t="s">
        <v>368</v>
      </c>
      <c r="AN983" s="1" t="s">
        <v>369</v>
      </c>
      <c r="AO983" s="1"/>
      <c r="AP983" s="1" t="s">
        <v>751</v>
      </c>
      <c r="AQ983" s="1"/>
      <c r="AR983" s="1" t="s">
        <v>752</v>
      </c>
      <c r="AS983" s="1" t="s">
        <v>753</v>
      </c>
      <c r="AT983" s="1" t="s">
        <v>1391</v>
      </c>
      <c r="AU983" s="1" t="n">
        <v>2023</v>
      </c>
      <c r="AV983" s="1" t="n">
        <v>12</v>
      </c>
      <c r="AW983" s="1" t="n">
        <v>22</v>
      </c>
      <c r="AX983" s="1"/>
      <c r="AY983" s="1"/>
      <c r="AZ983" s="1"/>
      <c r="BA983" s="1"/>
      <c r="BB983" s="1"/>
      <c r="BC983" s="1"/>
      <c r="BD983" s="1" t="n">
        <v>4604</v>
      </c>
      <c r="BE983" s="1" t="s">
        <v>17446</v>
      </c>
      <c r="BF983" s="1" t="str">
        <f aca="false">HYPERLINK("http://dx.doi.org/10.3390/electronics12224604","http://dx.doi.org/10.3390/electronics12224604")</f>
        <v>http://dx.doi.org/10.3390/electronics12224604</v>
      </c>
      <c r="BG983" s="1"/>
      <c r="BH983" s="1"/>
      <c r="BI983" s="1" t="n">
        <v>44</v>
      </c>
      <c r="BJ983" s="1" t="s">
        <v>756</v>
      </c>
      <c r="BK983" s="1" t="s">
        <v>204</v>
      </c>
      <c r="BL983" s="1" t="s">
        <v>757</v>
      </c>
      <c r="BM983" s="1" t="s">
        <v>17447</v>
      </c>
      <c r="BN983" s="1"/>
      <c r="BO983" s="1" t="s">
        <v>542</v>
      </c>
      <c r="BP983" s="1"/>
      <c r="BQ983" s="1"/>
      <c r="BR983" s="1" t="s">
        <v>103</v>
      </c>
      <c r="BS983" s="1" t="s">
        <v>17448</v>
      </c>
      <c r="BT983" s="1" t="str">
        <f aca="false">HYPERLINK("https%3A%2F%2Fwww.webofscience.com%2Fwos%2Fwoscc%2Ffull-record%2FWOS:001119833400001","View Full Record in Web of Science")</f>
        <v>View Full Record in Web of Science</v>
      </c>
    </row>
    <row r="984" customFormat="false" ht="12.75" hidden="false" customHeight="false" outlineLevel="0" collapsed="false">
      <c r="A984" s="1" t="s">
        <v>181</v>
      </c>
      <c r="B984" s="1" t="s">
        <v>17449</v>
      </c>
      <c r="C984" s="1"/>
      <c r="D984" s="1"/>
      <c r="E984" s="1"/>
      <c r="F984" s="1" t="s">
        <v>17450</v>
      </c>
      <c r="G984" s="1"/>
      <c r="H984" s="1"/>
      <c r="I984" s="1" t="s">
        <v>17451</v>
      </c>
      <c r="J984" s="1" t="s">
        <v>12646</v>
      </c>
      <c r="K984" s="1"/>
      <c r="L984" s="1"/>
      <c r="M984" s="1" t="s">
        <v>78</v>
      </c>
      <c r="N984" s="1" t="s">
        <v>1996</v>
      </c>
      <c r="O984" s="1"/>
      <c r="P984" s="1"/>
      <c r="Q984" s="1"/>
      <c r="R984" s="1"/>
      <c r="S984" s="1"/>
      <c r="T984" s="1"/>
      <c r="U984" s="1" t="s">
        <v>17452</v>
      </c>
      <c r="V984" s="1" t="s">
        <v>17453</v>
      </c>
      <c r="W984" s="1" t="s">
        <v>17454</v>
      </c>
      <c r="X984" s="1" t="s">
        <v>17455</v>
      </c>
      <c r="Y984" s="1" t="s">
        <v>17456</v>
      </c>
      <c r="Z984" s="1" t="s">
        <v>17457</v>
      </c>
      <c r="AA984" s="1"/>
      <c r="AB984" s="1"/>
      <c r="AC984" s="1"/>
      <c r="AD984" s="1"/>
      <c r="AE984" s="1"/>
      <c r="AF984" s="1"/>
      <c r="AG984" s="1" t="n">
        <v>11</v>
      </c>
      <c r="AH984" s="1" t="n">
        <v>1</v>
      </c>
      <c r="AI984" s="1" t="n">
        <v>1</v>
      </c>
      <c r="AJ984" s="1" t="n">
        <v>2</v>
      </c>
      <c r="AK984" s="1" t="n">
        <v>17</v>
      </c>
      <c r="AL984" s="1" t="s">
        <v>679</v>
      </c>
      <c r="AM984" s="1" t="s">
        <v>95</v>
      </c>
      <c r="AN984" s="1" t="s">
        <v>803</v>
      </c>
      <c r="AO984" s="1" t="s">
        <v>12657</v>
      </c>
      <c r="AP984" s="1" t="s">
        <v>12658</v>
      </c>
      <c r="AQ984" s="1"/>
      <c r="AR984" s="1" t="s">
        <v>12659</v>
      </c>
      <c r="AS984" s="1" t="s">
        <v>12660</v>
      </c>
      <c r="AT984" s="1" t="s">
        <v>537</v>
      </c>
      <c r="AU984" s="1" t="n">
        <v>2022</v>
      </c>
      <c r="AV984" s="1" t="n">
        <v>68</v>
      </c>
      <c r="AW984" s="1" t="n">
        <v>1</v>
      </c>
      <c r="AX984" s="1"/>
      <c r="AY984" s="1"/>
      <c r="AZ984" s="1"/>
      <c r="BA984" s="1"/>
      <c r="BB984" s="1" t="n">
        <v>1</v>
      </c>
      <c r="BC984" s="1" t="n">
        <v>7</v>
      </c>
      <c r="BD984" s="1"/>
      <c r="BE984" s="1" t="s">
        <v>17458</v>
      </c>
      <c r="BF984" s="1" t="str">
        <f aca="false">HYPERLINK("http://dx.doi.org/10.1007/s00168-022-01115-z","http://dx.doi.org/10.1007/s00168-022-01115-z")</f>
        <v>http://dx.doi.org/10.1007/s00168-022-01115-z</v>
      </c>
      <c r="BG984" s="1"/>
      <c r="BH984" s="1" t="s">
        <v>1505</v>
      </c>
      <c r="BI984" s="1" t="n">
        <v>7</v>
      </c>
      <c r="BJ984" s="1" t="s">
        <v>5757</v>
      </c>
      <c r="BK984" s="1" t="s">
        <v>610</v>
      </c>
      <c r="BL984" s="1" t="s">
        <v>5758</v>
      </c>
      <c r="BM984" s="1" t="s">
        <v>17459</v>
      </c>
      <c r="BN984" s="1" t="n">
        <v>35194308</v>
      </c>
      <c r="BO984" s="1" t="s">
        <v>179</v>
      </c>
      <c r="BP984" s="1"/>
      <c r="BQ984" s="1"/>
      <c r="BR984" s="1" t="s">
        <v>103</v>
      </c>
      <c r="BS984" s="1" t="s">
        <v>17460</v>
      </c>
      <c r="BT984" s="1" t="str">
        <f aca="false">HYPERLINK("https%3A%2F%2Fwww.webofscience.com%2Fwos%2Fwoscc%2Ffull-record%2FWOS:000754918400001","View Full Record in Web of Science")</f>
        <v>View Full Record in Web of Science</v>
      </c>
    </row>
    <row r="985" customFormat="false" ht="12.75" hidden="false" customHeight="false" outlineLevel="0" collapsed="false">
      <c r="A985" s="1" t="s">
        <v>181</v>
      </c>
      <c r="B985" s="1" t="s">
        <v>17461</v>
      </c>
      <c r="C985" s="1"/>
      <c r="D985" s="1"/>
      <c r="E985" s="1"/>
      <c r="F985" s="1" t="s">
        <v>17462</v>
      </c>
      <c r="G985" s="1"/>
      <c r="H985" s="1"/>
      <c r="I985" s="1" t="s">
        <v>17463</v>
      </c>
      <c r="J985" s="1" t="s">
        <v>16741</v>
      </c>
      <c r="K985" s="1"/>
      <c r="L985" s="1"/>
      <c r="M985" s="1" t="s">
        <v>78</v>
      </c>
      <c r="N985" s="1" t="s">
        <v>186</v>
      </c>
      <c r="O985" s="1"/>
      <c r="P985" s="1"/>
      <c r="Q985" s="1"/>
      <c r="R985" s="1"/>
      <c r="S985" s="1"/>
      <c r="T985" s="1" t="s">
        <v>17464</v>
      </c>
      <c r="U985" s="1" t="s">
        <v>17465</v>
      </c>
      <c r="V985" s="1" t="s">
        <v>17466</v>
      </c>
      <c r="W985" s="1" t="s">
        <v>17467</v>
      </c>
      <c r="X985" s="1" t="s">
        <v>17468</v>
      </c>
      <c r="Y985" s="1" t="s">
        <v>17469</v>
      </c>
      <c r="Z985" s="1" t="s">
        <v>15503</v>
      </c>
      <c r="AA985" s="1" t="s">
        <v>17470</v>
      </c>
      <c r="AB985" s="1" t="s">
        <v>17471</v>
      </c>
      <c r="AC985" s="1" t="s">
        <v>17472</v>
      </c>
      <c r="AD985" s="1" t="s">
        <v>17472</v>
      </c>
      <c r="AE985" s="1" t="s">
        <v>17472</v>
      </c>
      <c r="AF985" s="1"/>
      <c r="AG985" s="1" t="n">
        <v>29</v>
      </c>
      <c r="AH985" s="1" t="n">
        <v>10</v>
      </c>
      <c r="AI985" s="1" t="n">
        <v>10</v>
      </c>
      <c r="AJ985" s="1" t="n">
        <v>0</v>
      </c>
      <c r="AK985" s="1" t="n">
        <v>5</v>
      </c>
      <c r="AL985" s="1" t="s">
        <v>600</v>
      </c>
      <c r="AM985" s="1" t="s">
        <v>601</v>
      </c>
      <c r="AN985" s="1" t="s">
        <v>602</v>
      </c>
      <c r="AO985" s="1" t="s">
        <v>16752</v>
      </c>
      <c r="AP985" s="1" t="s">
        <v>16753</v>
      </c>
      <c r="AQ985" s="1"/>
      <c r="AR985" s="1" t="s">
        <v>16754</v>
      </c>
      <c r="AS985" s="1" t="s">
        <v>16755</v>
      </c>
      <c r="AT985" s="1" t="s">
        <v>1391</v>
      </c>
      <c r="AU985" s="1" t="n">
        <v>2022</v>
      </c>
      <c r="AV985" s="1" t="n">
        <v>33</v>
      </c>
      <c r="AW985" s="1" t="n">
        <v>11</v>
      </c>
      <c r="AX985" s="1"/>
      <c r="AY985" s="1"/>
      <c r="AZ985" s="1"/>
      <c r="BA985" s="1"/>
      <c r="BB985" s="1" t="n">
        <v>1114</v>
      </c>
      <c r="BC985" s="1" t="n">
        <v>1124</v>
      </c>
      <c r="BD985" s="1"/>
      <c r="BE985" s="1" t="s">
        <v>17473</v>
      </c>
      <c r="BF985" s="1" t="str">
        <f aca="false">HYPERLINK("http://dx.doi.org/10.1111/clr.13994","http://dx.doi.org/10.1111/clr.13994")</f>
        <v>http://dx.doi.org/10.1111/clr.13994</v>
      </c>
      <c r="BG985" s="1"/>
      <c r="BH985" s="1" t="s">
        <v>3679</v>
      </c>
      <c r="BI985" s="1" t="n">
        <v>11</v>
      </c>
      <c r="BJ985" s="1" t="s">
        <v>16757</v>
      </c>
      <c r="BK985" s="1" t="s">
        <v>204</v>
      </c>
      <c r="BL985" s="1" t="s">
        <v>16758</v>
      </c>
      <c r="BM985" s="1" t="s">
        <v>17474</v>
      </c>
      <c r="BN985" s="1" t="n">
        <v>36062917</v>
      </c>
      <c r="BO985" s="1" t="s">
        <v>612</v>
      </c>
      <c r="BP985" s="1"/>
      <c r="BQ985" s="1"/>
      <c r="BR985" s="1" t="s">
        <v>103</v>
      </c>
      <c r="BS985" s="1" t="s">
        <v>17475</v>
      </c>
      <c r="BT985" s="1" t="str">
        <f aca="false">HYPERLINK("https%3A%2F%2Fwww.webofscience.com%2Fwos%2Fwoscc%2Ffull-record%2FWOS:000854608700001","View Full Record in Web of Science")</f>
        <v>View Full Record in Web of Science</v>
      </c>
    </row>
    <row r="986" customFormat="false" ht="12.75" hidden="false" customHeight="false" outlineLevel="0" collapsed="false">
      <c r="A986" s="1" t="s">
        <v>181</v>
      </c>
      <c r="B986" s="1" t="s">
        <v>17476</v>
      </c>
      <c r="C986" s="1"/>
      <c r="D986" s="1"/>
      <c r="E986" s="1"/>
      <c r="F986" s="1" t="s">
        <v>17477</v>
      </c>
      <c r="G986" s="1"/>
      <c r="H986" s="1"/>
      <c r="I986" s="1" t="s">
        <v>17478</v>
      </c>
      <c r="J986" s="1" t="s">
        <v>17479</v>
      </c>
      <c r="K986" s="1"/>
      <c r="L986" s="1"/>
      <c r="M986" s="1" t="s">
        <v>78</v>
      </c>
      <c r="N986" s="1" t="s">
        <v>186</v>
      </c>
      <c r="O986" s="1"/>
      <c r="P986" s="1"/>
      <c r="Q986" s="1"/>
      <c r="R986" s="1"/>
      <c r="S986" s="1"/>
      <c r="T986" s="1" t="s">
        <v>17480</v>
      </c>
      <c r="U986" s="1" t="s">
        <v>17481</v>
      </c>
      <c r="V986" s="1" t="s">
        <v>17482</v>
      </c>
      <c r="W986" s="1" t="s">
        <v>17483</v>
      </c>
      <c r="X986" s="1" t="s">
        <v>17484</v>
      </c>
      <c r="Y986" s="1" t="s">
        <v>17485</v>
      </c>
      <c r="Z986" s="1" t="s">
        <v>15503</v>
      </c>
      <c r="AA986" s="1" t="s">
        <v>11566</v>
      </c>
      <c r="AB986" s="1"/>
      <c r="AC986" s="1" t="s">
        <v>17486</v>
      </c>
      <c r="AD986" s="1" t="s">
        <v>17486</v>
      </c>
      <c r="AE986" s="1" t="s">
        <v>17487</v>
      </c>
      <c r="AF986" s="1"/>
      <c r="AG986" s="1" t="n">
        <v>35</v>
      </c>
      <c r="AH986" s="1" t="n">
        <v>21</v>
      </c>
      <c r="AI986" s="1" t="n">
        <v>22</v>
      </c>
      <c r="AJ986" s="1" t="n">
        <v>2</v>
      </c>
      <c r="AK986" s="1" t="n">
        <v>3</v>
      </c>
      <c r="AL986" s="1" t="s">
        <v>2129</v>
      </c>
      <c r="AM986" s="1" t="s">
        <v>1908</v>
      </c>
      <c r="AN986" s="1" t="s">
        <v>2130</v>
      </c>
      <c r="AO986" s="1"/>
      <c r="AP986" s="1" t="s">
        <v>17488</v>
      </c>
      <c r="AQ986" s="1"/>
      <c r="AR986" s="1" t="s">
        <v>17489</v>
      </c>
      <c r="AS986" s="1" t="s">
        <v>17490</v>
      </c>
      <c r="AT986" s="1"/>
      <c r="AU986" s="1" t="n">
        <v>2020</v>
      </c>
      <c r="AV986" s="1" t="n">
        <v>4</v>
      </c>
      <c r="AW986" s="1" t="n">
        <v>1</v>
      </c>
      <c r="AX986" s="1"/>
      <c r="AY986" s="1"/>
      <c r="AZ986" s="1"/>
      <c r="BA986" s="1"/>
      <c r="BB986" s="1"/>
      <c r="BC986" s="1"/>
      <c r="BD986" s="1" t="n">
        <v>31</v>
      </c>
      <c r="BE986" s="1" t="s">
        <v>17491</v>
      </c>
      <c r="BF986" s="1" t="str">
        <f aca="false">HYPERLINK("http://dx.doi.org/10.1186/s41927-020-00129-4","http://dx.doi.org/10.1186/s41927-020-00129-4")</f>
        <v>http://dx.doi.org/10.1186/s41927-020-00129-4</v>
      </c>
      <c r="BG986" s="1"/>
      <c r="BH986" s="1"/>
      <c r="BI986" s="1" t="n">
        <v>8</v>
      </c>
      <c r="BJ986" s="1" t="s">
        <v>12560</v>
      </c>
      <c r="BK986" s="1" t="s">
        <v>253</v>
      </c>
      <c r="BL986" s="1" t="s">
        <v>12560</v>
      </c>
      <c r="BM986" s="1" t="s">
        <v>17492</v>
      </c>
      <c r="BN986" s="1" t="n">
        <v>32699831</v>
      </c>
      <c r="BO986" s="1" t="s">
        <v>6278</v>
      </c>
      <c r="BP986" s="1"/>
      <c r="BQ986" s="1"/>
      <c r="BR986" s="1" t="s">
        <v>103</v>
      </c>
      <c r="BS986" s="1" t="s">
        <v>17493</v>
      </c>
      <c r="BT986" s="1" t="str">
        <f aca="false">HYPERLINK("https%3A%2F%2Fwww.webofscience.com%2Fwos%2Fwoscc%2Ffull-record%2FWOS:000648516200029","View Full Record in Web of Science")</f>
        <v>View Full Record in Web of Science</v>
      </c>
    </row>
    <row r="987" customFormat="false" ht="12.75" hidden="false" customHeight="false" outlineLevel="0" collapsed="false">
      <c r="A987" s="1" t="s">
        <v>72</v>
      </c>
      <c r="B987" s="1" t="s">
        <v>17494</v>
      </c>
      <c r="C987" s="1"/>
      <c r="D987" s="1" t="s">
        <v>17495</v>
      </c>
      <c r="E987" s="1"/>
      <c r="F987" s="1" t="s">
        <v>17496</v>
      </c>
      <c r="G987" s="1"/>
      <c r="H987" s="1"/>
      <c r="I987" s="1" t="s">
        <v>17497</v>
      </c>
      <c r="J987" s="1" t="s">
        <v>17498</v>
      </c>
      <c r="K987" s="1" t="s">
        <v>289</v>
      </c>
      <c r="L987" s="1"/>
      <c r="M987" s="1" t="s">
        <v>78</v>
      </c>
      <c r="N987" s="1" t="s">
        <v>79</v>
      </c>
      <c r="O987" s="1" t="s">
        <v>17499</v>
      </c>
      <c r="P987" s="1" t="s">
        <v>17500</v>
      </c>
      <c r="Q987" s="1" t="s">
        <v>17501</v>
      </c>
      <c r="R987" s="1"/>
      <c r="S987" s="1" t="s">
        <v>17502</v>
      </c>
      <c r="T987" s="1" t="s">
        <v>17503</v>
      </c>
      <c r="U987" s="1"/>
      <c r="V987" s="1" t="s">
        <v>17504</v>
      </c>
      <c r="W987" s="1" t="s">
        <v>17505</v>
      </c>
      <c r="X987" s="1" t="s">
        <v>17506</v>
      </c>
      <c r="Y987" s="1" t="s">
        <v>17507</v>
      </c>
      <c r="Z987" s="1" t="s">
        <v>17508</v>
      </c>
      <c r="AA987" s="1" t="s">
        <v>17509</v>
      </c>
      <c r="AB987" s="1" t="s">
        <v>17510</v>
      </c>
      <c r="AC987" s="1"/>
      <c r="AD987" s="1"/>
      <c r="AE987" s="1"/>
      <c r="AF987" s="1"/>
      <c r="AG987" s="1" t="n">
        <v>14</v>
      </c>
      <c r="AH987" s="1" t="n">
        <v>1</v>
      </c>
      <c r="AI987" s="1" t="n">
        <v>1</v>
      </c>
      <c r="AJ987" s="1" t="n">
        <v>1</v>
      </c>
      <c r="AK987" s="1" t="n">
        <v>1</v>
      </c>
      <c r="AL987" s="1" t="s">
        <v>302</v>
      </c>
      <c r="AM987" s="1" t="s">
        <v>303</v>
      </c>
      <c r="AN987" s="1" t="s">
        <v>304</v>
      </c>
      <c r="AO987" s="1" t="s">
        <v>305</v>
      </c>
      <c r="AP987" s="1" t="s">
        <v>306</v>
      </c>
      <c r="AQ987" s="1" t="s">
        <v>17511</v>
      </c>
      <c r="AR987" s="1" t="s">
        <v>308</v>
      </c>
      <c r="AS987" s="1"/>
      <c r="AT987" s="1"/>
      <c r="AU987" s="1" t="n">
        <v>2023</v>
      </c>
      <c r="AV987" s="1" t="n">
        <v>690</v>
      </c>
      <c r="AW987" s="1"/>
      <c r="AX987" s="1"/>
      <c r="AY987" s="1"/>
      <c r="AZ987" s="1"/>
      <c r="BA987" s="1"/>
      <c r="BB987" s="1" t="n">
        <v>165</v>
      </c>
      <c r="BC987" s="1" t="n">
        <v>180</v>
      </c>
      <c r="BD987" s="1"/>
      <c r="BE987" s="1" t="s">
        <v>17512</v>
      </c>
      <c r="BF987" s="1" t="str">
        <f aca="false">HYPERLINK("http://dx.doi.org/10.1007/978-3-031-43666-6_12","http://dx.doi.org/10.1007/978-3-031-43666-6_12")</f>
        <v>http://dx.doi.org/10.1007/978-3-031-43666-6_12</v>
      </c>
      <c r="BG987" s="1"/>
      <c r="BH987" s="1"/>
      <c r="BI987" s="1" t="n">
        <v>16</v>
      </c>
      <c r="BJ987" s="1" t="s">
        <v>17513</v>
      </c>
      <c r="BK987" s="1" t="s">
        <v>100</v>
      </c>
      <c r="BL987" s="1" t="s">
        <v>2922</v>
      </c>
      <c r="BM987" s="1" t="s">
        <v>17514</v>
      </c>
      <c r="BN987" s="1"/>
      <c r="BO987" s="1"/>
      <c r="BP987" s="1"/>
      <c r="BQ987" s="1"/>
      <c r="BR987" s="1" t="s">
        <v>103</v>
      </c>
      <c r="BS987" s="1" t="s">
        <v>17515</v>
      </c>
      <c r="BT987" s="1" t="str">
        <f aca="false">HYPERLINK("https%3A%2F%2Fwww.webofscience.com%2Fwos%2Fwoscc%2Ffull-record%2FWOS:001360251000012","View Full Record in Web of Science")</f>
        <v>View Full Record in Web of Science</v>
      </c>
    </row>
    <row r="988" customFormat="false" ht="12.75" hidden="false" customHeight="false" outlineLevel="0" collapsed="false">
      <c r="A988" s="1" t="s">
        <v>181</v>
      </c>
      <c r="B988" s="1" t="s">
        <v>17516</v>
      </c>
      <c r="C988" s="1"/>
      <c r="D988" s="1"/>
      <c r="E988" s="1"/>
      <c r="F988" s="1" t="s">
        <v>17517</v>
      </c>
      <c r="G988" s="1"/>
      <c r="H988" s="1"/>
      <c r="I988" s="1" t="s">
        <v>17518</v>
      </c>
      <c r="J988" s="1" t="s">
        <v>10928</v>
      </c>
      <c r="K988" s="1"/>
      <c r="L988" s="1"/>
      <c r="M988" s="1" t="s">
        <v>78</v>
      </c>
      <c r="N988" s="1" t="s">
        <v>186</v>
      </c>
      <c r="O988" s="1"/>
      <c r="P988" s="1"/>
      <c r="Q988" s="1"/>
      <c r="R988" s="1"/>
      <c r="S988" s="1"/>
      <c r="T988" s="1" t="s">
        <v>17519</v>
      </c>
      <c r="U988" s="1" t="s">
        <v>17520</v>
      </c>
      <c r="V988" s="1" t="s">
        <v>17521</v>
      </c>
      <c r="W988" s="1" t="s">
        <v>17522</v>
      </c>
      <c r="X988" s="1" t="s">
        <v>17523</v>
      </c>
      <c r="Y988" s="1" t="s">
        <v>17524</v>
      </c>
      <c r="Z988" s="1" t="s">
        <v>17525</v>
      </c>
      <c r="AA988" s="1" t="s">
        <v>17526</v>
      </c>
      <c r="AB988" s="1" t="s">
        <v>17527</v>
      </c>
      <c r="AC988" s="1" t="s">
        <v>17528</v>
      </c>
      <c r="AD988" s="1" t="s">
        <v>17528</v>
      </c>
      <c r="AE988" s="1" t="s">
        <v>17529</v>
      </c>
      <c r="AF988" s="1"/>
      <c r="AG988" s="1" t="n">
        <v>50</v>
      </c>
      <c r="AH988" s="1" t="n">
        <v>6</v>
      </c>
      <c r="AI988" s="1" t="n">
        <v>6</v>
      </c>
      <c r="AJ988" s="1" t="n">
        <v>0</v>
      </c>
      <c r="AK988" s="1" t="n">
        <v>4</v>
      </c>
      <c r="AL988" s="1" t="s">
        <v>270</v>
      </c>
      <c r="AM988" s="1" t="s">
        <v>271</v>
      </c>
      <c r="AN988" s="1" t="s">
        <v>272</v>
      </c>
      <c r="AO988" s="1" t="s">
        <v>10939</v>
      </c>
      <c r="AP988" s="1" t="s">
        <v>10940</v>
      </c>
      <c r="AQ988" s="1"/>
      <c r="AR988" s="1" t="s">
        <v>10941</v>
      </c>
      <c r="AS988" s="1" t="s">
        <v>10942</v>
      </c>
      <c r="AT988" s="1" t="s">
        <v>2698</v>
      </c>
      <c r="AU988" s="1" t="n">
        <v>2021</v>
      </c>
      <c r="AV988" s="1" t="n">
        <v>25</v>
      </c>
      <c r="AW988" s="1" t="n">
        <v>6</v>
      </c>
      <c r="AX988" s="1"/>
      <c r="AY988" s="1"/>
      <c r="AZ988" s="1"/>
      <c r="BA988" s="1"/>
      <c r="BB988" s="1" t="n">
        <v>3441</v>
      </c>
      <c r="BC988" s="1" t="n">
        <v>3451</v>
      </c>
      <c r="BD988" s="1"/>
      <c r="BE988" s="1" t="s">
        <v>17530</v>
      </c>
      <c r="BF988" s="1" t="str">
        <f aca="false">HYPERLINK("http://dx.doi.org/10.1007/s00784-020-03666-x","http://dx.doi.org/10.1007/s00784-020-03666-x")</f>
        <v>http://dx.doi.org/10.1007/s00784-020-03666-x</v>
      </c>
      <c r="BG988" s="1"/>
      <c r="BH988" s="1" t="s">
        <v>608</v>
      </c>
      <c r="BI988" s="1" t="n">
        <v>11</v>
      </c>
      <c r="BJ988" s="1" t="s">
        <v>4910</v>
      </c>
      <c r="BK988" s="1" t="s">
        <v>204</v>
      </c>
      <c r="BL988" s="1" t="s">
        <v>4910</v>
      </c>
      <c r="BM988" s="1" t="s">
        <v>17531</v>
      </c>
      <c r="BN988" s="1" t="n">
        <v>33155065</v>
      </c>
      <c r="BO988" s="1" t="s">
        <v>207</v>
      </c>
      <c r="BP988" s="1"/>
      <c r="BQ988" s="1"/>
      <c r="BR988" s="1" t="s">
        <v>103</v>
      </c>
      <c r="BS988" s="1" t="s">
        <v>17532</v>
      </c>
      <c r="BT988" s="1" t="str">
        <f aca="false">HYPERLINK("https%3A%2F%2Fwww.webofscience.com%2Fwos%2Fwoscc%2Ffull-record%2FWOS:000587111100001","View Full Record in Web of Science")</f>
        <v>View Full Record in Web of Science</v>
      </c>
    </row>
    <row r="989" customFormat="false" ht="12.75" hidden="false" customHeight="false" outlineLevel="0" collapsed="false">
      <c r="A989" s="1" t="s">
        <v>181</v>
      </c>
      <c r="B989" s="1" t="s">
        <v>17533</v>
      </c>
      <c r="C989" s="1"/>
      <c r="D989" s="1"/>
      <c r="E989" s="1"/>
      <c r="F989" s="1" t="s">
        <v>17534</v>
      </c>
      <c r="G989" s="1"/>
      <c r="H989" s="1"/>
      <c r="I989" s="1" t="s">
        <v>17535</v>
      </c>
      <c r="J989" s="1" t="s">
        <v>12646</v>
      </c>
      <c r="K989" s="1"/>
      <c r="L989" s="1"/>
      <c r="M989" s="1" t="s">
        <v>78</v>
      </c>
      <c r="N989" s="1" t="s">
        <v>1996</v>
      </c>
      <c r="O989" s="1"/>
      <c r="P989" s="1"/>
      <c r="Q989" s="1"/>
      <c r="R989" s="1"/>
      <c r="S989" s="1"/>
      <c r="T989" s="1"/>
      <c r="U989" s="1" t="s">
        <v>17536</v>
      </c>
      <c r="V989" s="1"/>
      <c r="W989" s="1" t="s">
        <v>17537</v>
      </c>
      <c r="X989" s="1" t="s">
        <v>17455</v>
      </c>
      <c r="Y989" s="1" t="s">
        <v>17538</v>
      </c>
      <c r="Z989" s="1" t="s">
        <v>17539</v>
      </c>
      <c r="AA989" s="1" t="s">
        <v>14489</v>
      </c>
      <c r="AB989" s="1"/>
      <c r="AC989" s="1"/>
      <c r="AD989" s="1"/>
      <c r="AE989" s="1"/>
      <c r="AF989" s="1"/>
      <c r="AG989" s="1" t="n">
        <v>11</v>
      </c>
      <c r="AH989" s="1" t="n">
        <v>3</v>
      </c>
      <c r="AI989" s="1" t="n">
        <v>3</v>
      </c>
      <c r="AJ989" s="1" t="n">
        <v>0</v>
      </c>
      <c r="AK989" s="1" t="n">
        <v>7</v>
      </c>
      <c r="AL989" s="1" t="s">
        <v>679</v>
      </c>
      <c r="AM989" s="1" t="s">
        <v>95</v>
      </c>
      <c r="AN989" s="1" t="s">
        <v>803</v>
      </c>
      <c r="AO989" s="1" t="s">
        <v>12657</v>
      </c>
      <c r="AP989" s="1" t="s">
        <v>12658</v>
      </c>
      <c r="AQ989" s="1"/>
      <c r="AR989" s="1" t="s">
        <v>12659</v>
      </c>
      <c r="AS989" s="1" t="s">
        <v>12660</v>
      </c>
      <c r="AT989" s="1" t="s">
        <v>537</v>
      </c>
      <c r="AU989" s="1" t="n">
        <v>2020</v>
      </c>
      <c r="AV989" s="1" t="n">
        <v>64</v>
      </c>
      <c r="AW989" s="1" t="n">
        <v>1</v>
      </c>
      <c r="AX989" s="1"/>
      <c r="AY989" s="1"/>
      <c r="AZ989" s="1"/>
      <c r="BA989" s="1"/>
      <c r="BB989" s="1" t="n">
        <v>1</v>
      </c>
      <c r="BC989" s="1" t="n">
        <v>8</v>
      </c>
      <c r="BD989" s="1"/>
      <c r="BE989" s="1" t="s">
        <v>17540</v>
      </c>
      <c r="BF989" s="1" t="str">
        <f aca="false">HYPERLINK("http://dx.doi.org/10.1007/s00168-019-00970-7","http://dx.doi.org/10.1007/s00168-019-00970-7")</f>
        <v>http://dx.doi.org/10.1007/s00168-019-00970-7</v>
      </c>
      <c r="BG989" s="1"/>
      <c r="BH989" s="1"/>
      <c r="BI989" s="1" t="n">
        <v>8</v>
      </c>
      <c r="BJ989" s="1" t="s">
        <v>5757</v>
      </c>
      <c r="BK989" s="1" t="s">
        <v>610</v>
      </c>
      <c r="BL989" s="1" t="s">
        <v>5758</v>
      </c>
      <c r="BM989" s="1" t="s">
        <v>17541</v>
      </c>
      <c r="BN989" s="1"/>
      <c r="BO989" s="1" t="s">
        <v>444</v>
      </c>
      <c r="BP989" s="1"/>
      <c r="BQ989" s="1"/>
      <c r="BR989" s="1" t="s">
        <v>103</v>
      </c>
      <c r="BS989" s="1" t="s">
        <v>17542</v>
      </c>
      <c r="BT989" s="1" t="str">
        <f aca="false">HYPERLINK("https%3A%2F%2Fwww.webofscience.com%2Fwos%2Fwoscc%2Ffull-record%2FWOS:000511700000001","View Full Record in Web of Science")</f>
        <v>View Full Record in Web of Science</v>
      </c>
    </row>
    <row r="990" customFormat="false" ht="12.75" hidden="false" customHeight="false" outlineLevel="0" collapsed="false">
      <c r="A990" s="1" t="s">
        <v>181</v>
      </c>
      <c r="B990" s="1" t="s">
        <v>17543</v>
      </c>
      <c r="C990" s="1"/>
      <c r="D990" s="1"/>
      <c r="E990" s="1"/>
      <c r="F990" s="1" t="s">
        <v>17544</v>
      </c>
      <c r="G990" s="1"/>
      <c r="H990" s="1"/>
      <c r="I990" s="1" t="s">
        <v>17545</v>
      </c>
      <c r="J990" s="1" t="s">
        <v>17546</v>
      </c>
      <c r="K990" s="1"/>
      <c r="L990" s="1"/>
      <c r="M990" s="1" t="s">
        <v>78</v>
      </c>
      <c r="N990" s="1" t="s">
        <v>186</v>
      </c>
      <c r="O990" s="1"/>
      <c r="P990" s="1"/>
      <c r="Q990" s="1"/>
      <c r="R990" s="1"/>
      <c r="S990" s="1"/>
      <c r="T990" s="1" t="s">
        <v>17547</v>
      </c>
      <c r="U990" s="1"/>
      <c r="V990" s="1" t="s">
        <v>17548</v>
      </c>
      <c r="W990" s="1" t="s">
        <v>17549</v>
      </c>
      <c r="X990" s="1" t="s">
        <v>17550</v>
      </c>
      <c r="Y990" s="1" t="s">
        <v>17551</v>
      </c>
      <c r="Z990" s="1" t="s">
        <v>17552</v>
      </c>
      <c r="AA990" s="1" t="s">
        <v>10245</v>
      </c>
      <c r="AB990" s="1" t="s">
        <v>17553</v>
      </c>
      <c r="AC990" s="1" t="s">
        <v>17554</v>
      </c>
      <c r="AD990" s="1" t="s">
        <v>17554</v>
      </c>
      <c r="AE990" s="1" t="s">
        <v>17554</v>
      </c>
      <c r="AF990" s="1"/>
      <c r="AG990" s="1" t="n">
        <v>33</v>
      </c>
      <c r="AH990" s="1" t="n">
        <v>8</v>
      </c>
      <c r="AI990" s="1" t="n">
        <v>8</v>
      </c>
      <c r="AJ990" s="1" t="n">
        <v>3</v>
      </c>
      <c r="AK990" s="1" t="n">
        <v>10</v>
      </c>
      <c r="AL990" s="1" t="s">
        <v>600</v>
      </c>
      <c r="AM990" s="1" t="s">
        <v>601</v>
      </c>
      <c r="AN990" s="1" t="s">
        <v>602</v>
      </c>
      <c r="AO990" s="1" t="s">
        <v>17555</v>
      </c>
      <c r="AP990" s="1" t="s">
        <v>17556</v>
      </c>
      <c r="AQ990" s="1"/>
      <c r="AR990" s="1" t="s">
        <v>17557</v>
      </c>
      <c r="AS990" s="1" t="s">
        <v>17558</v>
      </c>
      <c r="AT990" s="1" t="s">
        <v>1362</v>
      </c>
      <c r="AU990" s="1" t="n">
        <v>2021</v>
      </c>
      <c r="AV990" s="1" t="n">
        <v>56</v>
      </c>
      <c r="AW990" s="1" t="n">
        <v>5</v>
      </c>
      <c r="AX990" s="1"/>
      <c r="AY990" s="1"/>
      <c r="AZ990" s="1"/>
      <c r="BA990" s="1"/>
      <c r="BB990" s="1" t="n">
        <v>907</v>
      </c>
      <c r="BC990" s="1" t="n">
        <v>916</v>
      </c>
      <c r="BD990" s="1"/>
      <c r="BE990" s="1" t="s">
        <v>17559</v>
      </c>
      <c r="BF990" s="1" t="str">
        <f aca="false">HYPERLINK("http://dx.doi.org/10.1111/jre.12887","http://dx.doi.org/10.1111/jre.12887")</f>
        <v>http://dx.doi.org/10.1111/jre.12887</v>
      </c>
      <c r="BG990" s="1"/>
      <c r="BH990" s="1" t="s">
        <v>1970</v>
      </c>
      <c r="BI990" s="1" t="n">
        <v>10</v>
      </c>
      <c r="BJ990" s="1" t="s">
        <v>4910</v>
      </c>
      <c r="BK990" s="1" t="s">
        <v>204</v>
      </c>
      <c r="BL990" s="1" t="s">
        <v>4910</v>
      </c>
      <c r="BM990" s="1" t="s">
        <v>17560</v>
      </c>
      <c r="BN990" s="1" t="n">
        <v>33954982</v>
      </c>
      <c r="BO990" s="1" t="s">
        <v>207</v>
      </c>
      <c r="BP990" s="1"/>
      <c r="BQ990" s="1"/>
      <c r="BR990" s="1" t="s">
        <v>103</v>
      </c>
      <c r="BS990" s="1" t="s">
        <v>17561</v>
      </c>
      <c r="BT990" s="1" t="str">
        <f aca="false">HYPERLINK("https%3A%2F%2Fwww.webofscience.com%2Fwos%2Fwoscc%2Ffull-record%2FWOS:000647324300001","View Full Record in Web of Science")</f>
        <v>View Full Record in Web of Science</v>
      </c>
    </row>
    <row r="991" customFormat="false" ht="12.75" hidden="false" customHeight="false" outlineLevel="0" collapsed="false">
      <c r="A991" s="1" t="s">
        <v>181</v>
      </c>
      <c r="B991" s="1" t="s">
        <v>17562</v>
      </c>
      <c r="C991" s="1"/>
      <c r="D991" s="1"/>
      <c r="E991" s="1"/>
      <c r="F991" s="1" t="s">
        <v>17563</v>
      </c>
      <c r="G991" s="1"/>
      <c r="H991" s="1"/>
      <c r="I991" s="1" t="s">
        <v>17564</v>
      </c>
      <c r="J991" s="1" t="s">
        <v>12646</v>
      </c>
      <c r="K991" s="1"/>
      <c r="L991" s="1"/>
      <c r="M991" s="1" t="s">
        <v>78</v>
      </c>
      <c r="N991" s="1" t="s">
        <v>1996</v>
      </c>
      <c r="O991" s="1"/>
      <c r="P991" s="1"/>
      <c r="Q991" s="1"/>
      <c r="R991" s="1"/>
      <c r="S991" s="1"/>
      <c r="T991" s="1" t="s">
        <v>17565</v>
      </c>
      <c r="U991" s="1"/>
      <c r="V991" s="1" t="s">
        <v>17566</v>
      </c>
      <c r="W991" s="1" t="s">
        <v>17567</v>
      </c>
      <c r="X991" s="1" t="s">
        <v>17568</v>
      </c>
      <c r="Y991" s="1" t="s">
        <v>17569</v>
      </c>
      <c r="Z991" s="1" t="s">
        <v>17570</v>
      </c>
      <c r="AA991" s="1" t="s">
        <v>9257</v>
      </c>
      <c r="AB991" s="1"/>
      <c r="AC991" s="1"/>
      <c r="AD991" s="1"/>
      <c r="AE991" s="1"/>
      <c r="AF991" s="1"/>
      <c r="AG991" s="1" t="n">
        <v>12</v>
      </c>
      <c r="AH991" s="1" t="n">
        <v>0</v>
      </c>
      <c r="AI991" s="1" t="n">
        <v>0</v>
      </c>
      <c r="AJ991" s="1" t="n">
        <v>0</v>
      </c>
      <c r="AK991" s="1" t="n">
        <v>5</v>
      </c>
      <c r="AL991" s="1" t="s">
        <v>679</v>
      </c>
      <c r="AM991" s="1" t="s">
        <v>95</v>
      </c>
      <c r="AN991" s="1" t="s">
        <v>803</v>
      </c>
      <c r="AO991" s="1" t="s">
        <v>12657</v>
      </c>
      <c r="AP991" s="1" t="s">
        <v>12658</v>
      </c>
      <c r="AQ991" s="1"/>
      <c r="AR991" s="1" t="s">
        <v>12659</v>
      </c>
      <c r="AS991" s="1" t="s">
        <v>12660</v>
      </c>
      <c r="AT991" s="1" t="s">
        <v>277</v>
      </c>
      <c r="AU991" s="1" t="n">
        <v>2024</v>
      </c>
      <c r="AV991" s="1" t="n">
        <v>72</v>
      </c>
      <c r="AW991" s="1" t="n">
        <v>3</v>
      </c>
      <c r="AX991" s="1"/>
      <c r="AY991" s="1"/>
      <c r="AZ991" s="1"/>
      <c r="BA991" s="1"/>
      <c r="BB991" s="1" t="n">
        <v>683</v>
      </c>
      <c r="BC991" s="1" t="n">
        <v>690</v>
      </c>
      <c r="BD991" s="1"/>
      <c r="BE991" s="1" t="s">
        <v>17571</v>
      </c>
      <c r="BF991" s="1" t="str">
        <f aca="false">HYPERLINK("http://dx.doi.org/10.1007/s00168-024-01262-5","http://dx.doi.org/10.1007/s00168-024-01262-5")</f>
        <v>http://dx.doi.org/10.1007/s00168-024-01262-5</v>
      </c>
      <c r="BG991" s="1"/>
      <c r="BH991" s="1" t="s">
        <v>2019</v>
      </c>
      <c r="BI991" s="1" t="n">
        <v>8</v>
      </c>
      <c r="BJ991" s="1" t="s">
        <v>5757</v>
      </c>
      <c r="BK991" s="1" t="s">
        <v>610</v>
      </c>
      <c r="BL991" s="1" t="s">
        <v>5758</v>
      </c>
      <c r="BM991" s="1" t="s">
        <v>17572</v>
      </c>
      <c r="BN991" s="1"/>
      <c r="BO991" s="1" t="s">
        <v>3663</v>
      </c>
      <c r="BP991" s="1"/>
      <c r="BQ991" s="1"/>
      <c r="BR991" s="1" t="s">
        <v>103</v>
      </c>
      <c r="BS991" s="1" t="s">
        <v>17573</v>
      </c>
      <c r="BT991" s="1" t="str">
        <f aca="false">HYPERLINK("https%3A%2F%2Fwww.webofscience.com%2Fwos%2Fwoscc%2Ffull-record%2FWOS:001186127200001","View Full Record in Web of Science")</f>
        <v>View Full Record in Web of Science</v>
      </c>
    </row>
    <row r="992" customFormat="false" ht="12.75" hidden="false" customHeight="false" outlineLevel="0" collapsed="false">
      <c r="A992" s="1" t="s">
        <v>181</v>
      </c>
      <c r="B992" s="1" t="s">
        <v>17574</v>
      </c>
      <c r="C992" s="1"/>
      <c r="D992" s="1"/>
      <c r="E992" s="1"/>
      <c r="F992" s="1" t="s">
        <v>17575</v>
      </c>
      <c r="G992" s="1"/>
      <c r="H992" s="1"/>
      <c r="I992" s="1" t="s">
        <v>17576</v>
      </c>
      <c r="J992" s="1" t="s">
        <v>3481</v>
      </c>
      <c r="K992" s="1"/>
      <c r="L992" s="1"/>
      <c r="M992" s="1" t="s">
        <v>78</v>
      </c>
      <c r="N992" s="1" t="s">
        <v>186</v>
      </c>
      <c r="O992" s="1"/>
      <c r="P992" s="1"/>
      <c r="Q992" s="1"/>
      <c r="R992" s="1"/>
      <c r="S992" s="1"/>
      <c r="T992" s="1" t="s">
        <v>17577</v>
      </c>
      <c r="U992" s="1" t="s">
        <v>17578</v>
      </c>
      <c r="V992" s="1" t="s">
        <v>17579</v>
      </c>
      <c r="W992" s="1" t="s">
        <v>17580</v>
      </c>
      <c r="X992" s="1" t="s">
        <v>17581</v>
      </c>
      <c r="Y992" s="1" t="s">
        <v>17582</v>
      </c>
      <c r="Z992" s="1" t="s">
        <v>17583</v>
      </c>
      <c r="AA992" s="1" t="s">
        <v>17584</v>
      </c>
      <c r="AB992" s="1" t="s">
        <v>17585</v>
      </c>
      <c r="AC992" s="1" t="s">
        <v>17586</v>
      </c>
      <c r="AD992" s="1" t="s">
        <v>17587</v>
      </c>
      <c r="AE992" s="1" t="s">
        <v>17588</v>
      </c>
      <c r="AF992" s="1"/>
      <c r="AG992" s="1" t="n">
        <v>32</v>
      </c>
      <c r="AH992" s="1" t="n">
        <v>4</v>
      </c>
      <c r="AI992" s="1" t="n">
        <v>4</v>
      </c>
      <c r="AJ992" s="1" t="n">
        <v>0</v>
      </c>
      <c r="AK992" s="1" t="n">
        <v>9</v>
      </c>
      <c r="AL992" s="1" t="s">
        <v>367</v>
      </c>
      <c r="AM992" s="1" t="s">
        <v>368</v>
      </c>
      <c r="AN992" s="1" t="s">
        <v>369</v>
      </c>
      <c r="AO992" s="1"/>
      <c r="AP992" s="1" t="s">
        <v>3492</v>
      </c>
      <c r="AQ992" s="1"/>
      <c r="AR992" s="1" t="s">
        <v>3493</v>
      </c>
      <c r="AS992" s="1" t="s">
        <v>3494</v>
      </c>
      <c r="AT992" s="1" t="s">
        <v>1391</v>
      </c>
      <c r="AU992" s="1" t="n">
        <v>2022</v>
      </c>
      <c r="AV992" s="1" t="n">
        <v>22</v>
      </c>
      <c r="AW992" s="1" t="n">
        <v>22</v>
      </c>
      <c r="AX992" s="1"/>
      <c r="AY992" s="1"/>
      <c r="AZ992" s="1"/>
      <c r="BA992" s="1"/>
      <c r="BB992" s="1"/>
      <c r="BC992" s="1"/>
      <c r="BD992" s="1" t="n">
        <v>8950</v>
      </c>
      <c r="BE992" s="1" t="s">
        <v>17589</v>
      </c>
      <c r="BF992" s="1" t="str">
        <f aca="false">HYPERLINK("http://dx.doi.org/10.3390/s22228950","http://dx.doi.org/10.3390/s22228950")</f>
        <v>http://dx.doi.org/10.3390/s22228950</v>
      </c>
      <c r="BG992" s="1"/>
      <c r="BH992" s="1"/>
      <c r="BI992" s="1" t="n">
        <v>17</v>
      </c>
      <c r="BJ992" s="1" t="s">
        <v>3496</v>
      </c>
      <c r="BK992" s="1" t="s">
        <v>204</v>
      </c>
      <c r="BL992" s="1" t="s">
        <v>3497</v>
      </c>
      <c r="BM992" s="1" t="s">
        <v>17590</v>
      </c>
      <c r="BN992" s="1" t="n">
        <v>36433542</v>
      </c>
      <c r="BO992" s="1" t="s">
        <v>401</v>
      </c>
      <c r="BP992" s="1"/>
      <c r="BQ992" s="1"/>
      <c r="BR992" s="1" t="s">
        <v>103</v>
      </c>
      <c r="BS992" s="1" t="s">
        <v>17591</v>
      </c>
      <c r="BT992" s="1" t="str">
        <f aca="false">HYPERLINK("https%3A%2F%2Fwww.webofscience.com%2Fwos%2Fwoscc%2Ffull-record%2FWOS:000887529400001","View Full Record in Web of Science")</f>
        <v>View Full Record in Web of Science</v>
      </c>
    </row>
    <row r="993" customFormat="false" ht="12.75" hidden="false" customHeight="false" outlineLevel="0" collapsed="false">
      <c r="A993" s="1" t="s">
        <v>181</v>
      </c>
      <c r="B993" s="1" t="s">
        <v>17592</v>
      </c>
      <c r="C993" s="1"/>
      <c r="D993" s="1"/>
      <c r="E993" s="1"/>
      <c r="F993" s="1" t="s">
        <v>17593</v>
      </c>
      <c r="G993" s="1"/>
      <c r="H993" s="1"/>
      <c r="I993" s="1" t="s">
        <v>17594</v>
      </c>
      <c r="J993" s="1" t="s">
        <v>17595</v>
      </c>
      <c r="K993" s="1"/>
      <c r="L993" s="1"/>
      <c r="M993" s="1" t="s">
        <v>78</v>
      </c>
      <c r="N993" s="1" t="s">
        <v>186</v>
      </c>
      <c r="O993" s="1"/>
      <c r="P993" s="1"/>
      <c r="Q993" s="1"/>
      <c r="R993" s="1"/>
      <c r="S993" s="1"/>
      <c r="T993" s="1" t="s">
        <v>17596</v>
      </c>
      <c r="U993" s="1" t="s">
        <v>17597</v>
      </c>
      <c r="V993" s="1" t="s">
        <v>17598</v>
      </c>
      <c r="W993" s="1" t="s">
        <v>17599</v>
      </c>
      <c r="X993" s="1" t="s">
        <v>17600</v>
      </c>
      <c r="Y993" s="1" t="s">
        <v>17601</v>
      </c>
      <c r="Z993" s="1" t="s">
        <v>16322</v>
      </c>
      <c r="AA993" s="1" t="s">
        <v>17602</v>
      </c>
      <c r="AB993" s="1" t="s">
        <v>17603</v>
      </c>
      <c r="AC993" s="1"/>
      <c r="AD993" s="1"/>
      <c r="AE993" s="1"/>
      <c r="AF993" s="1"/>
      <c r="AG993" s="1" t="n">
        <v>80</v>
      </c>
      <c r="AH993" s="1" t="n">
        <v>3</v>
      </c>
      <c r="AI993" s="1" t="n">
        <v>3</v>
      </c>
      <c r="AJ993" s="1" t="n">
        <v>30</v>
      </c>
      <c r="AK993" s="1" t="n">
        <v>30</v>
      </c>
      <c r="AL993" s="1" t="s">
        <v>17604</v>
      </c>
      <c r="AM993" s="1" t="s">
        <v>17605</v>
      </c>
      <c r="AN993" s="1" t="s">
        <v>17606</v>
      </c>
      <c r="AO993" s="1" t="s">
        <v>17607</v>
      </c>
      <c r="AP993" s="1" t="s">
        <v>17608</v>
      </c>
      <c r="AQ993" s="1"/>
      <c r="AR993" s="1" t="s">
        <v>17609</v>
      </c>
      <c r="AS993" s="1" t="s">
        <v>17610</v>
      </c>
      <c r="AT993" s="1" t="s">
        <v>6272</v>
      </c>
      <c r="AU993" s="1" t="n">
        <v>2024</v>
      </c>
      <c r="AV993" s="1" t="n">
        <v>9</v>
      </c>
      <c r="AW993" s="1" t="n">
        <v>2</v>
      </c>
      <c r="AX993" s="1"/>
      <c r="AY993" s="1"/>
      <c r="AZ993" s="1"/>
      <c r="BA993" s="1"/>
      <c r="BB993" s="1"/>
      <c r="BC993" s="1"/>
      <c r="BD993" s="1" t="n">
        <v>100492</v>
      </c>
      <c r="BE993" s="1" t="s">
        <v>17611</v>
      </c>
      <c r="BF993" s="1" t="str">
        <f aca="false">HYPERLINK("http://dx.doi.org/10.1016/j.jik.2024.100492","http://dx.doi.org/10.1016/j.jik.2024.100492")</f>
        <v>http://dx.doi.org/10.1016/j.jik.2024.100492</v>
      </c>
      <c r="BG993" s="1"/>
      <c r="BH993" s="1" t="s">
        <v>2002</v>
      </c>
      <c r="BI993" s="1" t="n">
        <v>8</v>
      </c>
      <c r="BJ993" s="1" t="s">
        <v>11556</v>
      </c>
      <c r="BK993" s="1" t="s">
        <v>610</v>
      </c>
      <c r="BL993" s="1" t="s">
        <v>715</v>
      </c>
      <c r="BM993" s="1" t="s">
        <v>17612</v>
      </c>
      <c r="BN993" s="1"/>
      <c r="BO993" s="1" t="s">
        <v>642</v>
      </c>
      <c r="BP993" s="1"/>
      <c r="BQ993" s="1"/>
      <c r="BR993" s="1" t="s">
        <v>103</v>
      </c>
      <c r="BS993" s="1" t="s">
        <v>17613</v>
      </c>
      <c r="BT993" s="1" t="str">
        <f aca="false">HYPERLINK("https%3A%2F%2Fwww.webofscience.com%2Fwos%2Fwoscc%2Ffull-record%2FWOS:001290928800001","View Full Record in Web of Science")</f>
        <v>View Full Record in Web of Science</v>
      </c>
    </row>
    <row r="994" customFormat="false" ht="12.75" hidden="false" customHeight="false" outlineLevel="0" collapsed="false">
      <c r="A994" s="1" t="s">
        <v>181</v>
      </c>
      <c r="B994" s="1" t="s">
        <v>17614</v>
      </c>
      <c r="C994" s="1"/>
      <c r="D994" s="1"/>
      <c r="E994" s="1"/>
      <c r="F994" s="1" t="s">
        <v>17615</v>
      </c>
      <c r="G994" s="1"/>
      <c r="H994" s="1"/>
      <c r="I994" s="1" t="s">
        <v>17616</v>
      </c>
      <c r="J994" s="1" t="s">
        <v>17617</v>
      </c>
      <c r="K994" s="1"/>
      <c r="L994" s="1"/>
      <c r="M994" s="1" t="s">
        <v>78</v>
      </c>
      <c r="N994" s="1" t="s">
        <v>186</v>
      </c>
      <c r="O994" s="1"/>
      <c r="P994" s="1"/>
      <c r="Q994" s="1"/>
      <c r="R994" s="1"/>
      <c r="S994" s="1"/>
      <c r="T994" s="1" t="s">
        <v>17618</v>
      </c>
      <c r="U994" s="1" t="s">
        <v>17619</v>
      </c>
      <c r="V994" s="1" t="s">
        <v>17620</v>
      </c>
      <c r="W994" s="1" t="s">
        <v>17621</v>
      </c>
      <c r="X994" s="1" t="s">
        <v>17622</v>
      </c>
      <c r="Y994" s="1" t="s">
        <v>17623</v>
      </c>
      <c r="Z994" s="1" t="s">
        <v>17624</v>
      </c>
      <c r="AA994" s="1" t="s">
        <v>17625</v>
      </c>
      <c r="AB994" s="1" t="s">
        <v>17626</v>
      </c>
      <c r="AC994" s="1" t="s">
        <v>17627</v>
      </c>
      <c r="AD994" s="1" t="s">
        <v>17628</v>
      </c>
      <c r="AE994" s="1" t="s">
        <v>17629</v>
      </c>
      <c r="AF994" s="1"/>
      <c r="AG994" s="1" t="n">
        <v>31</v>
      </c>
      <c r="AH994" s="1" t="n">
        <v>2</v>
      </c>
      <c r="AI994" s="1" t="n">
        <v>2</v>
      </c>
      <c r="AJ994" s="1" t="n">
        <v>1</v>
      </c>
      <c r="AK994" s="1" t="n">
        <v>4</v>
      </c>
      <c r="AL994" s="1" t="s">
        <v>893</v>
      </c>
      <c r="AM994" s="1" t="s">
        <v>894</v>
      </c>
      <c r="AN994" s="1" t="s">
        <v>895</v>
      </c>
      <c r="AO994" s="1" t="s">
        <v>17630</v>
      </c>
      <c r="AP994" s="1" t="s">
        <v>17631</v>
      </c>
      <c r="AQ994" s="1"/>
      <c r="AR994" s="1" t="s">
        <v>17632</v>
      </c>
      <c r="AS994" s="1" t="s">
        <v>17633</v>
      </c>
      <c r="AT994" s="1" t="s">
        <v>1362</v>
      </c>
      <c r="AU994" s="1" t="n">
        <v>2021</v>
      </c>
      <c r="AV994" s="1" t="n">
        <v>71</v>
      </c>
      <c r="AW994" s="1" t="n">
        <v>5</v>
      </c>
      <c r="AX994" s="1"/>
      <c r="AY994" s="1"/>
      <c r="AZ994" s="1"/>
      <c r="BA994" s="1"/>
      <c r="BB994" s="1" t="n">
        <v>390</v>
      </c>
      <c r="BC994" s="1" t="n">
        <v>398</v>
      </c>
      <c r="BD994" s="1"/>
      <c r="BE994" s="1" t="s">
        <v>17634</v>
      </c>
      <c r="BF994" s="1" t="str">
        <f aca="false">HYPERLINK("http://dx.doi.org/10.1016/j.identj.2020.12.024","http://dx.doi.org/10.1016/j.identj.2020.12.024")</f>
        <v>http://dx.doi.org/10.1016/j.identj.2020.12.024</v>
      </c>
      <c r="BG994" s="1"/>
      <c r="BH994" s="1" t="s">
        <v>2315</v>
      </c>
      <c r="BI994" s="1" t="n">
        <v>9</v>
      </c>
      <c r="BJ994" s="1" t="s">
        <v>4910</v>
      </c>
      <c r="BK994" s="1" t="s">
        <v>204</v>
      </c>
      <c r="BL994" s="1" t="s">
        <v>4910</v>
      </c>
      <c r="BM994" s="1" t="s">
        <v>17635</v>
      </c>
      <c r="BN994" s="1" t="n">
        <v>33531146</v>
      </c>
      <c r="BO994" s="1" t="s">
        <v>542</v>
      </c>
      <c r="BP994" s="1"/>
      <c r="BQ994" s="1"/>
      <c r="BR994" s="1" t="s">
        <v>103</v>
      </c>
      <c r="BS994" s="1" t="s">
        <v>17636</v>
      </c>
      <c r="BT994" s="1" t="str">
        <f aca="false">HYPERLINK("https%3A%2F%2Fwww.webofscience.com%2Fwos%2Fwoscc%2Ffull-record%2FWOS:000703603700007","View Full Record in Web of Science")</f>
        <v>View Full Record in Web of Science</v>
      </c>
    </row>
    <row r="995" customFormat="false" ht="12.75" hidden="false" customHeight="false" outlineLevel="0" collapsed="false">
      <c r="A995" s="1" t="s">
        <v>181</v>
      </c>
      <c r="B995" s="1" t="s">
        <v>17637</v>
      </c>
      <c r="C995" s="1"/>
      <c r="D995" s="1"/>
      <c r="E995" s="1"/>
      <c r="F995" s="1" t="s">
        <v>17638</v>
      </c>
      <c r="G995" s="1"/>
      <c r="H995" s="1"/>
      <c r="I995" s="1" t="s">
        <v>17639</v>
      </c>
      <c r="J995" s="1" t="s">
        <v>3481</v>
      </c>
      <c r="K995" s="1"/>
      <c r="L995" s="1"/>
      <c r="M995" s="1" t="s">
        <v>78</v>
      </c>
      <c r="N995" s="1" t="s">
        <v>186</v>
      </c>
      <c r="O995" s="1"/>
      <c r="P995" s="1"/>
      <c r="Q995" s="1"/>
      <c r="R995" s="1"/>
      <c r="S995" s="1"/>
      <c r="T995" s="1" t="s">
        <v>17640</v>
      </c>
      <c r="U995" s="1" t="s">
        <v>17641</v>
      </c>
      <c r="V995" s="1" t="s">
        <v>17642</v>
      </c>
      <c r="W995" s="1" t="s">
        <v>17643</v>
      </c>
      <c r="X995" s="1" t="s">
        <v>17644</v>
      </c>
      <c r="Y995" s="1" t="s">
        <v>17645</v>
      </c>
      <c r="Z995" s="1" t="s">
        <v>17646</v>
      </c>
      <c r="AA995" s="1" t="s">
        <v>17647</v>
      </c>
      <c r="AB995" s="1" t="s">
        <v>17648</v>
      </c>
      <c r="AC995" s="1" t="s">
        <v>17649</v>
      </c>
      <c r="AD995" s="1" t="s">
        <v>17650</v>
      </c>
      <c r="AE995" s="1" t="s">
        <v>17651</v>
      </c>
      <c r="AF995" s="1"/>
      <c r="AG995" s="1" t="n">
        <v>58</v>
      </c>
      <c r="AH995" s="1" t="n">
        <v>27</v>
      </c>
      <c r="AI995" s="1" t="n">
        <v>28</v>
      </c>
      <c r="AJ995" s="1" t="n">
        <v>2</v>
      </c>
      <c r="AK995" s="1" t="n">
        <v>19</v>
      </c>
      <c r="AL995" s="1" t="s">
        <v>367</v>
      </c>
      <c r="AM995" s="1" t="s">
        <v>368</v>
      </c>
      <c r="AN995" s="1" t="s">
        <v>369</v>
      </c>
      <c r="AO995" s="1"/>
      <c r="AP995" s="1" t="s">
        <v>3492</v>
      </c>
      <c r="AQ995" s="1"/>
      <c r="AR995" s="1" t="s">
        <v>3493</v>
      </c>
      <c r="AS995" s="1" t="s">
        <v>3494</v>
      </c>
      <c r="AT995" s="1" t="s">
        <v>474</v>
      </c>
      <c r="AU995" s="1" t="n">
        <v>2021</v>
      </c>
      <c r="AV995" s="1" t="n">
        <v>21</v>
      </c>
      <c r="AW995" s="1" t="n">
        <v>18</v>
      </c>
      <c r="AX995" s="1"/>
      <c r="AY995" s="1"/>
      <c r="AZ995" s="1"/>
      <c r="BA995" s="1"/>
      <c r="BB995" s="1"/>
      <c r="BC995" s="1"/>
      <c r="BD995" s="1" t="n">
        <v>6018</v>
      </c>
      <c r="BE995" s="1" t="s">
        <v>17652</v>
      </c>
      <c r="BF995" s="1" t="str">
        <f aca="false">HYPERLINK("http://dx.doi.org/10.3390/s21186018","http://dx.doi.org/10.3390/s21186018")</f>
        <v>http://dx.doi.org/10.3390/s21186018</v>
      </c>
      <c r="BG995" s="1"/>
      <c r="BH995" s="1"/>
      <c r="BI995" s="1" t="n">
        <v>20</v>
      </c>
      <c r="BJ995" s="1" t="s">
        <v>3496</v>
      </c>
      <c r="BK995" s="1" t="s">
        <v>204</v>
      </c>
      <c r="BL995" s="1" t="s">
        <v>3497</v>
      </c>
      <c r="BM995" s="1" t="s">
        <v>17653</v>
      </c>
      <c r="BN995" s="1" t="n">
        <v>34577224</v>
      </c>
      <c r="BO995" s="1" t="s">
        <v>542</v>
      </c>
      <c r="BP995" s="1"/>
      <c r="BQ995" s="1"/>
      <c r="BR995" s="1" t="s">
        <v>103</v>
      </c>
      <c r="BS995" s="1" t="s">
        <v>17654</v>
      </c>
      <c r="BT995" s="1" t="str">
        <f aca="false">HYPERLINK("https%3A%2F%2Fwww.webofscience.com%2Fwos%2Fwoscc%2Ffull-record%2FWOS:000701067400001","View Full Record in Web of Science")</f>
        <v>View Full Record in Web of Science</v>
      </c>
    </row>
    <row r="996" customFormat="false" ht="12.75" hidden="false" customHeight="false" outlineLevel="0" collapsed="false">
      <c r="A996" s="1" t="s">
        <v>181</v>
      </c>
      <c r="B996" s="1" t="s">
        <v>17655</v>
      </c>
      <c r="C996" s="1"/>
      <c r="D996" s="1"/>
      <c r="E996" s="1"/>
      <c r="F996" s="1" t="s">
        <v>17656</v>
      </c>
      <c r="G996" s="1"/>
      <c r="H996" s="1"/>
      <c r="I996" s="1" t="s">
        <v>17657</v>
      </c>
      <c r="J996" s="1" t="s">
        <v>671</v>
      </c>
      <c r="K996" s="1"/>
      <c r="L996" s="1"/>
      <c r="M996" s="1" t="s">
        <v>78</v>
      </c>
      <c r="N996" s="1" t="s">
        <v>186</v>
      </c>
      <c r="O996" s="1"/>
      <c r="P996" s="1"/>
      <c r="Q996" s="1"/>
      <c r="R996" s="1"/>
      <c r="S996" s="1"/>
      <c r="T996" s="1" t="s">
        <v>17658</v>
      </c>
      <c r="U996" s="1"/>
      <c r="V996" s="1" t="s">
        <v>17659</v>
      </c>
      <c r="W996" s="1" t="s">
        <v>17660</v>
      </c>
      <c r="X996" s="1" t="s">
        <v>17661</v>
      </c>
      <c r="Y996" s="1" t="s">
        <v>17662</v>
      </c>
      <c r="Z996" s="1" t="s">
        <v>17663</v>
      </c>
      <c r="AA996" s="1" t="s">
        <v>17664</v>
      </c>
      <c r="AB996" s="1" t="s">
        <v>17665</v>
      </c>
      <c r="AC996" s="1" t="s">
        <v>17666</v>
      </c>
      <c r="AD996" s="1" t="s">
        <v>17666</v>
      </c>
      <c r="AE996" s="1" t="s">
        <v>17667</v>
      </c>
      <c r="AF996" s="1"/>
      <c r="AG996" s="1" t="n">
        <v>54</v>
      </c>
      <c r="AH996" s="1" t="n">
        <v>4</v>
      </c>
      <c r="AI996" s="1" t="n">
        <v>4</v>
      </c>
      <c r="AJ996" s="1" t="n">
        <v>4</v>
      </c>
      <c r="AK996" s="1" t="n">
        <v>8</v>
      </c>
      <c r="AL996" s="1" t="s">
        <v>679</v>
      </c>
      <c r="AM996" s="1" t="s">
        <v>680</v>
      </c>
      <c r="AN996" s="1" t="s">
        <v>681</v>
      </c>
      <c r="AO996" s="1" t="s">
        <v>682</v>
      </c>
      <c r="AP996" s="1" t="s">
        <v>683</v>
      </c>
      <c r="AQ996" s="1"/>
      <c r="AR996" s="1" t="s">
        <v>684</v>
      </c>
      <c r="AS996" s="1" t="s">
        <v>685</v>
      </c>
      <c r="AT996" s="1" t="s">
        <v>1391</v>
      </c>
      <c r="AU996" s="1" t="n">
        <v>2023</v>
      </c>
      <c r="AV996" s="1" t="n">
        <v>28</v>
      </c>
      <c r="AW996" s="1" t="n">
        <v>6</v>
      </c>
      <c r="AX996" s="1"/>
      <c r="AY996" s="1"/>
      <c r="AZ996" s="1"/>
      <c r="BA996" s="1"/>
      <c r="BB996" s="1"/>
      <c r="BC996" s="1"/>
      <c r="BD996" s="1" t="n">
        <v>128</v>
      </c>
      <c r="BE996" s="1" t="s">
        <v>17668</v>
      </c>
      <c r="BF996" s="1" t="str">
        <f aca="false">HYPERLINK("http://dx.doi.org/10.1007/s10664-023-10381-0","http://dx.doi.org/10.1007/s10664-023-10381-0")</f>
        <v>http://dx.doi.org/10.1007/s10664-023-10381-0</v>
      </c>
      <c r="BG996" s="1"/>
      <c r="BH996" s="1"/>
      <c r="BI996" s="1" t="n">
        <v>31</v>
      </c>
      <c r="BJ996" s="1" t="s">
        <v>252</v>
      </c>
      <c r="BK996" s="1" t="s">
        <v>204</v>
      </c>
      <c r="BL996" s="1" t="s">
        <v>101</v>
      </c>
      <c r="BM996" s="1" t="s">
        <v>17669</v>
      </c>
      <c r="BN996" s="1"/>
      <c r="BO996" s="1" t="s">
        <v>282</v>
      </c>
      <c r="BP996" s="1"/>
      <c r="BQ996" s="1"/>
      <c r="BR996" s="1" t="s">
        <v>103</v>
      </c>
      <c r="BS996" s="1" t="s">
        <v>17670</v>
      </c>
      <c r="BT996" s="1" t="str">
        <f aca="false">HYPERLINK("https%3A%2F%2Fwww.webofscience.com%2Fwos%2Fwoscc%2Ffull-record%2FWOS:001073677200001","View Full Record in Web of Science")</f>
        <v>View Full Record in Web of Science</v>
      </c>
    </row>
    <row r="997" customFormat="false" ht="12.75" hidden="false" customHeight="false" outlineLevel="0" collapsed="false">
      <c r="A997" s="1" t="s">
        <v>181</v>
      </c>
      <c r="B997" s="1" t="s">
        <v>17671</v>
      </c>
      <c r="C997" s="1"/>
      <c r="D997" s="1"/>
      <c r="E997" s="1"/>
      <c r="F997" s="1" t="s">
        <v>17672</v>
      </c>
      <c r="G997" s="1"/>
      <c r="H997" s="1"/>
      <c r="I997" s="1" t="s">
        <v>17673</v>
      </c>
      <c r="J997" s="1" t="s">
        <v>17674</v>
      </c>
      <c r="K997" s="1"/>
      <c r="L997" s="1"/>
      <c r="M997" s="1" t="s">
        <v>78</v>
      </c>
      <c r="N997" s="1" t="s">
        <v>186</v>
      </c>
      <c r="O997" s="1"/>
      <c r="P997" s="1"/>
      <c r="Q997" s="1"/>
      <c r="R997" s="1"/>
      <c r="S997" s="1"/>
      <c r="T997" s="1" t="s">
        <v>17675</v>
      </c>
      <c r="U997" s="1" t="s">
        <v>17676</v>
      </c>
      <c r="V997" s="1" t="s">
        <v>17677</v>
      </c>
      <c r="W997" s="1" t="s">
        <v>17678</v>
      </c>
      <c r="X997" s="1" t="s">
        <v>17679</v>
      </c>
      <c r="Y997" s="1" t="s">
        <v>17680</v>
      </c>
      <c r="Z997" s="1" t="s">
        <v>17681</v>
      </c>
      <c r="AA997" s="1" t="s">
        <v>17682</v>
      </c>
      <c r="AB997" s="1" t="s">
        <v>17683</v>
      </c>
      <c r="AC997" s="1" t="s">
        <v>17684</v>
      </c>
      <c r="AD997" s="1" t="s">
        <v>17685</v>
      </c>
      <c r="AE997" s="1" t="s">
        <v>17686</v>
      </c>
      <c r="AF997" s="1"/>
      <c r="AG997" s="1" t="n">
        <v>67</v>
      </c>
      <c r="AH997" s="1" t="n">
        <v>7</v>
      </c>
      <c r="AI997" s="1" t="n">
        <v>7</v>
      </c>
      <c r="AJ997" s="1" t="n">
        <v>8</v>
      </c>
      <c r="AK997" s="1" t="n">
        <v>53</v>
      </c>
      <c r="AL997" s="1" t="s">
        <v>2289</v>
      </c>
      <c r="AM997" s="1" t="s">
        <v>2290</v>
      </c>
      <c r="AN997" s="1" t="s">
        <v>2291</v>
      </c>
      <c r="AO997" s="1" t="s">
        <v>17687</v>
      </c>
      <c r="AP997" s="1" t="s">
        <v>17688</v>
      </c>
      <c r="AQ997" s="1"/>
      <c r="AR997" s="1" t="s">
        <v>17689</v>
      </c>
      <c r="AS997" s="1" t="s">
        <v>17690</v>
      </c>
      <c r="AT997" s="1" t="s">
        <v>808</v>
      </c>
      <c r="AU997" s="1" t="n">
        <v>2022</v>
      </c>
      <c r="AV997" s="1" t="n">
        <v>53</v>
      </c>
      <c r="AW997" s="1" t="n">
        <v>5</v>
      </c>
      <c r="AX997" s="1"/>
      <c r="AY997" s="1"/>
      <c r="AZ997" s="1"/>
      <c r="BA997" s="1"/>
      <c r="BB997" s="1" t="n">
        <v>936</v>
      </c>
      <c r="BC997" s="1" t="n">
        <v>949</v>
      </c>
      <c r="BD997" s="1"/>
      <c r="BE997" s="1" t="s">
        <v>17691</v>
      </c>
      <c r="BF997" s="1" t="str">
        <f aca="false">HYPERLINK("http://dx.doi.org/10.1057/s41267-021-00490-7","http://dx.doi.org/10.1057/s41267-021-00490-7")</f>
        <v>http://dx.doi.org/10.1057/s41267-021-00490-7</v>
      </c>
      <c r="BG997" s="1"/>
      <c r="BH997" s="1" t="s">
        <v>2540</v>
      </c>
      <c r="BI997" s="1" t="n">
        <v>14</v>
      </c>
      <c r="BJ997" s="1" t="s">
        <v>11556</v>
      </c>
      <c r="BK997" s="1" t="s">
        <v>610</v>
      </c>
      <c r="BL997" s="1" t="s">
        <v>715</v>
      </c>
      <c r="BM997" s="1" t="s">
        <v>17692</v>
      </c>
      <c r="BN997" s="1"/>
      <c r="BO997" s="1"/>
      <c r="BP997" s="1"/>
      <c r="BQ997" s="1"/>
      <c r="BR997" s="1" t="s">
        <v>103</v>
      </c>
      <c r="BS997" s="1" t="s">
        <v>17693</v>
      </c>
      <c r="BT997" s="1" t="str">
        <f aca="false">HYPERLINK("https%3A%2F%2Fwww.webofscience.com%2Fwos%2Fwoscc%2Ffull-record%2FWOS:000743397100001","View Full Record in Web of Science")</f>
        <v>View Full Record in Web of Science</v>
      </c>
    </row>
    <row r="998" customFormat="false" ht="12.75" hidden="false" customHeight="false" outlineLevel="0" collapsed="false">
      <c r="A998" s="1" t="s">
        <v>181</v>
      </c>
      <c r="B998" s="1" t="s">
        <v>17694</v>
      </c>
      <c r="C998" s="1"/>
      <c r="D998" s="1"/>
      <c r="E998" s="1"/>
      <c r="F998" s="1" t="s">
        <v>17695</v>
      </c>
      <c r="G998" s="1"/>
      <c r="H998" s="1"/>
      <c r="I998" s="1" t="s">
        <v>17696</v>
      </c>
      <c r="J998" s="1" t="s">
        <v>5910</v>
      </c>
      <c r="K998" s="1"/>
      <c r="L998" s="1"/>
      <c r="M998" s="1" t="s">
        <v>78</v>
      </c>
      <c r="N998" s="1" t="s">
        <v>186</v>
      </c>
      <c r="O998" s="1"/>
      <c r="P998" s="1"/>
      <c r="Q998" s="1"/>
      <c r="R998" s="1"/>
      <c r="S998" s="1"/>
      <c r="T998" s="1" t="s">
        <v>17697</v>
      </c>
      <c r="U998" s="1"/>
      <c r="V998" s="1" t="s">
        <v>17698</v>
      </c>
      <c r="W998" s="1" t="s">
        <v>17699</v>
      </c>
      <c r="X998" s="1" t="s">
        <v>17700</v>
      </c>
      <c r="Y998" s="1" t="s">
        <v>17701</v>
      </c>
      <c r="Z998" s="1" t="s">
        <v>17702</v>
      </c>
      <c r="AA998" s="1" t="s">
        <v>17703</v>
      </c>
      <c r="AB998" s="1" t="s">
        <v>17704</v>
      </c>
      <c r="AC998" s="1" t="s">
        <v>17705</v>
      </c>
      <c r="AD998" s="1" t="s">
        <v>17706</v>
      </c>
      <c r="AE998" s="1" t="s">
        <v>17707</v>
      </c>
      <c r="AF998" s="1"/>
      <c r="AG998" s="1" t="n">
        <v>31</v>
      </c>
      <c r="AH998" s="1" t="n">
        <v>7</v>
      </c>
      <c r="AI998" s="1" t="n">
        <v>7</v>
      </c>
      <c r="AJ998" s="1" t="n">
        <v>0</v>
      </c>
      <c r="AK998" s="1" t="n">
        <v>5</v>
      </c>
      <c r="AL998" s="1" t="s">
        <v>172</v>
      </c>
      <c r="AM998" s="1" t="s">
        <v>173</v>
      </c>
      <c r="AN998" s="1" t="s">
        <v>4882</v>
      </c>
      <c r="AO998" s="1" t="s">
        <v>5922</v>
      </c>
      <c r="AP998" s="1" t="s">
        <v>5923</v>
      </c>
      <c r="AQ998" s="1"/>
      <c r="AR998" s="1" t="s">
        <v>5924</v>
      </c>
      <c r="AS998" s="1" t="s">
        <v>5925</v>
      </c>
      <c r="AT998" s="1" t="s">
        <v>12291</v>
      </c>
      <c r="AU998" s="1" t="n">
        <v>2022</v>
      </c>
      <c r="AV998" s="1" t="n">
        <v>48</v>
      </c>
      <c r="AW998" s="1" t="n">
        <v>6</v>
      </c>
      <c r="AX998" s="1"/>
      <c r="AY998" s="1"/>
      <c r="AZ998" s="1"/>
      <c r="BA998" s="1"/>
      <c r="BB998" s="1" t="n">
        <v>1947</v>
      </c>
      <c r="BC998" s="1" t="n">
        <v>1964</v>
      </c>
      <c r="BD998" s="1"/>
      <c r="BE998" s="1" t="s">
        <v>17708</v>
      </c>
      <c r="BF998" s="1" t="str">
        <f aca="false">HYPERLINK("http://dx.doi.org/10.1109/TSE.2020.3042747","http://dx.doi.org/10.1109/TSE.2020.3042747")</f>
        <v>http://dx.doi.org/10.1109/TSE.2020.3042747</v>
      </c>
      <c r="BG998" s="1"/>
      <c r="BH998" s="1"/>
      <c r="BI998" s="1" t="n">
        <v>18</v>
      </c>
      <c r="BJ998" s="1" t="s">
        <v>5928</v>
      </c>
      <c r="BK998" s="1" t="s">
        <v>204</v>
      </c>
      <c r="BL998" s="1" t="s">
        <v>1255</v>
      </c>
      <c r="BM998" s="1" t="s">
        <v>17095</v>
      </c>
      <c r="BN998" s="1"/>
      <c r="BO998" s="1" t="s">
        <v>833</v>
      </c>
      <c r="BP998" s="1"/>
      <c r="BQ998" s="1"/>
      <c r="BR998" s="1" t="s">
        <v>103</v>
      </c>
      <c r="BS998" s="1" t="s">
        <v>17709</v>
      </c>
      <c r="BT998" s="1" t="str">
        <f aca="false">HYPERLINK("https%3A%2F%2Fwww.webofscience.com%2Fwos%2Fwoscc%2Ffull-record%2FWOS:000811580600007","View Full Record in Web of Science")</f>
        <v>View Full Record in Web of Science</v>
      </c>
    </row>
    <row r="999" customFormat="false" ht="12.75" hidden="false" customHeight="false" outlineLevel="0" collapsed="false">
      <c r="A999" s="1" t="s">
        <v>181</v>
      </c>
      <c r="B999" s="1" t="s">
        <v>17710</v>
      </c>
      <c r="C999" s="1"/>
      <c r="D999" s="1"/>
      <c r="E999" s="1"/>
      <c r="F999" s="1" t="s">
        <v>17711</v>
      </c>
      <c r="G999" s="1"/>
      <c r="H999" s="1"/>
      <c r="I999" s="1" t="s">
        <v>17712</v>
      </c>
      <c r="J999" s="1" t="s">
        <v>10928</v>
      </c>
      <c r="K999" s="1"/>
      <c r="L999" s="1"/>
      <c r="M999" s="1" t="s">
        <v>78</v>
      </c>
      <c r="N999" s="1" t="s">
        <v>186</v>
      </c>
      <c r="O999" s="1"/>
      <c r="P999" s="1"/>
      <c r="Q999" s="1"/>
      <c r="R999" s="1"/>
      <c r="S999" s="1"/>
      <c r="T999" s="1" t="s">
        <v>17713</v>
      </c>
      <c r="U999" s="1" t="s">
        <v>17714</v>
      </c>
      <c r="V999" s="1" t="s">
        <v>17715</v>
      </c>
      <c r="W999" s="1" t="s">
        <v>17716</v>
      </c>
      <c r="X999" s="1" t="s">
        <v>17717</v>
      </c>
      <c r="Y999" s="1" t="s">
        <v>17718</v>
      </c>
      <c r="Z999" s="1" t="s">
        <v>17719</v>
      </c>
      <c r="AA999" s="1" t="s">
        <v>11566</v>
      </c>
      <c r="AB999" s="1" t="s">
        <v>17720</v>
      </c>
      <c r="AC999" s="1" t="s">
        <v>17721</v>
      </c>
      <c r="AD999" s="1" t="s">
        <v>17721</v>
      </c>
      <c r="AE999" s="1" t="s">
        <v>17722</v>
      </c>
      <c r="AF999" s="1"/>
      <c r="AG999" s="1" t="n">
        <v>40</v>
      </c>
      <c r="AH999" s="1" t="n">
        <v>35</v>
      </c>
      <c r="AI999" s="1" t="n">
        <v>35</v>
      </c>
      <c r="AJ999" s="1" t="n">
        <v>0</v>
      </c>
      <c r="AK999" s="1" t="n">
        <v>13</v>
      </c>
      <c r="AL999" s="1" t="s">
        <v>270</v>
      </c>
      <c r="AM999" s="1" t="s">
        <v>271</v>
      </c>
      <c r="AN999" s="1" t="s">
        <v>272</v>
      </c>
      <c r="AO999" s="1" t="s">
        <v>10939</v>
      </c>
      <c r="AP999" s="1" t="s">
        <v>10940</v>
      </c>
      <c r="AQ999" s="1"/>
      <c r="AR999" s="1" t="s">
        <v>10941</v>
      </c>
      <c r="AS999" s="1" t="s">
        <v>10942</v>
      </c>
      <c r="AT999" s="1" t="s">
        <v>2698</v>
      </c>
      <c r="AU999" s="1" t="n">
        <v>2021</v>
      </c>
      <c r="AV999" s="1" t="n">
        <v>25</v>
      </c>
      <c r="AW999" s="1" t="n">
        <v>6</v>
      </c>
      <c r="AX999" s="1"/>
      <c r="AY999" s="1"/>
      <c r="AZ999" s="1"/>
      <c r="BA999" s="1"/>
      <c r="BB999" s="1" t="n">
        <v>4085</v>
      </c>
      <c r="BC999" s="1" t="n">
        <v>4095</v>
      </c>
      <c r="BD999" s="1"/>
      <c r="BE999" s="1" t="s">
        <v>17723</v>
      </c>
      <c r="BF999" s="1" t="str">
        <f aca="false">HYPERLINK("http://dx.doi.org/10.1007/s00784-020-03739-x","http://dx.doi.org/10.1007/s00784-020-03739-x")</f>
        <v>http://dx.doi.org/10.1007/s00784-020-03739-x</v>
      </c>
      <c r="BG999" s="1"/>
      <c r="BH999" s="1" t="s">
        <v>2728</v>
      </c>
      <c r="BI999" s="1" t="n">
        <v>11</v>
      </c>
      <c r="BJ999" s="1" t="s">
        <v>4910</v>
      </c>
      <c r="BK999" s="1" t="s">
        <v>204</v>
      </c>
      <c r="BL999" s="1" t="s">
        <v>4910</v>
      </c>
      <c r="BM999" s="1" t="s">
        <v>17531</v>
      </c>
      <c r="BN999" s="1" t="n">
        <v>33506429</v>
      </c>
      <c r="BO999" s="1" t="s">
        <v>612</v>
      </c>
      <c r="BP999" s="1"/>
      <c r="BQ999" s="1"/>
      <c r="BR999" s="1" t="s">
        <v>103</v>
      </c>
      <c r="BS999" s="1" t="s">
        <v>17724</v>
      </c>
      <c r="BT999" s="1" t="str">
        <f aca="false">HYPERLINK("https%3A%2F%2Fwww.webofscience.com%2Fwos%2Fwoscc%2Ffull-record%2FWOS:000612271500004","View Full Record in Web of Science")</f>
        <v>View Full Record in Web of Science</v>
      </c>
    </row>
    <row r="1000" customFormat="false" ht="12.75" hidden="false" customHeight="false" outlineLevel="0" collapsed="false">
      <c r="A1000" s="1" t="s">
        <v>181</v>
      </c>
      <c r="B1000" s="1" t="s">
        <v>17725</v>
      </c>
      <c r="C1000" s="1"/>
      <c r="D1000" s="1"/>
      <c r="E1000" s="1"/>
      <c r="F1000" s="1" t="s">
        <v>17726</v>
      </c>
      <c r="G1000" s="1"/>
      <c r="H1000" s="1"/>
      <c r="I1000" s="1" t="s">
        <v>17727</v>
      </c>
      <c r="J1000" s="1" t="s">
        <v>1104</v>
      </c>
      <c r="K1000" s="1"/>
      <c r="L1000" s="1"/>
      <c r="M1000" s="1" t="s">
        <v>78</v>
      </c>
      <c r="N1000" s="1" t="s">
        <v>186</v>
      </c>
      <c r="O1000" s="1"/>
      <c r="P1000" s="1"/>
      <c r="Q1000" s="1"/>
      <c r="R1000" s="1"/>
      <c r="S1000" s="1"/>
      <c r="T1000" s="1" t="s">
        <v>17728</v>
      </c>
      <c r="U1000" s="1" t="s">
        <v>17729</v>
      </c>
      <c r="V1000" s="1" t="s">
        <v>17730</v>
      </c>
      <c r="W1000" s="1" t="s">
        <v>17731</v>
      </c>
      <c r="X1000" s="1" t="s">
        <v>17732</v>
      </c>
      <c r="Y1000" s="1" t="s">
        <v>17733</v>
      </c>
      <c r="Z1000" s="1" t="s">
        <v>17734</v>
      </c>
      <c r="AA1000" s="1" t="s">
        <v>17735</v>
      </c>
      <c r="AB1000" s="1" t="s">
        <v>17736</v>
      </c>
      <c r="AC1000" s="1"/>
      <c r="AD1000" s="1"/>
      <c r="AE1000" s="1"/>
      <c r="AF1000" s="1"/>
      <c r="AG1000" s="1" t="n">
        <v>144</v>
      </c>
      <c r="AH1000" s="1" t="n">
        <v>16</v>
      </c>
      <c r="AI1000" s="1" t="n">
        <v>18</v>
      </c>
      <c r="AJ1000" s="1" t="n">
        <v>1</v>
      </c>
      <c r="AK1000" s="1" t="n">
        <v>31</v>
      </c>
      <c r="AL1000" s="1" t="s">
        <v>195</v>
      </c>
      <c r="AM1000" s="1" t="s">
        <v>196</v>
      </c>
      <c r="AN1000" s="1" t="s">
        <v>197</v>
      </c>
      <c r="AO1000" s="1" t="s">
        <v>1114</v>
      </c>
      <c r="AP1000" s="1"/>
      <c r="AQ1000" s="1"/>
      <c r="AR1000" s="1" t="s">
        <v>1104</v>
      </c>
      <c r="AS1000" s="1" t="s">
        <v>1115</v>
      </c>
      <c r="AT1000" s="1"/>
      <c r="AU1000" s="1" t="n">
        <v>2021</v>
      </c>
      <c r="AV1000" s="1" t="n">
        <v>9</v>
      </c>
      <c r="AW1000" s="1"/>
      <c r="AX1000" s="1"/>
      <c r="AY1000" s="1"/>
      <c r="AZ1000" s="1"/>
      <c r="BA1000" s="1"/>
      <c r="BB1000" s="1" t="n">
        <v>56836</v>
      </c>
      <c r="BC1000" s="1" t="n">
        <v>56854</v>
      </c>
      <c r="BD1000" s="1"/>
      <c r="BE1000" s="1" t="s">
        <v>17737</v>
      </c>
      <c r="BF1000" s="1" t="str">
        <f aca="false">HYPERLINK("http://dx.doi.org/10.1109/ACCESS.2021.3071393","http://dx.doi.org/10.1109/ACCESS.2021.3071393")</f>
        <v>http://dx.doi.org/10.1109/ACCESS.2021.3071393</v>
      </c>
      <c r="BG1000" s="1"/>
      <c r="BH1000" s="1"/>
      <c r="BI1000" s="1" t="n">
        <v>19</v>
      </c>
      <c r="BJ1000" s="1" t="s">
        <v>1117</v>
      </c>
      <c r="BK1000" s="1" t="s">
        <v>398</v>
      </c>
      <c r="BL1000" s="1" t="s">
        <v>1118</v>
      </c>
      <c r="BM1000" s="1" t="s">
        <v>17738</v>
      </c>
      <c r="BN1000" s="1"/>
      <c r="BO1000" s="1" t="s">
        <v>376</v>
      </c>
      <c r="BP1000" s="1"/>
      <c r="BQ1000" s="1"/>
      <c r="BR1000" s="1" t="s">
        <v>103</v>
      </c>
      <c r="BS1000" s="1" t="s">
        <v>17739</v>
      </c>
      <c r="BT1000" s="1" t="str">
        <f aca="false">HYPERLINK("https%3A%2F%2Fwww.webofscience.com%2Fwos%2Fwoscc%2Ffull-record%2FWOS:000641943600001","View Full Record in Web of Science")</f>
        <v>View Full Record in Web of Science</v>
      </c>
    </row>
    <row r="1001" customFormat="false" ht="12.75" hidden="false" customHeight="false" outlineLevel="0" collapsed="false">
      <c r="A1001" s="1" t="s">
        <v>72</v>
      </c>
      <c r="B1001" s="1" t="s">
        <v>17740</v>
      </c>
      <c r="C1001" s="1"/>
      <c r="D1001" s="1" t="s">
        <v>719</v>
      </c>
      <c r="E1001" s="1"/>
      <c r="F1001" s="1" t="s">
        <v>17741</v>
      </c>
      <c r="G1001" s="1"/>
      <c r="H1001" s="1"/>
      <c r="I1001" s="1" t="s">
        <v>17742</v>
      </c>
      <c r="J1001" s="1" t="s">
        <v>722</v>
      </c>
      <c r="K1001" s="1" t="s">
        <v>289</v>
      </c>
      <c r="L1001" s="1"/>
      <c r="M1001" s="1" t="s">
        <v>78</v>
      </c>
      <c r="N1001" s="1" t="s">
        <v>79</v>
      </c>
      <c r="O1001" s="1" t="s">
        <v>723</v>
      </c>
      <c r="P1001" s="1" t="s">
        <v>724</v>
      </c>
      <c r="Q1001" s="1" t="s">
        <v>725</v>
      </c>
      <c r="R1001" s="1" t="s">
        <v>726</v>
      </c>
      <c r="S1001" s="1"/>
      <c r="T1001" s="1" t="s">
        <v>17743</v>
      </c>
      <c r="U1001" s="1" t="s">
        <v>17744</v>
      </c>
      <c r="V1001" s="1" t="s">
        <v>17745</v>
      </c>
      <c r="W1001" s="1" t="s">
        <v>17746</v>
      </c>
      <c r="X1001" s="1" t="s">
        <v>17747</v>
      </c>
      <c r="Y1001" s="1" t="s">
        <v>17748</v>
      </c>
      <c r="Z1001" s="1" t="s">
        <v>17749</v>
      </c>
      <c r="AA1001" s="1" t="s">
        <v>17750</v>
      </c>
      <c r="AB1001" s="1" t="s">
        <v>17751</v>
      </c>
      <c r="AC1001" s="1"/>
      <c r="AD1001" s="1"/>
      <c r="AE1001" s="1"/>
      <c r="AF1001" s="1"/>
      <c r="AG1001" s="1" t="n">
        <v>19</v>
      </c>
      <c r="AH1001" s="1" t="n">
        <v>14</v>
      </c>
      <c r="AI1001" s="1" t="n">
        <v>14</v>
      </c>
      <c r="AJ1001" s="1" t="n">
        <v>0</v>
      </c>
      <c r="AK1001" s="1" t="n">
        <v>14</v>
      </c>
      <c r="AL1001" s="1" t="s">
        <v>302</v>
      </c>
      <c r="AM1001" s="1" t="s">
        <v>303</v>
      </c>
      <c r="AN1001" s="1" t="s">
        <v>304</v>
      </c>
      <c r="AO1001" s="1" t="s">
        <v>305</v>
      </c>
      <c r="AP1001" s="1" t="s">
        <v>306</v>
      </c>
      <c r="AQ1001" s="1" t="s">
        <v>734</v>
      </c>
      <c r="AR1001" s="1" t="s">
        <v>308</v>
      </c>
      <c r="AS1001" s="1"/>
      <c r="AT1001" s="1"/>
      <c r="AU1001" s="1" t="n">
        <v>2022</v>
      </c>
      <c r="AV1001" s="1" t="n">
        <v>664</v>
      </c>
      <c r="AW1001" s="1"/>
      <c r="AX1001" s="1"/>
      <c r="AY1001" s="1"/>
      <c r="AZ1001" s="1"/>
      <c r="BA1001" s="1"/>
      <c r="BB1001" s="1" t="n">
        <v>310</v>
      </c>
      <c r="BC1001" s="1" t="n">
        <v>320</v>
      </c>
      <c r="BD1001" s="1"/>
      <c r="BE1001" s="1" t="s">
        <v>17752</v>
      </c>
      <c r="BF1001" s="1" t="str">
        <f aca="false">HYPERLINK("http://dx.doi.org/10.1007/978-3-031-16411-8_37","http://dx.doi.org/10.1007/978-3-031-16411-8_37")</f>
        <v>http://dx.doi.org/10.1007/978-3-031-16411-8_37</v>
      </c>
      <c r="BG1001" s="1"/>
      <c r="BH1001" s="1"/>
      <c r="BI1001" s="1" t="n">
        <v>11</v>
      </c>
      <c r="BJ1001" s="1" t="s">
        <v>736</v>
      </c>
      <c r="BK1001" s="1" t="s">
        <v>100</v>
      </c>
      <c r="BL1001" s="1" t="s">
        <v>737</v>
      </c>
      <c r="BM1001" s="1" t="s">
        <v>738</v>
      </c>
      <c r="BN1001" s="1"/>
      <c r="BO1001" s="1"/>
      <c r="BP1001" s="1"/>
      <c r="BQ1001" s="1"/>
      <c r="BR1001" s="1" t="s">
        <v>103</v>
      </c>
      <c r="BS1001" s="1" t="s">
        <v>17753</v>
      </c>
      <c r="BT1001" s="1" t="str">
        <f aca="false">HYPERLINK("https%3A%2F%2Fwww.webofscience.com%2Fwos%2Fwoscc%2Ffull-record%2FWOS:000869729400037","View Full Record in Web of Science")</f>
        <v>View Full Record in Web of Science</v>
      </c>
    </row>
    <row r="1002" customFormat="false" ht="14.65" hidden="false" customHeight="false" outlineLevel="0" collapsed="false">
      <c r="A1002" s="2" t="s">
        <v>181</v>
      </c>
      <c r="B1002" s="2" t="s">
        <v>17754</v>
      </c>
      <c r="C1002" s="2"/>
      <c r="D1002" s="2"/>
      <c r="E1002" s="2"/>
      <c r="F1002" s="2" t="s">
        <v>17755</v>
      </c>
      <c r="G1002" s="2"/>
      <c r="H1002" s="2"/>
      <c r="I1002" s="2" t="s">
        <v>17756</v>
      </c>
      <c r="J1002" s="2" t="s">
        <v>17757</v>
      </c>
      <c r="K1002" s="2"/>
      <c r="L1002" s="2"/>
      <c r="M1002" s="2" t="s">
        <v>78</v>
      </c>
      <c r="N1002" s="2" t="s">
        <v>186</v>
      </c>
      <c r="O1002" s="2"/>
      <c r="P1002" s="2"/>
      <c r="Q1002" s="2"/>
      <c r="R1002" s="2"/>
      <c r="S1002" s="2"/>
      <c r="T1002" s="2" t="s">
        <v>17758</v>
      </c>
      <c r="U1002" s="2" t="s">
        <v>17759</v>
      </c>
      <c r="V1002" s="2" t="s">
        <v>17760</v>
      </c>
      <c r="W1002" s="2" t="s">
        <v>17761</v>
      </c>
      <c r="X1002" s="2" t="s">
        <v>17762</v>
      </c>
      <c r="Y1002" s="2" t="s">
        <v>17763</v>
      </c>
      <c r="Z1002" s="2" t="s">
        <v>17764</v>
      </c>
      <c r="AA1002" s="2" t="s">
        <v>17765</v>
      </c>
      <c r="AB1002" s="2" t="s">
        <v>17766</v>
      </c>
      <c r="AC1002" s="2" t="s">
        <v>17767</v>
      </c>
      <c r="AD1002" s="2" t="s">
        <v>17767</v>
      </c>
      <c r="AE1002" s="2" t="s">
        <v>17768</v>
      </c>
      <c r="AF1002" s="2"/>
      <c r="AG1002" s="2" t="n">
        <v>55</v>
      </c>
      <c r="AH1002" s="2" t="n">
        <v>0</v>
      </c>
      <c r="AI1002" s="2" t="n">
        <v>0</v>
      </c>
      <c r="AJ1002" s="2" t="n">
        <v>5</v>
      </c>
      <c r="AK1002" s="2" t="n">
        <v>8</v>
      </c>
      <c r="AL1002" s="2" t="s">
        <v>846</v>
      </c>
      <c r="AM1002" s="2" t="s">
        <v>847</v>
      </c>
      <c r="AN1002" s="2" t="s">
        <v>848</v>
      </c>
      <c r="AO1002" s="2" t="s">
        <v>17769</v>
      </c>
      <c r="AP1002" s="2"/>
      <c r="AQ1002" s="2"/>
      <c r="AR1002" s="2" t="s">
        <v>17770</v>
      </c>
      <c r="AS1002" s="2" t="s">
        <v>17771</v>
      </c>
      <c r="AT1002" s="2"/>
      <c r="AU1002" s="2" t="n">
        <v>2024</v>
      </c>
      <c r="AV1002" s="2" t="n">
        <v>10</v>
      </c>
      <c r="AW1002" s="2"/>
      <c r="AX1002" s="2"/>
      <c r="AY1002" s="2"/>
      <c r="AZ1002" s="2"/>
      <c r="BA1002" s="2"/>
      <c r="BB1002" s="2"/>
      <c r="BC1002" s="2"/>
      <c r="BD1002" s="2" t="s">
        <v>17772</v>
      </c>
      <c r="BE1002" s="2" t="s">
        <v>17773</v>
      </c>
      <c r="BF1002" s="2" t="str">
        <f aca="false">HYPERLINK("http://dx.doi.org/10.2196/50297","http://dx.doi.org/10.2196/50297")</f>
        <v>http://dx.doi.org/10.2196/50297</v>
      </c>
      <c r="BG1002" s="2"/>
      <c r="BH1002" s="2"/>
      <c r="BI1002" s="2" t="n">
        <v>15</v>
      </c>
      <c r="BJ1002" s="2" t="s">
        <v>6806</v>
      </c>
      <c r="BK1002" s="2" t="s">
        <v>253</v>
      </c>
      <c r="BL1002" s="2" t="s">
        <v>924</v>
      </c>
      <c r="BM1002" s="2" t="s">
        <v>17774</v>
      </c>
      <c r="BN1002" s="2" t="n">
        <v>38683660</v>
      </c>
      <c r="BO1002" s="2" t="s">
        <v>6278</v>
      </c>
      <c r="BP1002" s="2"/>
      <c r="BQ1002" s="2"/>
      <c r="BR1002" s="2" t="s">
        <v>103</v>
      </c>
      <c r="BS1002" s="2" t="s">
        <v>17775</v>
      </c>
      <c r="BT1002" s="2" t="str">
        <f aca="false">HYPERLINK("https%3A%2F%2Fwww.webofscience.com%2Fwos%2Fwoscc%2Ffull-record%2FWOS:001241410000002","View Full Record in Web of Science")</f>
        <v>View Full Record in Web of Science</v>
      </c>
    </row>
    <row r="1003" customFormat="false" ht="14.65" hidden="false" customHeight="false" outlineLevel="0" collapsed="false">
      <c r="A1003" s="2" t="s">
        <v>181</v>
      </c>
      <c r="B1003" s="2" t="s">
        <v>17776</v>
      </c>
      <c r="C1003" s="2"/>
      <c r="D1003" s="2"/>
      <c r="E1003" s="2"/>
      <c r="F1003" s="2" t="s">
        <v>17777</v>
      </c>
      <c r="G1003" s="2"/>
      <c r="H1003" s="2"/>
      <c r="I1003" s="2" t="s">
        <v>17778</v>
      </c>
      <c r="J1003" s="2" t="s">
        <v>5545</v>
      </c>
      <c r="K1003" s="2"/>
      <c r="L1003" s="2"/>
      <c r="M1003" s="2" t="s">
        <v>78</v>
      </c>
      <c r="N1003" s="2" t="s">
        <v>1996</v>
      </c>
      <c r="O1003" s="2"/>
      <c r="P1003" s="2"/>
      <c r="Q1003" s="2"/>
      <c r="R1003" s="2"/>
      <c r="S1003" s="2"/>
      <c r="T1003" s="2" t="s">
        <v>17779</v>
      </c>
      <c r="U1003" s="2" t="s">
        <v>17780</v>
      </c>
      <c r="V1003" s="2" t="s">
        <v>17781</v>
      </c>
      <c r="W1003" s="2" t="s">
        <v>17782</v>
      </c>
      <c r="X1003" s="2" t="s">
        <v>17783</v>
      </c>
      <c r="Y1003" s="2" t="s">
        <v>17784</v>
      </c>
      <c r="Z1003" s="2" t="s">
        <v>17785</v>
      </c>
      <c r="AA1003" s="2" t="s">
        <v>9257</v>
      </c>
      <c r="AB1003" s="2" t="s">
        <v>16772</v>
      </c>
      <c r="AC1003" s="2"/>
      <c r="AD1003" s="2"/>
      <c r="AE1003" s="2"/>
      <c r="AF1003" s="2"/>
      <c r="AG1003" s="2" t="n">
        <v>33</v>
      </c>
      <c r="AH1003" s="2" t="n">
        <v>0</v>
      </c>
      <c r="AI1003" s="2" t="n">
        <v>0</v>
      </c>
      <c r="AJ1003" s="2" t="n">
        <v>1</v>
      </c>
      <c r="AK1003" s="2" t="n">
        <v>14</v>
      </c>
      <c r="AL1003" s="2" t="s">
        <v>679</v>
      </c>
      <c r="AM1003" s="2" t="s">
        <v>680</v>
      </c>
      <c r="AN1003" s="2" t="s">
        <v>681</v>
      </c>
      <c r="AO1003" s="2" t="s">
        <v>5556</v>
      </c>
      <c r="AP1003" s="2" t="s">
        <v>5557</v>
      </c>
      <c r="AQ1003" s="2"/>
      <c r="AR1003" s="2" t="s">
        <v>5558</v>
      </c>
      <c r="AS1003" s="2" t="s">
        <v>5559</v>
      </c>
      <c r="AT1003" s="2" t="s">
        <v>372</v>
      </c>
      <c r="AU1003" s="2" t="n">
        <v>2023</v>
      </c>
      <c r="AV1003" s="2" t="n">
        <v>61</v>
      </c>
      <c r="AW1003" s="2" t="n">
        <v>4</v>
      </c>
      <c r="AX1003" s="2"/>
      <c r="AY1003" s="2"/>
      <c r="AZ1003" s="2"/>
      <c r="BA1003" s="2"/>
      <c r="BB1003" s="2" t="n">
        <v>1381</v>
      </c>
      <c r="BC1003" s="2" t="n">
        <v>1390</v>
      </c>
      <c r="BD1003" s="2"/>
      <c r="BE1003" s="2" t="s">
        <v>17786</v>
      </c>
      <c r="BF1003" s="2" t="str">
        <f aca="false">HYPERLINK("http://dx.doi.org/10.1007/s11187-023-00819-6","http://dx.doi.org/10.1007/s11187-023-00819-6")</f>
        <v>http://dx.doi.org/10.1007/s11187-023-00819-6</v>
      </c>
      <c r="BG1003" s="2"/>
      <c r="BH1003" s="2" t="s">
        <v>6154</v>
      </c>
      <c r="BI1003" s="2" t="n">
        <v>10</v>
      </c>
      <c r="BJ1003" s="2" t="s">
        <v>5562</v>
      </c>
      <c r="BK1003" s="2" t="s">
        <v>610</v>
      </c>
      <c r="BL1003" s="2" t="s">
        <v>715</v>
      </c>
      <c r="BM1003" s="2" t="s">
        <v>17787</v>
      </c>
      <c r="BN1003" s="2"/>
      <c r="BO1003" s="2" t="s">
        <v>282</v>
      </c>
      <c r="BP1003" s="2"/>
      <c r="BQ1003" s="2"/>
      <c r="BR1003" s="2" t="s">
        <v>103</v>
      </c>
      <c r="BS1003" s="2" t="s">
        <v>17788</v>
      </c>
      <c r="BT1003" s="2" t="str">
        <f aca="false">HYPERLINK("https%3A%2F%2Fwww.webofscience.com%2Fwos%2Fwoscc%2Ffull-record%2FWOS:001077161300002","View Full Record in Web of Science")</f>
        <v>View Full Record in Web of Science</v>
      </c>
    </row>
    <row r="1004" customFormat="false" ht="14.65" hidden="false" customHeight="false" outlineLevel="0" collapsed="false">
      <c r="A1004" s="2" t="s">
        <v>181</v>
      </c>
      <c r="B1004" s="2" t="s">
        <v>17789</v>
      </c>
      <c r="C1004" s="2"/>
      <c r="D1004" s="2"/>
      <c r="E1004" s="2"/>
      <c r="F1004" s="2" t="s">
        <v>17790</v>
      </c>
      <c r="G1004" s="2"/>
      <c r="H1004" s="2"/>
      <c r="I1004" s="2" t="s">
        <v>17791</v>
      </c>
      <c r="J1004" s="2" t="s">
        <v>4875</v>
      </c>
      <c r="K1004" s="2"/>
      <c r="L1004" s="2"/>
      <c r="M1004" s="2" t="s">
        <v>78</v>
      </c>
      <c r="N1004" s="2" t="s">
        <v>186</v>
      </c>
      <c r="O1004" s="2"/>
      <c r="P1004" s="2"/>
      <c r="Q1004" s="2"/>
      <c r="R1004" s="2"/>
      <c r="S1004" s="2"/>
      <c r="T1004" s="2"/>
      <c r="U1004" s="2"/>
      <c r="V1004" s="2" t="s">
        <v>17792</v>
      </c>
      <c r="W1004" s="2" t="s">
        <v>17793</v>
      </c>
      <c r="X1004" s="2" t="s">
        <v>17794</v>
      </c>
      <c r="Y1004" s="2" t="s">
        <v>17795</v>
      </c>
      <c r="Z1004" s="2" t="s">
        <v>17796</v>
      </c>
      <c r="AA1004" s="2" t="s">
        <v>17797</v>
      </c>
      <c r="AB1004" s="2" t="s">
        <v>17798</v>
      </c>
      <c r="AC1004" s="2"/>
      <c r="AD1004" s="2"/>
      <c r="AE1004" s="2"/>
      <c r="AF1004" s="2"/>
      <c r="AG1004" s="2" t="n">
        <v>20</v>
      </c>
      <c r="AH1004" s="2" t="n">
        <v>2</v>
      </c>
      <c r="AI1004" s="2" t="n">
        <v>2</v>
      </c>
      <c r="AJ1004" s="2" t="n">
        <v>0</v>
      </c>
      <c r="AK1004" s="2" t="n">
        <v>5</v>
      </c>
      <c r="AL1004" s="2" t="s">
        <v>172</v>
      </c>
      <c r="AM1004" s="2" t="s">
        <v>173</v>
      </c>
      <c r="AN1004" s="2" t="s">
        <v>4882</v>
      </c>
      <c r="AO1004" s="2" t="s">
        <v>4883</v>
      </c>
      <c r="AP1004" s="2" t="s">
        <v>4884</v>
      </c>
      <c r="AQ1004" s="2"/>
      <c r="AR1004" s="2" t="s">
        <v>4875</v>
      </c>
      <c r="AS1004" s="2" t="s">
        <v>4885</v>
      </c>
      <c r="AT1004" s="2" t="s">
        <v>8809</v>
      </c>
      <c r="AU1004" s="2" t="n">
        <v>2022</v>
      </c>
      <c r="AV1004" s="2" t="n">
        <v>39</v>
      </c>
      <c r="AW1004" s="2" t="n">
        <v>3</v>
      </c>
      <c r="AX1004" s="2"/>
      <c r="AY1004" s="2"/>
      <c r="AZ1004" s="2"/>
      <c r="BA1004" s="2"/>
      <c r="BB1004" s="2" t="n">
        <v>85</v>
      </c>
      <c r="BC1004" s="2" t="n">
        <v>95</v>
      </c>
      <c r="BD1004" s="2"/>
      <c r="BE1004" s="2" t="s">
        <v>17799</v>
      </c>
      <c r="BF1004" s="2" t="str">
        <f aca="false">HYPERLINK("http://dx.doi.org/10.1109/MS.2021.3098670","http://dx.doi.org/10.1109/MS.2021.3098670")</f>
        <v>http://dx.doi.org/10.1109/MS.2021.3098670</v>
      </c>
      <c r="BG1004" s="2"/>
      <c r="BH1004" s="2"/>
      <c r="BI1004" s="2" t="n">
        <v>11</v>
      </c>
      <c r="BJ1004" s="2" t="s">
        <v>252</v>
      </c>
      <c r="BK1004" s="2" t="s">
        <v>204</v>
      </c>
      <c r="BL1004" s="2" t="s">
        <v>101</v>
      </c>
      <c r="BM1004" s="2" t="s">
        <v>12251</v>
      </c>
      <c r="BN1004" s="2"/>
      <c r="BO1004" s="2" t="s">
        <v>7573</v>
      </c>
      <c r="BP1004" s="2"/>
      <c r="BQ1004" s="2"/>
      <c r="BR1004" s="2" t="s">
        <v>103</v>
      </c>
      <c r="BS1004" s="2" t="s">
        <v>17800</v>
      </c>
      <c r="BT1004" s="2" t="str">
        <f aca="false">HYPERLINK("https%3A%2F%2Fwww.webofscience.com%2Fwos%2Fwoscc%2Ffull-record%2FWOS:000811542700012","View Full Record in Web of Science")</f>
        <v>View Full Record in Web of Science</v>
      </c>
    </row>
    <row r="1005" customFormat="false" ht="14.65" hidden="false" customHeight="false" outlineLevel="0" collapsed="false">
      <c r="A1005" s="2" t="s">
        <v>181</v>
      </c>
      <c r="B1005" s="2" t="s">
        <v>17801</v>
      </c>
      <c r="C1005" s="2"/>
      <c r="D1005" s="2"/>
      <c r="E1005" s="2"/>
      <c r="F1005" s="2" t="s">
        <v>17802</v>
      </c>
      <c r="G1005" s="2"/>
      <c r="H1005" s="2"/>
      <c r="I1005" s="2" t="s">
        <v>17803</v>
      </c>
      <c r="J1005" s="2" t="s">
        <v>17804</v>
      </c>
      <c r="K1005" s="2"/>
      <c r="L1005" s="2"/>
      <c r="M1005" s="2" t="s">
        <v>78</v>
      </c>
      <c r="N1005" s="2" t="s">
        <v>186</v>
      </c>
      <c r="O1005" s="2"/>
      <c r="P1005" s="2"/>
      <c r="Q1005" s="2"/>
      <c r="R1005" s="2"/>
      <c r="S1005" s="2"/>
      <c r="T1005" s="2" t="s">
        <v>17805</v>
      </c>
      <c r="U1005" s="2" t="s">
        <v>17806</v>
      </c>
      <c r="V1005" s="2" t="s">
        <v>17807</v>
      </c>
      <c r="W1005" s="2" t="s">
        <v>17808</v>
      </c>
      <c r="X1005" s="2" t="s">
        <v>17809</v>
      </c>
      <c r="Y1005" s="2" t="s">
        <v>17810</v>
      </c>
      <c r="Z1005" s="2" t="s">
        <v>17811</v>
      </c>
      <c r="AA1005" s="2" t="s">
        <v>17812</v>
      </c>
      <c r="AB1005" s="2" t="s">
        <v>17813</v>
      </c>
      <c r="AC1005" s="2" t="s">
        <v>17814</v>
      </c>
      <c r="AD1005" s="2" t="s">
        <v>17815</v>
      </c>
      <c r="AE1005" s="2" t="s">
        <v>17816</v>
      </c>
      <c r="AF1005" s="2"/>
      <c r="AG1005" s="2" t="n">
        <v>38</v>
      </c>
      <c r="AH1005" s="2" t="n">
        <v>1</v>
      </c>
      <c r="AI1005" s="2" t="n">
        <v>1</v>
      </c>
      <c r="AJ1005" s="2" t="n">
        <v>0</v>
      </c>
      <c r="AK1005" s="2" t="n">
        <v>3</v>
      </c>
      <c r="AL1005" s="2" t="s">
        <v>8218</v>
      </c>
      <c r="AM1005" s="2" t="s">
        <v>1908</v>
      </c>
      <c r="AN1005" s="2" t="s">
        <v>8219</v>
      </c>
      <c r="AO1005" s="2" t="s">
        <v>17817</v>
      </c>
      <c r="AP1005" s="2"/>
      <c r="AQ1005" s="2"/>
      <c r="AR1005" s="2" t="s">
        <v>17818</v>
      </c>
      <c r="AS1005" s="2" t="s">
        <v>17819</v>
      </c>
      <c r="AT1005" s="2" t="s">
        <v>17820</v>
      </c>
      <c r="AU1005" s="2" t="n">
        <v>2024</v>
      </c>
      <c r="AV1005" s="2" t="n">
        <v>22</v>
      </c>
      <c r="AW1005" s="2" t="n">
        <v>1</v>
      </c>
      <c r="AX1005" s="2"/>
      <c r="AY1005" s="2"/>
      <c r="AZ1005" s="2"/>
      <c r="BA1005" s="2"/>
      <c r="BB1005" s="2"/>
      <c r="BC1005" s="2"/>
      <c r="BD1005" s="2" t="n">
        <v>236</v>
      </c>
      <c r="BE1005" s="2" t="s">
        <v>17821</v>
      </c>
      <c r="BF1005" s="2" t="str">
        <f aca="false">HYPERLINK("http://dx.doi.org/10.1186/s12916-024-03454-4","http://dx.doi.org/10.1186/s12916-024-03454-4")</f>
        <v>http://dx.doi.org/10.1186/s12916-024-03454-4</v>
      </c>
      <c r="BG1005" s="2"/>
      <c r="BH1005" s="2"/>
      <c r="BI1005" s="2" t="n">
        <v>11</v>
      </c>
      <c r="BJ1005" s="2" t="s">
        <v>16917</v>
      </c>
      <c r="BK1005" s="2" t="s">
        <v>204</v>
      </c>
      <c r="BL1005" s="2" t="s">
        <v>6693</v>
      </c>
      <c r="BM1005" s="2" t="s">
        <v>17822</v>
      </c>
      <c r="BN1005" s="2" t="n">
        <v>38858697</v>
      </c>
      <c r="BO1005" s="2" t="s">
        <v>401</v>
      </c>
      <c r="BP1005" s="2"/>
      <c r="BQ1005" s="2"/>
      <c r="BR1005" s="2" t="s">
        <v>103</v>
      </c>
      <c r="BS1005" s="2" t="s">
        <v>17823</v>
      </c>
      <c r="BT1005" s="2" t="str">
        <f aca="false">HYPERLINK("https%3A%2F%2Fwww.webofscience.com%2Fwos%2Fwoscc%2Ffull-record%2FWOS:001243769800002","View Full Record in Web of Science")</f>
        <v>View Full Record in Web of Science</v>
      </c>
    </row>
    <row r="1006" customFormat="false" ht="14.65" hidden="false" customHeight="false" outlineLevel="0" collapsed="false">
      <c r="A1006" s="2" t="s">
        <v>181</v>
      </c>
      <c r="B1006" s="2" t="s">
        <v>17824</v>
      </c>
      <c r="C1006" s="2"/>
      <c r="D1006" s="2"/>
      <c r="E1006" s="2"/>
      <c r="F1006" s="2" t="s">
        <v>17825</v>
      </c>
      <c r="G1006" s="2"/>
      <c r="H1006" s="2"/>
      <c r="I1006" s="2" t="s">
        <v>17826</v>
      </c>
      <c r="J1006" s="2" t="s">
        <v>1347</v>
      </c>
      <c r="K1006" s="2"/>
      <c r="L1006" s="2"/>
      <c r="M1006" s="2" t="s">
        <v>78</v>
      </c>
      <c r="N1006" s="2" t="s">
        <v>186</v>
      </c>
      <c r="O1006" s="2"/>
      <c r="P1006" s="2"/>
      <c r="Q1006" s="2"/>
      <c r="R1006" s="2"/>
      <c r="S1006" s="2"/>
      <c r="T1006" s="2" t="s">
        <v>17827</v>
      </c>
      <c r="U1006" s="2" t="s">
        <v>17828</v>
      </c>
      <c r="V1006" s="2" t="s">
        <v>17829</v>
      </c>
      <c r="W1006" s="2" t="s">
        <v>17830</v>
      </c>
      <c r="X1006" s="2" t="s">
        <v>17831</v>
      </c>
      <c r="Y1006" s="2" t="s">
        <v>17832</v>
      </c>
      <c r="Z1006" s="2" t="s">
        <v>17833</v>
      </c>
      <c r="AA1006" s="2" t="s">
        <v>17834</v>
      </c>
      <c r="AB1006" s="2" t="s">
        <v>17835</v>
      </c>
      <c r="AC1006" s="2" t="s">
        <v>17836</v>
      </c>
      <c r="AD1006" s="2" t="s">
        <v>17836</v>
      </c>
      <c r="AE1006" s="2" t="s">
        <v>17836</v>
      </c>
      <c r="AF1006" s="2"/>
      <c r="AG1006" s="2" t="n">
        <v>43</v>
      </c>
      <c r="AH1006" s="2" t="n">
        <v>1</v>
      </c>
      <c r="AI1006" s="2" t="n">
        <v>1</v>
      </c>
      <c r="AJ1006" s="2" t="n">
        <v>2</v>
      </c>
      <c r="AK1006" s="2" t="n">
        <v>7</v>
      </c>
      <c r="AL1006" s="2" t="s">
        <v>1355</v>
      </c>
      <c r="AM1006" s="2" t="s">
        <v>1356</v>
      </c>
      <c r="AN1006" s="2" t="s">
        <v>1357</v>
      </c>
      <c r="AO1006" s="2" t="s">
        <v>1358</v>
      </c>
      <c r="AP1006" s="2" t="s">
        <v>1359</v>
      </c>
      <c r="AQ1006" s="2"/>
      <c r="AR1006" s="2" t="s">
        <v>1360</v>
      </c>
      <c r="AS1006" s="2" t="s">
        <v>1361</v>
      </c>
      <c r="AT1006" s="2" t="s">
        <v>1362</v>
      </c>
      <c r="AU1006" s="2" t="n">
        <v>2023</v>
      </c>
      <c r="AV1006" s="2" t="n">
        <v>29</v>
      </c>
      <c r="AW1006" s="2" t="n">
        <v>4</v>
      </c>
      <c r="AX1006" s="2"/>
      <c r="AY1006" s="2"/>
      <c r="AZ1006" s="2"/>
      <c r="BA1006" s="2"/>
      <c r="BB1006" s="2"/>
      <c r="BC1006" s="2"/>
      <c r="BD1006" s="2" t="n">
        <v>14604582231214600</v>
      </c>
      <c r="BE1006" s="2" t="s">
        <v>17837</v>
      </c>
      <c r="BF1006" s="2" t="str">
        <f aca="false">HYPERLINK("http://dx.doi.org/10.1177/14604582231214588","http://dx.doi.org/10.1177/14604582231214588")</f>
        <v>http://dx.doi.org/10.1177/14604582231214588</v>
      </c>
      <c r="BG1006" s="2"/>
      <c r="BH1006" s="2"/>
      <c r="BI1006" s="2" t="n">
        <v>15</v>
      </c>
      <c r="BJ1006" s="2" t="s">
        <v>854</v>
      </c>
      <c r="BK1006" s="2" t="s">
        <v>204</v>
      </c>
      <c r="BL1006" s="2" t="s">
        <v>854</v>
      </c>
      <c r="BM1006" s="2" t="s">
        <v>17838</v>
      </c>
      <c r="BN1006" s="2" t="n">
        <v>37978849</v>
      </c>
      <c r="BO1006" s="2" t="s">
        <v>401</v>
      </c>
      <c r="BP1006" s="2"/>
      <c r="BQ1006" s="2"/>
      <c r="BR1006" s="2" t="s">
        <v>103</v>
      </c>
      <c r="BS1006" s="2" t="s">
        <v>17839</v>
      </c>
      <c r="BT1006" s="2" t="str">
        <f aca="false">HYPERLINK("https%3A%2F%2Fwww.webofscience.com%2Fwos%2Fwoscc%2Ffull-record%2FWOS:001106545500001","View Full Record in Web of Science")</f>
        <v>View Full Record in Web of Science</v>
      </c>
    </row>
    <row r="1007" customFormat="false" ht="14.65" hidden="false" customHeight="false" outlineLevel="0" collapsed="false">
      <c r="A1007" s="2" t="s">
        <v>181</v>
      </c>
      <c r="B1007" s="2" t="s">
        <v>17840</v>
      </c>
      <c r="C1007" s="2"/>
      <c r="D1007" s="2"/>
      <c r="E1007" s="2"/>
      <c r="F1007" s="2" t="s">
        <v>17841</v>
      </c>
      <c r="G1007" s="2"/>
      <c r="H1007" s="2"/>
      <c r="I1007" s="2" t="s">
        <v>17842</v>
      </c>
      <c r="J1007" s="2" t="s">
        <v>17843</v>
      </c>
      <c r="K1007" s="2"/>
      <c r="L1007" s="2"/>
      <c r="M1007" s="2" t="s">
        <v>78</v>
      </c>
      <c r="N1007" s="2" t="s">
        <v>186</v>
      </c>
      <c r="O1007" s="2"/>
      <c r="P1007" s="2"/>
      <c r="Q1007" s="2"/>
      <c r="R1007" s="2"/>
      <c r="S1007" s="2"/>
      <c r="T1007" s="2" t="s">
        <v>17844</v>
      </c>
      <c r="U1007" s="2" t="s">
        <v>17845</v>
      </c>
      <c r="V1007" s="2" t="s">
        <v>17846</v>
      </c>
      <c r="W1007" s="2" t="s">
        <v>17847</v>
      </c>
      <c r="X1007" s="2" t="s">
        <v>17848</v>
      </c>
      <c r="Y1007" s="2" t="s">
        <v>17849</v>
      </c>
      <c r="Z1007" s="2" t="s">
        <v>17850</v>
      </c>
      <c r="AA1007" s="2" t="s">
        <v>17851</v>
      </c>
      <c r="AB1007" s="2" t="s">
        <v>17852</v>
      </c>
      <c r="AC1007" s="2" t="s">
        <v>17853</v>
      </c>
      <c r="AD1007" s="2" t="s">
        <v>17854</v>
      </c>
      <c r="AE1007" s="2" t="s">
        <v>17855</v>
      </c>
      <c r="AF1007" s="2"/>
      <c r="AG1007" s="2" t="n">
        <v>87</v>
      </c>
      <c r="AH1007" s="2" t="n">
        <v>44</v>
      </c>
      <c r="AI1007" s="2" t="n">
        <v>44</v>
      </c>
      <c r="AJ1007" s="2" t="n">
        <v>1</v>
      </c>
      <c r="AK1007" s="2" t="n">
        <v>39</v>
      </c>
      <c r="AL1007" s="2" t="s">
        <v>195</v>
      </c>
      <c r="AM1007" s="2" t="s">
        <v>196</v>
      </c>
      <c r="AN1007" s="2" t="s">
        <v>197</v>
      </c>
      <c r="AO1007" s="2" t="s">
        <v>17856</v>
      </c>
      <c r="AP1007" s="2" t="s">
        <v>17857</v>
      </c>
      <c r="AQ1007" s="2"/>
      <c r="AR1007" s="2" t="s">
        <v>17858</v>
      </c>
      <c r="AS1007" s="2" t="s">
        <v>17859</v>
      </c>
      <c r="AT1007" s="2" t="s">
        <v>277</v>
      </c>
      <c r="AU1007" s="2" t="n">
        <v>2020</v>
      </c>
      <c r="AV1007" s="2" t="n">
        <v>69</v>
      </c>
      <c r="AW1007" s="2" t="n">
        <v>1</v>
      </c>
      <c r="AX1007" s="2"/>
      <c r="AY1007" s="2"/>
      <c r="AZ1007" s="2"/>
      <c r="BA1007" s="2"/>
      <c r="BB1007" s="2" t="n">
        <v>139</v>
      </c>
      <c r="BC1007" s="2" t="n">
        <v>153</v>
      </c>
      <c r="BD1007" s="2"/>
      <c r="BE1007" s="2" t="s">
        <v>17860</v>
      </c>
      <c r="BF1007" s="2" t="str">
        <f aca="false">HYPERLINK("http://dx.doi.org/10.1109/TR.2019.2931559","http://dx.doi.org/10.1109/TR.2019.2931559")</f>
        <v>http://dx.doi.org/10.1109/TR.2019.2931559</v>
      </c>
      <c r="BG1007" s="2"/>
      <c r="BH1007" s="2"/>
      <c r="BI1007" s="2" t="n">
        <v>15</v>
      </c>
      <c r="BJ1007" s="2" t="s">
        <v>17861</v>
      </c>
      <c r="BK1007" s="2" t="s">
        <v>204</v>
      </c>
      <c r="BL1007" s="2" t="s">
        <v>1255</v>
      </c>
      <c r="BM1007" s="2" t="s">
        <v>17862</v>
      </c>
      <c r="BN1007" s="2"/>
      <c r="BO1007" s="2"/>
      <c r="BP1007" s="2"/>
      <c r="BQ1007" s="2"/>
      <c r="BR1007" s="2" t="s">
        <v>103</v>
      </c>
      <c r="BS1007" s="2" t="s">
        <v>17863</v>
      </c>
      <c r="BT1007" s="2" t="str">
        <f aca="false">HYPERLINK("https%3A%2F%2Fwww.webofscience.com%2Fwos%2Fwoscc%2Ffull-record%2FWOS:000526289100010","View Full Record in Web of Science")</f>
        <v>View Full Record in Web of Science</v>
      </c>
    </row>
    <row r="1008" customFormat="false" ht="14.65" hidden="false" customHeight="false" outlineLevel="0" collapsed="false">
      <c r="A1008" s="2" t="s">
        <v>181</v>
      </c>
      <c r="B1008" s="2" t="s">
        <v>17864</v>
      </c>
      <c r="C1008" s="2"/>
      <c r="D1008" s="2"/>
      <c r="E1008" s="2"/>
      <c r="F1008" s="2" t="s">
        <v>17865</v>
      </c>
      <c r="G1008" s="2"/>
      <c r="H1008" s="2"/>
      <c r="I1008" s="2" t="s">
        <v>17866</v>
      </c>
      <c r="J1008" s="2" t="s">
        <v>17867</v>
      </c>
      <c r="K1008" s="2"/>
      <c r="L1008" s="2"/>
      <c r="M1008" s="2" t="s">
        <v>78</v>
      </c>
      <c r="N1008" s="2" t="s">
        <v>618</v>
      </c>
      <c r="O1008" s="2"/>
      <c r="P1008" s="2"/>
      <c r="Q1008" s="2"/>
      <c r="R1008" s="2"/>
      <c r="S1008" s="2"/>
      <c r="T1008" s="2" t="s">
        <v>17868</v>
      </c>
      <c r="U1008" s="2" t="s">
        <v>17869</v>
      </c>
      <c r="V1008" s="2" t="s">
        <v>17870</v>
      </c>
      <c r="W1008" s="2" t="s">
        <v>17871</v>
      </c>
      <c r="X1008" s="2" t="s">
        <v>17872</v>
      </c>
      <c r="Y1008" s="2" t="s">
        <v>17873</v>
      </c>
      <c r="Z1008" s="2" t="s">
        <v>17874</v>
      </c>
      <c r="AA1008" s="2" t="s">
        <v>17875</v>
      </c>
      <c r="AB1008" s="2" t="s">
        <v>17876</v>
      </c>
      <c r="AC1008" s="2"/>
      <c r="AD1008" s="2"/>
      <c r="AE1008" s="2"/>
      <c r="AF1008" s="2"/>
      <c r="AG1008" s="2" t="n">
        <v>280</v>
      </c>
      <c r="AH1008" s="2" t="n">
        <v>23</v>
      </c>
      <c r="AI1008" s="2" t="n">
        <v>25</v>
      </c>
      <c r="AJ1008" s="2" t="n">
        <v>3</v>
      </c>
      <c r="AK1008" s="2" t="n">
        <v>24</v>
      </c>
      <c r="AL1008" s="2" t="s">
        <v>8802</v>
      </c>
      <c r="AM1008" s="2" t="s">
        <v>8803</v>
      </c>
      <c r="AN1008" s="2" t="s">
        <v>8804</v>
      </c>
      <c r="AO1008" s="2" t="s">
        <v>17877</v>
      </c>
      <c r="AP1008" s="2" t="s">
        <v>17878</v>
      </c>
      <c r="AQ1008" s="2"/>
      <c r="AR1008" s="2" t="s">
        <v>17879</v>
      </c>
      <c r="AS1008" s="2" t="s">
        <v>17880</v>
      </c>
      <c r="AT1008" s="2"/>
      <c r="AU1008" s="2" t="n">
        <v>2022</v>
      </c>
      <c r="AV1008" s="2" t="n">
        <v>15</v>
      </c>
      <c r="AW1008" s="2" t="n">
        <v>3</v>
      </c>
      <c r="AX1008" s="2"/>
      <c r="AY1008" s="2"/>
      <c r="AZ1008" s="2"/>
      <c r="BA1008" s="2"/>
      <c r="BB1008" s="2" t="n">
        <v>213</v>
      </c>
      <c r="BC1008" s="2" t="n">
        <v>249</v>
      </c>
      <c r="BD1008" s="2"/>
      <c r="BE1008" s="2"/>
      <c r="BF1008" s="2"/>
      <c r="BG1008" s="2"/>
      <c r="BH1008" s="2"/>
      <c r="BI1008" s="2" t="n">
        <v>37</v>
      </c>
      <c r="BJ1008" s="2" t="s">
        <v>4910</v>
      </c>
      <c r="BK1008" s="2" t="s">
        <v>204</v>
      </c>
      <c r="BL1008" s="2" t="s">
        <v>4910</v>
      </c>
      <c r="BM1008" s="2" t="s">
        <v>17881</v>
      </c>
      <c r="BN1008" s="2" t="n">
        <v>36082658</v>
      </c>
      <c r="BO1008" s="2"/>
      <c r="BP1008" s="2"/>
      <c r="BQ1008" s="2"/>
      <c r="BR1008" s="2" t="s">
        <v>103</v>
      </c>
      <c r="BS1008" s="2" t="s">
        <v>17882</v>
      </c>
      <c r="BT1008" s="2" t="str">
        <f aca="false">HYPERLINK("https%3A%2F%2Fwww.webofscience.com%2Fwos%2Fwoscc%2Ffull-record%2FWOS:000876394200002","View Full Record in Web of Science")</f>
        <v>View Full Record in Web of Science</v>
      </c>
    </row>
    <row r="1009" customFormat="false" ht="14.65" hidden="false" customHeight="false" outlineLevel="0" collapsed="false">
      <c r="A1009" s="2" t="s">
        <v>181</v>
      </c>
      <c r="B1009" s="2" t="s">
        <v>17883</v>
      </c>
      <c r="C1009" s="2"/>
      <c r="D1009" s="2"/>
      <c r="E1009" s="2"/>
      <c r="F1009" s="2" t="s">
        <v>17884</v>
      </c>
      <c r="G1009" s="2"/>
      <c r="H1009" s="2"/>
      <c r="I1009" s="2" t="s">
        <v>17885</v>
      </c>
      <c r="J1009" s="2" t="s">
        <v>671</v>
      </c>
      <c r="K1009" s="2"/>
      <c r="L1009" s="2"/>
      <c r="M1009" s="2" t="s">
        <v>78</v>
      </c>
      <c r="N1009" s="2" t="s">
        <v>186</v>
      </c>
      <c r="O1009" s="2"/>
      <c r="P1009" s="2"/>
      <c r="Q1009" s="2"/>
      <c r="R1009" s="2"/>
      <c r="S1009" s="2"/>
      <c r="T1009" s="2" t="s">
        <v>17886</v>
      </c>
      <c r="U1009" s="2" t="s">
        <v>17887</v>
      </c>
      <c r="V1009" s="2" t="s">
        <v>17888</v>
      </c>
      <c r="W1009" s="2" t="s">
        <v>17889</v>
      </c>
      <c r="X1009" s="2" t="s">
        <v>17890</v>
      </c>
      <c r="Y1009" s="2" t="s">
        <v>17891</v>
      </c>
      <c r="Z1009" s="2" t="s">
        <v>17892</v>
      </c>
      <c r="AA1009" s="2" t="s">
        <v>17893</v>
      </c>
      <c r="AB1009" s="2" t="s">
        <v>17894</v>
      </c>
      <c r="AC1009" s="2" t="s">
        <v>17895</v>
      </c>
      <c r="AD1009" s="2" t="s">
        <v>17896</v>
      </c>
      <c r="AE1009" s="2" t="s">
        <v>17897</v>
      </c>
      <c r="AF1009" s="2"/>
      <c r="AG1009" s="2" t="n">
        <v>58</v>
      </c>
      <c r="AH1009" s="2" t="n">
        <v>12</v>
      </c>
      <c r="AI1009" s="2" t="n">
        <v>13</v>
      </c>
      <c r="AJ1009" s="2" t="n">
        <v>0</v>
      </c>
      <c r="AK1009" s="2" t="n">
        <v>14</v>
      </c>
      <c r="AL1009" s="2" t="s">
        <v>679</v>
      </c>
      <c r="AM1009" s="2" t="s">
        <v>680</v>
      </c>
      <c r="AN1009" s="2" t="s">
        <v>681</v>
      </c>
      <c r="AO1009" s="2" t="s">
        <v>682</v>
      </c>
      <c r="AP1009" s="2" t="s">
        <v>683</v>
      </c>
      <c r="AQ1009" s="2"/>
      <c r="AR1009" s="2" t="s">
        <v>684</v>
      </c>
      <c r="AS1009" s="2" t="s">
        <v>685</v>
      </c>
      <c r="AT1009" s="2" t="s">
        <v>754</v>
      </c>
      <c r="AU1009" s="2" t="n">
        <v>2021</v>
      </c>
      <c r="AV1009" s="2" t="n">
        <v>26</v>
      </c>
      <c r="AW1009" s="2" t="n">
        <v>3</v>
      </c>
      <c r="AX1009" s="2"/>
      <c r="AY1009" s="2"/>
      <c r="AZ1009" s="2"/>
      <c r="BA1009" s="2"/>
      <c r="BB1009" s="2"/>
      <c r="BC1009" s="2"/>
      <c r="BD1009" s="2" t="n">
        <v>42</v>
      </c>
      <c r="BE1009" s="2" t="s">
        <v>17898</v>
      </c>
      <c r="BF1009" s="2" t="str">
        <f aca="false">HYPERLINK("http://dx.doi.org/10.1007/s10664-020-09895-8","http://dx.doi.org/10.1007/s10664-020-09895-8")</f>
        <v>http://dx.doi.org/10.1007/s10664-020-09895-8</v>
      </c>
      <c r="BG1009" s="2"/>
      <c r="BH1009" s="2"/>
      <c r="BI1009" s="2" t="n">
        <v>53</v>
      </c>
      <c r="BJ1009" s="2" t="s">
        <v>252</v>
      </c>
      <c r="BK1009" s="2" t="s">
        <v>398</v>
      </c>
      <c r="BL1009" s="2" t="s">
        <v>101</v>
      </c>
      <c r="BM1009" s="2" t="s">
        <v>17899</v>
      </c>
      <c r="BN1009" s="2"/>
      <c r="BO1009" s="2"/>
      <c r="BP1009" s="2"/>
      <c r="BQ1009" s="2"/>
      <c r="BR1009" s="2" t="s">
        <v>103</v>
      </c>
      <c r="BS1009" s="2" t="s">
        <v>17900</v>
      </c>
      <c r="BT1009" s="2" t="str">
        <f aca="false">HYPERLINK("https%3A%2F%2Fwww.webofscience.com%2Fwos%2Fwoscc%2Ffull-record%2FWOS:000632058500001","View Full Record in Web of Science")</f>
        <v>View Full Record in Web of Science</v>
      </c>
    </row>
    <row r="1010" customFormat="false" ht="14.65" hidden="false" customHeight="false" outlineLevel="0" collapsed="false">
      <c r="A1010" s="2" t="s">
        <v>181</v>
      </c>
      <c r="B1010" s="2" t="s">
        <v>17901</v>
      </c>
      <c r="C1010" s="2"/>
      <c r="D1010" s="2"/>
      <c r="E1010" s="2"/>
      <c r="F1010" s="2" t="s">
        <v>17902</v>
      </c>
      <c r="G1010" s="2"/>
      <c r="H1010" s="2"/>
      <c r="I1010" s="2" t="s">
        <v>17903</v>
      </c>
      <c r="J1010" s="2" t="s">
        <v>17595</v>
      </c>
      <c r="K1010" s="2"/>
      <c r="L1010" s="2"/>
      <c r="M1010" s="2" t="s">
        <v>78</v>
      </c>
      <c r="N1010" s="2" t="s">
        <v>186</v>
      </c>
      <c r="O1010" s="2"/>
      <c r="P1010" s="2"/>
      <c r="Q1010" s="2"/>
      <c r="R1010" s="2"/>
      <c r="S1010" s="2"/>
      <c r="T1010" s="2" t="s">
        <v>17904</v>
      </c>
      <c r="U1010" s="2" t="s">
        <v>17905</v>
      </c>
      <c r="V1010" s="2" t="s">
        <v>17906</v>
      </c>
      <c r="W1010" s="2" t="s">
        <v>17907</v>
      </c>
      <c r="X1010" s="2" t="s">
        <v>17908</v>
      </c>
      <c r="Y1010" s="2" t="s">
        <v>17909</v>
      </c>
      <c r="Z1010" s="2" t="s">
        <v>17910</v>
      </c>
      <c r="AA1010" s="2" t="s">
        <v>17911</v>
      </c>
      <c r="AB1010" s="2" t="s">
        <v>17912</v>
      </c>
      <c r="AC1010" s="2" t="s">
        <v>17913</v>
      </c>
      <c r="AD1010" s="2" t="s">
        <v>17914</v>
      </c>
      <c r="AE1010" s="2" t="s">
        <v>17915</v>
      </c>
      <c r="AF1010" s="2"/>
      <c r="AG1010" s="2" t="n">
        <v>133</v>
      </c>
      <c r="AH1010" s="2" t="n">
        <v>36</v>
      </c>
      <c r="AI1010" s="2" t="n">
        <v>37</v>
      </c>
      <c r="AJ1010" s="2" t="n">
        <v>37</v>
      </c>
      <c r="AK1010" s="2" t="n">
        <v>141</v>
      </c>
      <c r="AL1010" s="2" t="s">
        <v>17604</v>
      </c>
      <c r="AM1010" s="2" t="s">
        <v>17605</v>
      </c>
      <c r="AN1010" s="2" t="s">
        <v>17606</v>
      </c>
      <c r="AO1010" s="2" t="s">
        <v>17607</v>
      </c>
      <c r="AP1010" s="2" t="s">
        <v>17608</v>
      </c>
      <c r="AQ1010" s="2"/>
      <c r="AR1010" s="2" t="s">
        <v>17609</v>
      </c>
      <c r="AS1010" s="2" t="s">
        <v>17610</v>
      </c>
      <c r="AT1010" s="2" t="s">
        <v>6272</v>
      </c>
      <c r="AU1010" s="2" t="n">
        <v>2023</v>
      </c>
      <c r="AV1010" s="2" t="n">
        <v>8</v>
      </c>
      <c r="AW1010" s="2" t="n">
        <v>2</v>
      </c>
      <c r="AX1010" s="2"/>
      <c r="AY1010" s="2"/>
      <c r="AZ1010" s="2"/>
      <c r="BA1010" s="2"/>
      <c r="BB1010" s="2"/>
      <c r="BC1010" s="2"/>
      <c r="BD1010" s="2" t="n">
        <v>100353</v>
      </c>
      <c r="BE1010" s="2" t="s">
        <v>17916</v>
      </c>
      <c r="BF1010" s="2" t="str">
        <f aca="false">HYPERLINK("http://dx.doi.org/10.1016/j.jik.2023.100353","http://dx.doi.org/10.1016/j.jik.2023.100353")</f>
        <v>http://dx.doi.org/10.1016/j.jik.2023.100353</v>
      </c>
      <c r="BG1010" s="2"/>
      <c r="BH1010" s="2" t="s">
        <v>4380</v>
      </c>
      <c r="BI1010" s="2" t="n">
        <v>9</v>
      </c>
      <c r="BJ1010" s="2" t="s">
        <v>11556</v>
      </c>
      <c r="BK1010" s="2" t="s">
        <v>610</v>
      </c>
      <c r="BL1010" s="2" t="s">
        <v>715</v>
      </c>
      <c r="BM1010" s="2" t="s">
        <v>17917</v>
      </c>
      <c r="BN1010" s="2"/>
      <c r="BO1010" s="2" t="s">
        <v>401</v>
      </c>
      <c r="BP1010" s="2"/>
      <c r="BQ1010" s="2"/>
      <c r="BR1010" s="2" t="s">
        <v>103</v>
      </c>
      <c r="BS1010" s="2" t="s">
        <v>17918</v>
      </c>
      <c r="BT1010" s="2" t="str">
        <f aca="false">HYPERLINK("https%3A%2F%2Fwww.webofscience.com%2Fwos%2Fwoscc%2Ffull-record%2FWOS:001008524800001","View Full Record in Web of Science")</f>
        <v>View Full Record in Web of Science</v>
      </c>
    </row>
    <row r="1011" customFormat="false" ht="14.65" hidden="false" customHeight="false" outlineLevel="0" collapsed="false">
      <c r="A1011" s="2" t="s">
        <v>181</v>
      </c>
      <c r="B1011" s="2" t="s">
        <v>17919</v>
      </c>
      <c r="C1011" s="2"/>
      <c r="D1011" s="2"/>
      <c r="E1011" s="2"/>
      <c r="F1011" s="2" t="s">
        <v>17920</v>
      </c>
      <c r="G1011" s="2"/>
      <c r="H1011" s="2"/>
      <c r="I1011" s="2" t="s">
        <v>17921</v>
      </c>
      <c r="J1011" s="2" t="s">
        <v>3481</v>
      </c>
      <c r="K1011" s="2"/>
      <c r="L1011" s="2"/>
      <c r="M1011" s="2" t="s">
        <v>78</v>
      </c>
      <c r="N1011" s="2" t="s">
        <v>186</v>
      </c>
      <c r="O1011" s="2"/>
      <c r="P1011" s="2"/>
      <c r="Q1011" s="2"/>
      <c r="R1011" s="2"/>
      <c r="S1011" s="2"/>
      <c r="T1011" s="2" t="s">
        <v>17922</v>
      </c>
      <c r="U1011" s="2" t="s">
        <v>17923</v>
      </c>
      <c r="V1011" s="2" t="s">
        <v>17924</v>
      </c>
      <c r="W1011" s="2" t="s">
        <v>17925</v>
      </c>
      <c r="X1011" s="2" t="s">
        <v>17926</v>
      </c>
      <c r="Y1011" s="2" t="s">
        <v>17927</v>
      </c>
      <c r="Z1011" s="2" t="s">
        <v>17928</v>
      </c>
      <c r="AA1011" s="2" t="s">
        <v>17929</v>
      </c>
      <c r="AB1011" s="2" t="s">
        <v>17930</v>
      </c>
      <c r="AC1011" s="2" t="s">
        <v>17931</v>
      </c>
      <c r="AD1011" s="2" t="s">
        <v>17932</v>
      </c>
      <c r="AE1011" s="2" t="s">
        <v>17933</v>
      </c>
      <c r="AF1011" s="2"/>
      <c r="AG1011" s="2" t="n">
        <v>46</v>
      </c>
      <c r="AH1011" s="2" t="n">
        <v>13</v>
      </c>
      <c r="AI1011" s="2" t="n">
        <v>13</v>
      </c>
      <c r="AJ1011" s="2" t="n">
        <v>1</v>
      </c>
      <c r="AK1011" s="2" t="n">
        <v>7</v>
      </c>
      <c r="AL1011" s="2" t="s">
        <v>367</v>
      </c>
      <c r="AM1011" s="2" t="s">
        <v>368</v>
      </c>
      <c r="AN1011" s="2" t="s">
        <v>369</v>
      </c>
      <c r="AO1011" s="2"/>
      <c r="AP1011" s="2" t="s">
        <v>3492</v>
      </c>
      <c r="AQ1011" s="2"/>
      <c r="AR1011" s="2" t="s">
        <v>3493</v>
      </c>
      <c r="AS1011" s="2" t="s">
        <v>3494</v>
      </c>
      <c r="AT1011" s="2" t="s">
        <v>421</v>
      </c>
      <c r="AU1011" s="2" t="n">
        <v>2020</v>
      </c>
      <c r="AV1011" s="2" t="n">
        <v>20</v>
      </c>
      <c r="AW1011" s="2" t="n">
        <v>7</v>
      </c>
      <c r="AX1011" s="2"/>
      <c r="AY1011" s="2"/>
      <c r="AZ1011" s="2"/>
      <c r="BA1011" s="2"/>
      <c r="BB1011" s="2"/>
      <c r="BC1011" s="2"/>
      <c r="BD1011" s="2" t="n">
        <v>2008</v>
      </c>
      <c r="BE1011" s="2" t="s">
        <v>17934</v>
      </c>
      <c r="BF1011" s="2" t="str">
        <f aca="false">HYPERLINK("http://dx.doi.org/10.3390/s20072008","http://dx.doi.org/10.3390/s20072008")</f>
        <v>http://dx.doi.org/10.3390/s20072008</v>
      </c>
      <c r="BG1011" s="2"/>
      <c r="BH1011" s="2"/>
      <c r="BI1011" s="2" t="n">
        <v>16</v>
      </c>
      <c r="BJ1011" s="2" t="s">
        <v>3496</v>
      </c>
      <c r="BK1011" s="2" t="s">
        <v>204</v>
      </c>
      <c r="BL1011" s="2" t="s">
        <v>3497</v>
      </c>
      <c r="BM1011" s="2" t="s">
        <v>17935</v>
      </c>
      <c r="BN1011" s="2" t="n">
        <v>32260105</v>
      </c>
      <c r="BO1011" s="2" t="s">
        <v>6278</v>
      </c>
      <c r="BP1011" s="2"/>
      <c r="BQ1011" s="2"/>
      <c r="BR1011" s="2" t="s">
        <v>103</v>
      </c>
      <c r="BS1011" s="2" t="s">
        <v>17936</v>
      </c>
      <c r="BT1011" s="2" t="str">
        <f aca="false">HYPERLINK("https%3A%2F%2Fwww.webofscience.com%2Fwos%2Fwoscc%2Ffull-record%2FWOS:000537110500204","View Full Record in Web of Science")</f>
        <v>View Full Record in Web of Science</v>
      </c>
    </row>
    <row r="1012" customFormat="false" ht="14.65" hidden="false" customHeight="false" outlineLevel="0" collapsed="false">
      <c r="A1012" s="2" t="s">
        <v>72</v>
      </c>
      <c r="B1012" s="2" t="s">
        <v>17937</v>
      </c>
      <c r="C1012" s="2"/>
      <c r="D1012" s="2" t="s">
        <v>17938</v>
      </c>
      <c r="E1012" s="2"/>
      <c r="F1012" s="2" t="s">
        <v>17939</v>
      </c>
      <c r="G1012" s="2"/>
      <c r="H1012" s="2"/>
      <c r="I1012" s="2" t="s">
        <v>17940</v>
      </c>
      <c r="J1012" s="2" t="s">
        <v>17941</v>
      </c>
      <c r="K1012" s="2" t="s">
        <v>289</v>
      </c>
      <c r="L1012" s="2"/>
      <c r="M1012" s="2" t="s">
        <v>78</v>
      </c>
      <c r="N1012" s="2" t="s">
        <v>79</v>
      </c>
      <c r="O1012" s="2" t="s">
        <v>17942</v>
      </c>
      <c r="P1012" s="2" t="s">
        <v>17943</v>
      </c>
      <c r="Q1012" s="2" t="s">
        <v>17944</v>
      </c>
      <c r="R1012" s="2"/>
      <c r="S1012" s="2" t="s">
        <v>17945</v>
      </c>
      <c r="T1012" s="2" t="s">
        <v>17946</v>
      </c>
      <c r="U1012" s="2" t="s">
        <v>17947</v>
      </c>
      <c r="V1012" s="2" t="s">
        <v>17948</v>
      </c>
      <c r="W1012" s="2" t="s">
        <v>17949</v>
      </c>
      <c r="X1012" s="2" t="s">
        <v>17950</v>
      </c>
      <c r="Y1012" s="2" t="s">
        <v>17951</v>
      </c>
      <c r="Z1012" s="2" t="s">
        <v>17952</v>
      </c>
      <c r="AA1012" s="2" t="s">
        <v>17953</v>
      </c>
      <c r="AB1012" s="2" t="s">
        <v>1540</v>
      </c>
      <c r="AC1012" s="2" t="s">
        <v>17954</v>
      </c>
      <c r="AD1012" s="2" t="s">
        <v>17954</v>
      </c>
      <c r="AE1012" s="2" t="s">
        <v>17955</v>
      </c>
      <c r="AF1012" s="2"/>
      <c r="AG1012" s="2" t="n">
        <v>47</v>
      </c>
      <c r="AH1012" s="2" t="n">
        <v>0</v>
      </c>
      <c r="AI1012" s="2" t="n">
        <v>0</v>
      </c>
      <c r="AJ1012" s="2" t="n">
        <v>0</v>
      </c>
      <c r="AK1012" s="2" t="n">
        <v>0</v>
      </c>
      <c r="AL1012" s="2" t="s">
        <v>302</v>
      </c>
      <c r="AM1012" s="2" t="s">
        <v>303</v>
      </c>
      <c r="AN1012" s="2" t="s">
        <v>304</v>
      </c>
      <c r="AO1012" s="2" t="s">
        <v>305</v>
      </c>
      <c r="AP1012" s="2" t="s">
        <v>306</v>
      </c>
      <c r="AQ1012" s="2" t="s">
        <v>17956</v>
      </c>
      <c r="AR1012" s="2" t="s">
        <v>308</v>
      </c>
      <c r="AS1012" s="2"/>
      <c r="AT1012" s="2"/>
      <c r="AU1012" s="2" t="n">
        <v>2024</v>
      </c>
      <c r="AV1012" s="2" t="n">
        <v>728</v>
      </c>
      <c r="AW1012" s="2"/>
      <c r="AX1012" s="2"/>
      <c r="AY1012" s="2"/>
      <c r="AZ1012" s="2"/>
      <c r="BA1012" s="2"/>
      <c r="BB1012" s="2" t="n">
        <v>16</v>
      </c>
      <c r="BC1012" s="2" t="n">
        <v>31</v>
      </c>
      <c r="BD1012" s="2"/>
      <c r="BE1012" s="2" t="s">
        <v>17957</v>
      </c>
      <c r="BF1012" s="2" t="str">
        <f aca="false">HYPERLINK("http://dx.doi.org/10.1007/978-3-031-71622-5_2","http://dx.doi.org/10.1007/978-3-031-71622-5_2")</f>
        <v>http://dx.doi.org/10.1007/978-3-031-71622-5_2</v>
      </c>
      <c r="BG1012" s="2"/>
      <c r="BH1012" s="2"/>
      <c r="BI1012" s="2" t="n">
        <v>16</v>
      </c>
      <c r="BJ1012" s="2" t="s">
        <v>17958</v>
      </c>
      <c r="BK1012" s="2" t="s">
        <v>100</v>
      </c>
      <c r="BL1012" s="2" t="s">
        <v>6602</v>
      </c>
      <c r="BM1012" s="2" t="s">
        <v>17959</v>
      </c>
      <c r="BN1012" s="2"/>
      <c r="BO1012" s="2"/>
      <c r="BP1012" s="2"/>
      <c r="BQ1012" s="2"/>
      <c r="BR1012" s="2" t="s">
        <v>103</v>
      </c>
      <c r="BS1012" s="2" t="s">
        <v>17960</v>
      </c>
      <c r="BT1012" s="2" t="str">
        <f aca="false">HYPERLINK("https%3A%2F%2Fwww.webofscience.com%2Fwos%2Fwoscc%2Ffull-record%2FWOS:001356130200002","View Full Record in Web of Science")</f>
        <v>View Full Record in Web of Science</v>
      </c>
    </row>
    <row r="1013" customFormat="false" ht="14.65" hidden="false" customHeight="false" outlineLevel="0" collapsed="false">
      <c r="A1013" s="2" t="s">
        <v>181</v>
      </c>
      <c r="B1013" s="2" t="s">
        <v>17961</v>
      </c>
      <c r="C1013" s="2"/>
      <c r="D1013" s="2"/>
      <c r="E1013" s="2"/>
      <c r="F1013" s="2" t="s">
        <v>17962</v>
      </c>
      <c r="G1013" s="2"/>
      <c r="H1013" s="2"/>
      <c r="I1013" s="2" t="s">
        <v>17963</v>
      </c>
      <c r="J1013" s="2" t="s">
        <v>3481</v>
      </c>
      <c r="K1013" s="2"/>
      <c r="L1013" s="2"/>
      <c r="M1013" s="2" t="s">
        <v>78</v>
      </c>
      <c r="N1013" s="2" t="s">
        <v>186</v>
      </c>
      <c r="O1013" s="2"/>
      <c r="P1013" s="2"/>
      <c r="Q1013" s="2"/>
      <c r="R1013" s="2"/>
      <c r="S1013" s="2"/>
      <c r="T1013" s="2" t="s">
        <v>17964</v>
      </c>
      <c r="U1013" s="2" t="s">
        <v>17965</v>
      </c>
      <c r="V1013" s="2" t="s">
        <v>17966</v>
      </c>
      <c r="W1013" s="2" t="s">
        <v>17967</v>
      </c>
      <c r="X1013" s="2" t="s">
        <v>17968</v>
      </c>
      <c r="Y1013" s="2" t="s">
        <v>17969</v>
      </c>
      <c r="Z1013" s="2" t="s">
        <v>17970</v>
      </c>
      <c r="AA1013" s="2" t="s">
        <v>17971</v>
      </c>
      <c r="AB1013" s="2" t="s">
        <v>17972</v>
      </c>
      <c r="AC1013" s="2" t="s">
        <v>17973</v>
      </c>
      <c r="AD1013" s="2" t="s">
        <v>17974</v>
      </c>
      <c r="AE1013" s="2" t="s">
        <v>17975</v>
      </c>
      <c r="AF1013" s="2"/>
      <c r="AG1013" s="2" t="n">
        <v>83</v>
      </c>
      <c r="AH1013" s="2" t="n">
        <v>9</v>
      </c>
      <c r="AI1013" s="2" t="n">
        <v>9</v>
      </c>
      <c r="AJ1013" s="2" t="n">
        <v>2</v>
      </c>
      <c r="AK1013" s="2" t="n">
        <v>9</v>
      </c>
      <c r="AL1013" s="2" t="s">
        <v>367</v>
      </c>
      <c r="AM1013" s="2" t="s">
        <v>368</v>
      </c>
      <c r="AN1013" s="2" t="s">
        <v>369</v>
      </c>
      <c r="AO1013" s="2"/>
      <c r="AP1013" s="2" t="s">
        <v>3492</v>
      </c>
      <c r="AQ1013" s="2"/>
      <c r="AR1013" s="2" t="s">
        <v>3493</v>
      </c>
      <c r="AS1013" s="2" t="s">
        <v>3494</v>
      </c>
      <c r="AT1013" s="2" t="s">
        <v>474</v>
      </c>
      <c r="AU1013" s="2" t="n">
        <v>2022</v>
      </c>
      <c r="AV1013" s="2" t="n">
        <v>22</v>
      </c>
      <c r="AW1013" s="2" t="n">
        <v>18</v>
      </c>
      <c r="AX1013" s="2"/>
      <c r="AY1013" s="2"/>
      <c r="AZ1013" s="2"/>
      <c r="BA1013" s="2"/>
      <c r="BB1013" s="2"/>
      <c r="BC1013" s="2"/>
      <c r="BD1013" s="2" t="n">
        <v>6842</v>
      </c>
      <c r="BE1013" s="2" t="s">
        <v>17976</v>
      </c>
      <c r="BF1013" s="2" t="str">
        <f aca="false">HYPERLINK("http://dx.doi.org/10.3390/s22186842","http://dx.doi.org/10.3390/s22186842")</f>
        <v>http://dx.doi.org/10.3390/s22186842</v>
      </c>
      <c r="BG1013" s="2"/>
      <c r="BH1013" s="2"/>
      <c r="BI1013" s="2" t="n">
        <v>25</v>
      </c>
      <c r="BJ1013" s="2" t="s">
        <v>3496</v>
      </c>
      <c r="BK1013" s="2" t="s">
        <v>204</v>
      </c>
      <c r="BL1013" s="2" t="s">
        <v>3497</v>
      </c>
      <c r="BM1013" s="2" t="s">
        <v>17977</v>
      </c>
      <c r="BN1013" s="2" t="n">
        <v>36146191</v>
      </c>
      <c r="BO1013" s="2" t="s">
        <v>542</v>
      </c>
      <c r="BP1013" s="2"/>
      <c r="BQ1013" s="2"/>
      <c r="BR1013" s="2" t="s">
        <v>103</v>
      </c>
      <c r="BS1013" s="2" t="s">
        <v>17978</v>
      </c>
      <c r="BT1013" s="2" t="str">
        <f aca="false">HYPERLINK("https%3A%2F%2Fwww.webofscience.com%2Fwos%2Fwoscc%2Ffull-record%2FWOS:000858946100001","View Full Record in Web of Science")</f>
        <v>View Full Record in Web of Science</v>
      </c>
    </row>
    <row r="1014" customFormat="false" ht="14.65" hidden="false" customHeight="false" outlineLevel="0" collapsed="false">
      <c r="A1014" s="2" t="s">
        <v>14511</v>
      </c>
      <c r="B1014" s="2" t="s">
        <v>17979</v>
      </c>
      <c r="C1014" s="2"/>
      <c r="D1014" s="2" t="s">
        <v>17980</v>
      </c>
      <c r="E1014" s="2"/>
      <c r="F1014" s="2" t="s">
        <v>17981</v>
      </c>
      <c r="G1014" s="2"/>
      <c r="H1014" s="2"/>
      <c r="I1014" s="2" t="s">
        <v>17982</v>
      </c>
      <c r="J1014" s="2" t="s">
        <v>17983</v>
      </c>
      <c r="K1014" s="2" t="s">
        <v>17984</v>
      </c>
      <c r="L1014" s="2"/>
      <c r="M1014" s="2" t="s">
        <v>78</v>
      </c>
      <c r="N1014" s="2" t="s">
        <v>9141</v>
      </c>
      <c r="O1014" s="2"/>
      <c r="P1014" s="2"/>
      <c r="Q1014" s="2"/>
      <c r="R1014" s="2"/>
      <c r="S1014" s="2"/>
      <c r="T1014" s="2"/>
      <c r="U1014" s="2" t="s">
        <v>17985</v>
      </c>
      <c r="V1014" s="2" t="s">
        <v>17986</v>
      </c>
      <c r="W1014" s="2" t="s">
        <v>17987</v>
      </c>
      <c r="X1014" s="2" t="s">
        <v>17988</v>
      </c>
      <c r="Y1014" s="2" t="s">
        <v>17989</v>
      </c>
      <c r="Z1014" s="2" t="s">
        <v>17990</v>
      </c>
      <c r="AA1014" s="2" t="s">
        <v>17991</v>
      </c>
      <c r="AB1014" s="2"/>
      <c r="AC1014" s="2" t="s">
        <v>17992</v>
      </c>
      <c r="AD1014" s="2" t="s">
        <v>17993</v>
      </c>
      <c r="AE1014" s="2" t="s">
        <v>17994</v>
      </c>
      <c r="AF1014" s="2"/>
      <c r="AG1014" s="2" t="n">
        <v>222</v>
      </c>
      <c r="AH1014" s="2" t="n">
        <v>0</v>
      </c>
      <c r="AI1014" s="2" t="n">
        <v>0</v>
      </c>
      <c r="AJ1014" s="2" t="n">
        <v>0</v>
      </c>
      <c r="AK1014" s="2" t="n">
        <v>5</v>
      </c>
      <c r="AL1014" s="2" t="s">
        <v>17995</v>
      </c>
      <c r="AM1014" s="2" t="s">
        <v>3426</v>
      </c>
      <c r="AN1014" s="2" t="s">
        <v>17996</v>
      </c>
      <c r="AO1014" s="2" t="s">
        <v>17997</v>
      </c>
      <c r="AP1014" s="2" t="s">
        <v>17998</v>
      </c>
      <c r="AQ1014" s="2" t="s">
        <v>17999</v>
      </c>
      <c r="AR1014" s="2" t="s">
        <v>18000</v>
      </c>
      <c r="AS1014" s="2" t="s">
        <v>18001</v>
      </c>
      <c r="AT1014" s="2"/>
      <c r="AU1014" s="2" t="n">
        <v>2023</v>
      </c>
      <c r="AV1014" s="2" t="n">
        <v>172</v>
      </c>
      <c r="AW1014" s="2"/>
      <c r="AX1014" s="2" t="s">
        <v>899</v>
      </c>
      <c r="AY1014" s="2"/>
      <c r="AZ1014" s="2"/>
      <c r="BA1014" s="2"/>
      <c r="BB1014" s="2" t="n">
        <v>189</v>
      </c>
      <c r="BC1014" s="2" t="n">
        <v>233</v>
      </c>
      <c r="BD1014" s="2"/>
      <c r="BE1014" s="2" t="s">
        <v>18002</v>
      </c>
      <c r="BF1014" s="2" t="str">
        <f aca="false">HYPERLINK("http://dx.doi.org/10.1016/bs.irn.2023.07.002","http://dx.doi.org/10.1016/bs.irn.2023.07.002")</f>
        <v>http://dx.doi.org/10.1016/bs.irn.2023.07.002</v>
      </c>
      <c r="BG1014" s="2"/>
      <c r="BH1014" s="2"/>
      <c r="BI1014" s="2" t="n">
        <v>45</v>
      </c>
      <c r="BJ1014" s="2" t="s">
        <v>18003</v>
      </c>
      <c r="BK1014" s="2" t="s">
        <v>18004</v>
      </c>
      <c r="BL1014" s="2" t="s">
        <v>18005</v>
      </c>
      <c r="BM1014" s="2" t="s">
        <v>18006</v>
      </c>
      <c r="BN1014" s="2" t="n">
        <v>37833012</v>
      </c>
      <c r="BO1014" s="2"/>
      <c r="BP1014" s="2"/>
      <c r="BQ1014" s="2"/>
      <c r="BR1014" s="2" t="s">
        <v>103</v>
      </c>
      <c r="BS1014" s="2" t="s">
        <v>18007</v>
      </c>
      <c r="BT1014" s="2" t="str">
        <f aca="false">HYPERLINK("https%3A%2F%2Fwww.webofscience.com%2Fwos%2Fwoscc%2Ffull-record%2FWOS:001101774000007","View Full Record in Web of Science")</f>
        <v>View Full Record in Web of Science</v>
      </c>
    </row>
    <row r="1015" customFormat="false" ht="14.65" hidden="false" customHeight="false" outlineLevel="0" collapsed="false">
      <c r="A1015" s="2" t="s">
        <v>181</v>
      </c>
      <c r="B1015" s="2" t="s">
        <v>18008</v>
      </c>
      <c r="C1015" s="2"/>
      <c r="D1015" s="2"/>
      <c r="E1015" s="2"/>
      <c r="F1015" s="2" t="s">
        <v>18009</v>
      </c>
      <c r="G1015" s="2"/>
      <c r="H1015" s="2"/>
      <c r="I1015" s="2" t="s">
        <v>18010</v>
      </c>
      <c r="J1015" s="2" t="s">
        <v>18011</v>
      </c>
      <c r="K1015" s="2"/>
      <c r="L1015" s="2"/>
      <c r="M1015" s="2" t="s">
        <v>78</v>
      </c>
      <c r="N1015" s="2" t="s">
        <v>186</v>
      </c>
      <c r="O1015" s="2"/>
      <c r="P1015" s="2"/>
      <c r="Q1015" s="2"/>
      <c r="R1015" s="2"/>
      <c r="S1015" s="2"/>
      <c r="T1015" s="2" t="s">
        <v>18012</v>
      </c>
      <c r="U1015" s="2" t="s">
        <v>18013</v>
      </c>
      <c r="V1015" s="2" t="s">
        <v>18014</v>
      </c>
      <c r="W1015" s="2" t="s">
        <v>18015</v>
      </c>
      <c r="X1015" s="2" t="s">
        <v>18016</v>
      </c>
      <c r="Y1015" s="2" t="s">
        <v>18017</v>
      </c>
      <c r="Z1015" s="2" t="s">
        <v>18018</v>
      </c>
      <c r="AA1015" s="2" t="s">
        <v>18019</v>
      </c>
      <c r="AB1015" s="2" t="s">
        <v>18020</v>
      </c>
      <c r="AC1015" s="2" t="s">
        <v>18021</v>
      </c>
      <c r="AD1015" s="2" t="s">
        <v>18022</v>
      </c>
      <c r="AE1015" s="2" t="s">
        <v>18023</v>
      </c>
      <c r="AF1015" s="2"/>
      <c r="AG1015" s="2" t="n">
        <v>50</v>
      </c>
      <c r="AH1015" s="2" t="n">
        <v>10</v>
      </c>
      <c r="AI1015" s="2" t="n">
        <v>10</v>
      </c>
      <c r="AJ1015" s="2" t="n">
        <v>0</v>
      </c>
      <c r="AK1015" s="2" t="n">
        <v>1</v>
      </c>
      <c r="AL1015" s="2" t="s">
        <v>600</v>
      </c>
      <c r="AM1015" s="2" t="s">
        <v>601</v>
      </c>
      <c r="AN1015" s="2" t="s">
        <v>602</v>
      </c>
      <c r="AO1015" s="2" t="s">
        <v>18024</v>
      </c>
      <c r="AP1015" s="2" t="s">
        <v>18025</v>
      </c>
      <c r="AQ1015" s="2"/>
      <c r="AR1015" s="2" t="s">
        <v>18011</v>
      </c>
      <c r="AS1015" s="2" t="s">
        <v>18026</v>
      </c>
      <c r="AT1015" s="2" t="s">
        <v>1362</v>
      </c>
      <c r="AU1015" s="2" t="n">
        <v>2022</v>
      </c>
      <c r="AV1015" s="2" t="n">
        <v>27</v>
      </c>
      <c r="AW1015" s="2" t="n">
        <v>10</v>
      </c>
      <c r="AX1015" s="2"/>
      <c r="AY1015" s="2"/>
      <c r="AZ1015" s="2"/>
      <c r="BA1015" s="2"/>
      <c r="BB1015" s="2" t="n">
        <v>874</v>
      </c>
      <c r="BC1015" s="2" t="n">
        <v>881</v>
      </c>
      <c r="BD1015" s="2"/>
      <c r="BE1015" s="2" t="s">
        <v>18027</v>
      </c>
      <c r="BF1015" s="2" t="str">
        <f aca="false">HYPERLINK("http://dx.doi.org/10.1111/resp.14313","http://dx.doi.org/10.1111/resp.14313")</f>
        <v>http://dx.doi.org/10.1111/resp.14313</v>
      </c>
      <c r="BG1015" s="2"/>
      <c r="BH1015" s="2" t="s">
        <v>4482</v>
      </c>
      <c r="BI1015" s="2" t="n">
        <v>8</v>
      </c>
      <c r="BJ1015" s="2" t="s">
        <v>18028</v>
      </c>
      <c r="BK1015" s="2" t="s">
        <v>204</v>
      </c>
      <c r="BL1015" s="2" t="s">
        <v>18028</v>
      </c>
      <c r="BM1015" s="2" t="s">
        <v>18029</v>
      </c>
      <c r="BN1015" s="2" t="n">
        <v>35697350</v>
      </c>
      <c r="BO1015" s="2" t="s">
        <v>207</v>
      </c>
      <c r="BP1015" s="2"/>
      <c r="BQ1015" s="2"/>
      <c r="BR1015" s="2" t="s">
        <v>103</v>
      </c>
      <c r="BS1015" s="2" t="s">
        <v>18030</v>
      </c>
      <c r="BT1015" s="2" t="str">
        <f aca="false">HYPERLINK("https%3A%2F%2Fwww.webofscience.com%2Fwos%2Fwoscc%2Ffull-record%2FWOS:000810159200001","View Full Record in Web of Science")</f>
        <v>View Full Record in Web of Science</v>
      </c>
    </row>
    <row r="1016" customFormat="false" ht="14.65" hidden="false" customHeight="false" outlineLevel="0" collapsed="false">
      <c r="A1016" s="2" t="s">
        <v>181</v>
      </c>
      <c r="B1016" s="2" t="s">
        <v>18031</v>
      </c>
      <c r="C1016" s="2"/>
      <c r="D1016" s="2"/>
      <c r="E1016" s="2"/>
      <c r="F1016" s="2" t="s">
        <v>18032</v>
      </c>
      <c r="G1016" s="2"/>
      <c r="H1016" s="2"/>
      <c r="I1016" s="2" t="s">
        <v>18033</v>
      </c>
      <c r="J1016" s="2" t="s">
        <v>16900</v>
      </c>
      <c r="K1016" s="2"/>
      <c r="L1016" s="2"/>
      <c r="M1016" s="2" t="s">
        <v>78</v>
      </c>
      <c r="N1016" s="2" t="s">
        <v>186</v>
      </c>
      <c r="O1016" s="2"/>
      <c r="P1016" s="2"/>
      <c r="Q1016" s="2"/>
      <c r="R1016" s="2"/>
      <c r="S1016" s="2"/>
      <c r="T1016" s="2" t="s">
        <v>18034</v>
      </c>
      <c r="U1016" s="2" t="s">
        <v>18035</v>
      </c>
      <c r="V1016" s="2" t="s">
        <v>18036</v>
      </c>
      <c r="W1016" s="2" t="s">
        <v>18037</v>
      </c>
      <c r="X1016" s="2" t="s">
        <v>18038</v>
      </c>
      <c r="Y1016" s="2" t="s">
        <v>18039</v>
      </c>
      <c r="Z1016" s="2" t="s">
        <v>18040</v>
      </c>
      <c r="AA1016" s="2" t="s">
        <v>18041</v>
      </c>
      <c r="AB1016" s="2" t="s">
        <v>18042</v>
      </c>
      <c r="AC1016" s="2" t="s">
        <v>18043</v>
      </c>
      <c r="AD1016" s="2" t="s">
        <v>18044</v>
      </c>
      <c r="AE1016" s="2" t="s">
        <v>18045</v>
      </c>
      <c r="AF1016" s="2"/>
      <c r="AG1016" s="2" t="n">
        <v>32</v>
      </c>
      <c r="AH1016" s="2" t="n">
        <v>11</v>
      </c>
      <c r="AI1016" s="2" t="n">
        <v>11</v>
      </c>
      <c r="AJ1016" s="2" t="n">
        <v>0</v>
      </c>
      <c r="AK1016" s="2" t="n">
        <v>13</v>
      </c>
      <c r="AL1016" s="2" t="s">
        <v>16911</v>
      </c>
      <c r="AM1016" s="2" t="s">
        <v>1908</v>
      </c>
      <c r="AN1016" s="2" t="s">
        <v>16912</v>
      </c>
      <c r="AO1016" s="2" t="s">
        <v>16913</v>
      </c>
      <c r="AP1016" s="2"/>
      <c r="AQ1016" s="2"/>
      <c r="AR1016" s="2" t="s">
        <v>16900</v>
      </c>
      <c r="AS1016" s="2" t="s">
        <v>16914</v>
      </c>
      <c r="AT1016" s="2"/>
      <c r="AU1016" s="2" t="n">
        <v>2021</v>
      </c>
      <c r="AV1016" s="2" t="n">
        <v>11</v>
      </c>
      <c r="AW1016" s="2" t="n">
        <v>7</v>
      </c>
      <c r="AX1016" s="2"/>
      <c r="AY1016" s="2"/>
      <c r="AZ1016" s="2"/>
      <c r="BA1016" s="2"/>
      <c r="BB1016" s="2"/>
      <c r="BC1016" s="2"/>
      <c r="BD1016" s="2" t="s">
        <v>18046</v>
      </c>
      <c r="BE1016" s="2" t="s">
        <v>18047</v>
      </c>
      <c r="BF1016" s="2" t="str">
        <f aca="false">HYPERLINK("http://dx.doi.org/10.1136/bmjopen-2020-046738","http://dx.doi.org/10.1136/bmjopen-2020-046738")</f>
        <v>http://dx.doi.org/10.1136/bmjopen-2020-046738</v>
      </c>
      <c r="BG1016" s="2"/>
      <c r="BH1016" s="2"/>
      <c r="BI1016" s="2" t="n">
        <v>9</v>
      </c>
      <c r="BJ1016" s="2" t="s">
        <v>16917</v>
      </c>
      <c r="BK1016" s="2" t="s">
        <v>204</v>
      </c>
      <c r="BL1016" s="2" t="s">
        <v>6693</v>
      </c>
      <c r="BM1016" s="2" t="s">
        <v>18048</v>
      </c>
      <c r="BN1016" s="2" t="n">
        <v>34226219</v>
      </c>
      <c r="BO1016" s="2" t="s">
        <v>401</v>
      </c>
      <c r="BP1016" s="2"/>
      <c r="BQ1016" s="2"/>
      <c r="BR1016" s="2" t="s">
        <v>103</v>
      </c>
      <c r="BS1016" s="2" t="s">
        <v>18049</v>
      </c>
      <c r="BT1016" s="2" t="str">
        <f aca="false">HYPERLINK("https%3A%2F%2Fwww.webofscience.com%2Fwos%2Fwoscc%2Ffull-record%2FWOS:000691605400012","View Full Record in Web of Science")</f>
        <v>View Full Record in Web of Science</v>
      </c>
    </row>
    <row r="1017" customFormat="false" ht="14.65" hidden="false" customHeight="false" outlineLevel="0" collapsed="false">
      <c r="A1017" s="2" t="s">
        <v>181</v>
      </c>
      <c r="B1017" s="2" t="s">
        <v>18050</v>
      </c>
      <c r="C1017" s="2"/>
      <c r="D1017" s="2"/>
      <c r="E1017" s="2"/>
      <c r="F1017" s="2" t="s">
        <v>18051</v>
      </c>
      <c r="G1017" s="2"/>
      <c r="H1017" s="2"/>
      <c r="I1017" s="2" t="s">
        <v>18052</v>
      </c>
      <c r="J1017" s="2" t="s">
        <v>18053</v>
      </c>
      <c r="K1017" s="2"/>
      <c r="L1017" s="2"/>
      <c r="M1017" s="2" t="s">
        <v>78</v>
      </c>
      <c r="N1017" s="2" t="s">
        <v>186</v>
      </c>
      <c r="O1017" s="2"/>
      <c r="P1017" s="2"/>
      <c r="Q1017" s="2"/>
      <c r="R1017" s="2"/>
      <c r="S1017" s="2"/>
      <c r="T1017" s="2" t="s">
        <v>18054</v>
      </c>
      <c r="U1017" s="2"/>
      <c r="V1017" s="2" t="s">
        <v>18055</v>
      </c>
      <c r="W1017" s="2" t="s">
        <v>18056</v>
      </c>
      <c r="X1017" s="2" t="s">
        <v>18057</v>
      </c>
      <c r="Y1017" s="2" t="s">
        <v>18058</v>
      </c>
      <c r="Z1017" s="2" t="s">
        <v>18059</v>
      </c>
      <c r="AA1017" s="2" t="s">
        <v>18060</v>
      </c>
      <c r="AB1017" s="2" t="s">
        <v>18061</v>
      </c>
      <c r="AC1017" s="2" t="s">
        <v>18062</v>
      </c>
      <c r="AD1017" s="2" t="s">
        <v>18063</v>
      </c>
      <c r="AE1017" s="2" t="s">
        <v>18064</v>
      </c>
      <c r="AF1017" s="2"/>
      <c r="AG1017" s="2" t="n">
        <v>75</v>
      </c>
      <c r="AH1017" s="2" t="n">
        <v>81</v>
      </c>
      <c r="AI1017" s="2" t="n">
        <v>87</v>
      </c>
      <c r="AJ1017" s="2" t="n">
        <v>9</v>
      </c>
      <c r="AK1017" s="2" t="n">
        <v>81</v>
      </c>
      <c r="AL1017" s="2" t="s">
        <v>270</v>
      </c>
      <c r="AM1017" s="2" t="s">
        <v>271</v>
      </c>
      <c r="AN1017" s="2" t="s">
        <v>272</v>
      </c>
      <c r="AO1017" s="2" t="s">
        <v>18065</v>
      </c>
      <c r="AP1017" s="2" t="s">
        <v>18066</v>
      </c>
      <c r="AQ1017" s="2"/>
      <c r="AR1017" s="2" t="s">
        <v>18067</v>
      </c>
      <c r="AS1017" s="2" t="s">
        <v>18068</v>
      </c>
      <c r="AT1017" s="2" t="s">
        <v>277</v>
      </c>
      <c r="AU1017" s="2" t="n">
        <v>2021</v>
      </c>
      <c r="AV1017" s="2" t="n">
        <v>15</v>
      </c>
      <c r="AW1017" s="2" t="n">
        <v>1</v>
      </c>
      <c r="AX1017" s="2"/>
      <c r="AY1017" s="2"/>
      <c r="AZ1017" s="2"/>
      <c r="BA1017" s="2"/>
      <c r="BB1017" s="2" t="n">
        <v>177</v>
      </c>
      <c r="BC1017" s="2" t="n">
        <v>207</v>
      </c>
      <c r="BD1017" s="2"/>
      <c r="BE1017" s="2" t="s">
        <v>18069</v>
      </c>
      <c r="BF1017" s="2" t="str">
        <f aca="false">HYPERLINK("http://dx.doi.org/10.1007/s11628-021-00438-9","http://dx.doi.org/10.1007/s11628-021-00438-9")</f>
        <v>http://dx.doi.org/10.1007/s11628-021-00438-9</v>
      </c>
      <c r="BG1017" s="2"/>
      <c r="BH1017" s="2" t="s">
        <v>2718</v>
      </c>
      <c r="BI1017" s="2" t="n">
        <v>31</v>
      </c>
      <c r="BJ1017" s="2" t="s">
        <v>11556</v>
      </c>
      <c r="BK1017" s="2" t="s">
        <v>610</v>
      </c>
      <c r="BL1017" s="2" t="s">
        <v>715</v>
      </c>
      <c r="BM1017" s="2" t="s">
        <v>18070</v>
      </c>
      <c r="BN1017" s="2"/>
      <c r="BO1017" s="2" t="s">
        <v>207</v>
      </c>
      <c r="BP1017" s="2"/>
      <c r="BQ1017" s="2"/>
      <c r="BR1017" s="2" t="s">
        <v>103</v>
      </c>
      <c r="BS1017" s="2" t="s">
        <v>18071</v>
      </c>
      <c r="BT1017" s="2" t="str">
        <f aca="false">HYPERLINK("https%3A%2F%2Fwww.webofscience.com%2Fwos%2Fwoscc%2Ffull-record%2FWOS:000617415900001","View Full Record in Web of Science")</f>
        <v>View Full Record in Web of Science</v>
      </c>
    </row>
    <row r="1018" customFormat="false" ht="14.65" hidden="false" customHeight="false" outlineLevel="0" collapsed="false">
      <c r="A1018" s="2" t="s">
        <v>72</v>
      </c>
      <c r="B1018" s="2" t="s">
        <v>18072</v>
      </c>
      <c r="C1018" s="2"/>
      <c r="D1018" s="2"/>
      <c r="E1018" s="2" t="s">
        <v>74</v>
      </c>
      <c r="F1018" s="2" t="s">
        <v>18073</v>
      </c>
      <c r="G1018" s="2"/>
      <c r="H1018" s="2"/>
      <c r="I1018" s="2" t="s">
        <v>18074</v>
      </c>
      <c r="J1018" s="2" t="s">
        <v>3352</v>
      </c>
      <c r="K1018" s="2"/>
      <c r="L1018" s="2"/>
      <c r="M1018" s="2" t="s">
        <v>78</v>
      </c>
      <c r="N1018" s="2" t="s">
        <v>79</v>
      </c>
      <c r="O1018" s="2" t="s">
        <v>3353</v>
      </c>
      <c r="P1018" s="2" t="s">
        <v>3354</v>
      </c>
      <c r="Q1018" s="2" t="s">
        <v>3355</v>
      </c>
      <c r="R1018" s="2" t="s">
        <v>3356</v>
      </c>
      <c r="S1018" s="2" t="s">
        <v>3357</v>
      </c>
      <c r="T1018" s="2" t="s">
        <v>18075</v>
      </c>
      <c r="U1018" s="2"/>
      <c r="V1018" s="2" t="s">
        <v>18076</v>
      </c>
      <c r="W1018" s="2" t="s">
        <v>18077</v>
      </c>
      <c r="X1018" s="2" t="s">
        <v>18078</v>
      </c>
      <c r="Y1018" s="2" t="s">
        <v>18079</v>
      </c>
      <c r="Z1018" s="2" t="s">
        <v>18080</v>
      </c>
      <c r="AA1018" s="2" t="s">
        <v>18081</v>
      </c>
      <c r="AB1018" s="2" t="s">
        <v>18082</v>
      </c>
      <c r="AC1018" s="2"/>
      <c r="AD1018" s="2"/>
      <c r="AE1018" s="2"/>
      <c r="AF1018" s="2"/>
      <c r="AG1018" s="2" t="n">
        <v>10</v>
      </c>
      <c r="AH1018" s="2" t="n">
        <v>0</v>
      </c>
      <c r="AI1018" s="2" t="n">
        <v>0</v>
      </c>
      <c r="AJ1018" s="2" t="n">
        <v>2</v>
      </c>
      <c r="AK1018" s="2" t="n">
        <v>2</v>
      </c>
      <c r="AL1018" s="2" t="s">
        <v>94</v>
      </c>
      <c r="AM1018" s="2" t="s">
        <v>95</v>
      </c>
      <c r="AN1018" s="2" t="s">
        <v>96</v>
      </c>
      <c r="AO1018" s="2"/>
      <c r="AP1018" s="2"/>
      <c r="AQ1018" s="2" t="s">
        <v>3364</v>
      </c>
      <c r="AR1018" s="2"/>
      <c r="AS1018" s="2"/>
      <c r="AT1018" s="2"/>
      <c r="AU1018" s="2" t="n">
        <v>2024</v>
      </c>
      <c r="AV1018" s="2"/>
      <c r="AW1018" s="2"/>
      <c r="AX1018" s="2"/>
      <c r="AY1018" s="2"/>
      <c r="AZ1018" s="2"/>
      <c r="BA1018" s="2"/>
      <c r="BB1018" s="2" t="n">
        <v>763</v>
      </c>
      <c r="BC1018" s="2" t="n">
        <v>764</v>
      </c>
      <c r="BD1018" s="2"/>
      <c r="BE1018" s="2" t="s">
        <v>18083</v>
      </c>
      <c r="BF1018" s="2" t="str">
        <f aca="false">HYPERLINK("http://dx.doi.org/10.1145/3649405.3659530","http://dx.doi.org/10.1145/3649405.3659530")</f>
        <v>http://dx.doi.org/10.1145/3649405.3659530</v>
      </c>
      <c r="BG1018" s="2"/>
      <c r="BH1018" s="2"/>
      <c r="BI1018" s="2" t="n">
        <v>2</v>
      </c>
      <c r="BJ1018" s="2" t="s">
        <v>3366</v>
      </c>
      <c r="BK1018" s="2" t="s">
        <v>1254</v>
      </c>
      <c r="BL1018" s="2" t="s">
        <v>3367</v>
      </c>
      <c r="BM1018" s="2" t="s">
        <v>3368</v>
      </c>
      <c r="BN1018" s="2"/>
      <c r="BO1018" s="2"/>
      <c r="BP1018" s="2"/>
      <c r="BQ1018" s="2"/>
      <c r="BR1018" s="2" t="s">
        <v>103</v>
      </c>
      <c r="BS1018" s="2" t="s">
        <v>18084</v>
      </c>
      <c r="BT1018" s="2" t="str">
        <f aca="false">HYPERLINK("https%3A%2F%2Fwww.webofscience.com%2Fwos%2Fwoscc%2Ffull-record%2FWOS:001265872800005","View Full Record in Web of Science")</f>
        <v>View Full Record in Web of Science</v>
      </c>
    </row>
    <row r="1019" customFormat="false" ht="14.65" hidden="false" customHeight="false" outlineLevel="0" collapsed="false">
      <c r="A1019" s="2" t="s">
        <v>181</v>
      </c>
      <c r="B1019" s="2" t="s">
        <v>18085</v>
      </c>
      <c r="C1019" s="2"/>
      <c r="D1019" s="2"/>
      <c r="E1019" s="2"/>
      <c r="F1019" s="2" t="s">
        <v>18086</v>
      </c>
      <c r="G1019" s="2"/>
      <c r="H1019" s="2"/>
      <c r="I1019" s="2" t="s">
        <v>18087</v>
      </c>
      <c r="J1019" s="2" t="s">
        <v>18088</v>
      </c>
      <c r="K1019" s="2"/>
      <c r="L1019" s="2"/>
      <c r="M1019" s="2" t="s">
        <v>78</v>
      </c>
      <c r="N1019" s="2" t="s">
        <v>186</v>
      </c>
      <c r="O1019" s="2"/>
      <c r="P1019" s="2"/>
      <c r="Q1019" s="2"/>
      <c r="R1019" s="2"/>
      <c r="S1019" s="2"/>
      <c r="T1019" s="2" t="s">
        <v>18089</v>
      </c>
      <c r="U1019" s="2" t="s">
        <v>18090</v>
      </c>
      <c r="V1019" s="2" t="s">
        <v>18091</v>
      </c>
      <c r="W1019" s="2" t="s">
        <v>18092</v>
      </c>
      <c r="X1019" s="2" t="s">
        <v>18093</v>
      </c>
      <c r="Y1019" s="2" t="s">
        <v>18094</v>
      </c>
      <c r="Z1019" s="2" t="s">
        <v>18095</v>
      </c>
      <c r="AA1019" s="2" t="s">
        <v>18096</v>
      </c>
      <c r="AB1019" s="2" t="s">
        <v>18097</v>
      </c>
      <c r="AC1019" s="2" t="s">
        <v>18098</v>
      </c>
      <c r="AD1019" s="2" t="s">
        <v>18099</v>
      </c>
      <c r="AE1019" s="2" t="s">
        <v>18100</v>
      </c>
      <c r="AF1019" s="2"/>
      <c r="AG1019" s="2" t="n">
        <v>34</v>
      </c>
      <c r="AH1019" s="2" t="n">
        <v>6</v>
      </c>
      <c r="AI1019" s="2" t="n">
        <v>7</v>
      </c>
      <c r="AJ1019" s="2" t="n">
        <v>1</v>
      </c>
      <c r="AK1019" s="2" t="n">
        <v>6</v>
      </c>
      <c r="AL1019" s="2" t="s">
        <v>938</v>
      </c>
      <c r="AM1019" s="2" t="s">
        <v>939</v>
      </c>
      <c r="AN1019" s="2" t="s">
        <v>940</v>
      </c>
      <c r="AO1019" s="2" t="s">
        <v>18101</v>
      </c>
      <c r="AP1019" s="2"/>
      <c r="AQ1019" s="2"/>
      <c r="AR1019" s="2" t="s">
        <v>18102</v>
      </c>
      <c r="AS1019" s="2" t="s">
        <v>18103</v>
      </c>
      <c r="AT1019" s="2" t="s">
        <v>18104</v>
      </c>
      <c r="AU1019" s="2" t="n">
        <v>2023</v>
      </c>
      <c r="AV1019" s="2" t="n">
        <v>14</v>
      </c>
      <c r="AW1019" s="2"/>
      <c r="AX1019" s="2"/>
      <c r="AY1019" s="2"/>
      <c r="AZ1019" s="2"/>
      <c r="BA1019" s="2"/>
      <c r="BB1019" s="2"/>
      <c r="BC1019" s="2"/>
      <c r="BD1019" s="2" t="n">
        <v>1183194</v>
      </c>
      <c r="BE1019" s="2" t="s">
        <v>18105</v>
      </c>
      <c r="BF1019" s="2" t="str">
        <f aca="false">HYPERLINK("http://dx.doi.org/10.3389/fimmu.2023.1183194","http://dx.doi.org/10.3389/fimmu.2023.1183194")</f>
        <v>http://dx.doi.org/10.3389/fimmu.2023.1183194</v>
      </c>
      <c r="BG1019" s="2"/>
      <c r="BH1019" s="2"/>
      <c r="BI1019" s="2" t="n">
        <v>8</v>
      </c>
      <c r="BJ1019" s="2" t="s">
        <v>18106</v>
      </c>
      <c r="BK1019" s="2" t="s">
        <v>204</v>
      </c>
      <c r="BL1019" s="2" t="s">
        <v>18106</v>
      </c>
      <c r="BM1019" s="2" t="s">
        <v>18107</v>
      </c>
      <c r="BN1019" s="2" t="n">
        <v>37325636</v>
      </c>
      <c r="BO1019" s="2" t="s">
        <v>401</v>
      </c>
      <c r="BP1019" s="2"/>
      <c r="BQ1019" s="2"/>
      <c r="BR1019" s="2" t="s">
        <v>103</v>
      </c>
      <c r="BS1019" s="2" t="s">
        <v>18108</v>
      </c>
      <c r="BT1019" s="2" t="str">
        <f aca="false">HYPERLINK("https%3A%2F%2Fwww.webofscience.com%2Fwos%2Fwoscc%2Ffull-record%2FWOS:001006380100001","View Full Record in Web of Science")</f>
        <v>View Full Record in Web of Science</v>
      </c>
    </row>
    <row r="1020" customFormat="false" ht="14.65" hidden="false" customHeight="false" outlineLevel="0" collapsed="false">
      <c r="A1020" s="2" t="s">
        <v>72</v>
      </c>
      <c r="B1020" s="2" t="s">
        <v>18109</v>
      </c>
      <c r="C1020" s="2"/>
      <c r="D1020" s="2"/>
      <c r="E1020" s="2" t="s">
        <v>74</v>
      </c>
      <c r="F1020" s="2" t="s">
        <v>18110</v>
      </c>
      <c r="G1020" s="2"/>
      <c r="H1020" s="2"/>
      <c r="I1020" s="2" t="s">
        <v>18111</v>
      </c>
      <c r="J1020" s="2" t="s">
        <v>3352</v>
      </c>
      <c r="K1020" s="2"/>
      <c r="L1020" s="2"/>
      <c r="M1020" s="2" t="s">
        <v>78</v>
      </c>
      <c r="N1020" s="2" t="s">
        <v>79</v>
      </c>
      <c r="O1020" s="2" t="s">
        <v>3353</v>
      </c>
      <c r="P1020" s="2" t="s">
        <v>3354</v>
      </c>
      <c r="Q1020" s="2" t="s">
        <v>3355</v>
      </c>
      <c r="R1020" s="2" t="s">
        <v>3356</v>
      </c>
      <c r="S1020" s="2" t="s">
        <v>3357</v>
      </c>
      <c r="T1020" s="2" t="s">
        <v>18112</v>
      </c>
      <c r="U1020" s="2"/>
      <c r="V1020" s="2" t="s">
        <v>18113</v>
      </c>
      <c r="W1020" s="2" t="s">
        <v>18114</v>
      </c>
      <c r="X1020" s="2" t="s">
        <v>18115</v>
      </c>
      <c r="Y1020" s="2" t="s">
        <v>18116</v>
      </c>
      <c r="Z1020" s="2" t="s">
        <v>18117</v>
      </c>
      <c r="AA1020" s="2" t="s">
        <v>18118</v>
      </c>
      <c r="AB1020" s="2" t="s">
        <v>18119</v>
      </c>
      <c r="AC1020" s="2"/>
      <c r="AD1020" s="2"/>
      <c r="AE1020" s="2"/>
      <c r="AF1020" s="2"/>
      <c r="AG1020" s="2" t="n">
        <v>9</v>
      </c>
      <c r="AH1020" s="2" t="n">
        <v>0</v>
      </c>
      <c r="AI1020" s="2" t="n">
        <v>0</v>
      </c>
      <c r="AJ1020" s="2" t="n">
        <v>2</v>
      </c>
      <c r="AK1020" s="2" t="n">
        <v>2</v>
      </c>
      <c r="AL1020" s="2" t="s">
        <v>94</v>
      </c>
      <c r="AM1020" s="2" t="s">
        <v>95</v>
      </c>
      <c r="AN1020" s="2" t="s">
        <v>96</v>
      </c>
      <c r="AO1020" s="2"/>
      <c r="AP1020" s="2"/>
      <c r="AQ1020" s="2" t="s">
        <v>3364</v>
      </c>
      <c r="AR1020" s="2"/>
      <c r="AS1020" s="2"/>
      <c r="AT1020" s="2"/>
      <c r="AU1020" s="2" t="n">
        <v>2024</v>
      </c>
      <c r="AV1020" s="2"/>
      <c r="AW1020" s="2"/>
      <c r="AX1020" s="2"/>
      <c r="AY1020" s="2"/>
      <c r="AZ1020" s="2"/>
      <c r="BA1020" s="2"/>
      <c r="BB1020" s="2" t="n">
        <v>773</v>
      </c>
      <c r="BC1020" s="2" t="n">
        <v>774</v>
      </c>
      <c r="BD1020" s="2"/>
      <c r="BE1020" s="2" t="s">
        <v>18120</v>
      </c>
      <c r="BF1020" s="2" t="str">
        <f aca="false">HYPERLINK("http://dx.doi.org/10.1145/3649405.3659535","http://dx.doi.org/10.1145/3649405.3659535")</f>
        <v>http://dx.doi.org/10.1145/3649405.3659535</v>
      </c>
      <c r="BG1020" s="2"/>
      <c r="BH1020" s="2"/>
      <c r="BI1020" s="2" t="n">
        <v>2</v>
      </c>
      <c r="BJ1020" s="2" t="s">
        <v>3366</v>
      </c>
      <c r="BK1020" s="2" t="s">
        <v>1254</v>
      </c>
      <c r="BL1020" s="2" t="s">
        <v>3367</v>
      </c>
      <c r="BM1020" s="2" t="s">
        <v>3368</v>
      </c>
      <c r="BN1020" s="2"/>
      <c r="BO1020" s="2"/>
      <c r="BP1020" s="2"/>
      <c r="BQ1020" s="2"/>
      <c r="BR1020" s="2" t="s">
        <v>103</v>
      </c>
      <c r="BS1020" s="2" t="s">
        <v>18121</v>
      </c>
      <c r="BT1020" s="2" t="str">
        <f aca="false">HYPERLINK("https%3A%2F%2Fwww.webofscience.com%2Fwos%2Fwoscc%2Ffull-record%2FWOS:001265872800010","View Full Record in Web of Science")</f>
        <v>View Full Record in Web of Science</v>
      </c>
    </row>
    <row r="1021" customFormat="false" ht="14.65" hidden="false" customHeight="false" outlineLevel="0" collapsed="false">
      <c r="A1021" s="2" t="s">
        <v>899</v>
      </c>
      <c r="B1021" s="2" t="s">
        <v>18122</v>
      </c>
      <c r="C1021" s="2"/>
      <c r="D1021" s="2" t="s">
        <v>18123</v>
      </c>
      <c r="E1021" s="2"/>
      <c r="F1021" s="2" t="s">
        <v>18124</v>
      </c>
      <c r="G1021" s="2"/>
      <c r="H1021" s="2"/>
      <c r="I1021" s="2" t="s">
        <v>18125</v>
      </c>
      <c r="J1021" s="2" t="s">
        <v>18126</v>
      </c>
      <c r="K1021" s="2" t="s">
        <v>18127</v>
      </c>
      <c r="L1021" s="2"/>
      <c r="M1021" s="2" t="s">
        <v>78</v>
      </c>
      <c r="N1021" s="2" t="s">
        <v>18128</v>
      </c>
      <c r="O1021" s="2"/>
      <c r="P1021" s="2"/>
      <c r="Q1021" s="2"/>
      <c r="R1021" s="2"/>
      <c r="S1021" s="2"/>
      <c r="T1021" s="2"/>
      <c r="U1021" s="2"/>
      <c r="V1021" s="2"/>
      <c r="W1021" s="2" t="s">
        <v>18129</v>
      </c>
      <c r="X1021" s="2" t="s">
        <v>18130</v>
      </c>
      <c r="Y1021" s="2" t="s">
        <v>18131</v>
      </c>
      <c r="Z1021" s="2"/>
      <c r="AA1021" s="2" t="s">
        <v>18132</v>
      </c>
      <c r="AB1021" s="2"/>
      <c r="AC1021" s="2"/>
      <c r="AD1021" s="2"/>
      <c r="AE1021" s="2"/>
      <c r="AF1021" s="2"/>
      <c r="AG1021" s="2" t="n">
        <v>7</v>
      </c>
      <c r="AH1021" s="2" t="n">
        <v>0</v>
      </c>
      <c r="AI1021" s="2" t="n">
        <v>0</v>
      </c>
      <c r="AJ1021" s="2" t="n">
        <v>0</v>
      </c>
      <c r="AK1021" s="2" t="n">
        <v>1</v>
      </c>
      <c r="AL1021" s="2" t="s">
        <v>9145</v>
      </c>
      <c r="AM1021" s="2" t="s">
        <v>1221</v>
      </c>
      <c r="AN1021" s="2" t="s">
        <v>9146</v>
      </c>
      <c r="AO1021" s="2"/>
      <c r="AP1021" s="2"/>
      <c r="AQ1021" s="2" t="s">
        <v>18133</v>
      </c>
      <c r="AR1021" s="2" t="s">
        <v>18134</v>
      </c>
      <c r="AS1021" s="2"/>
      <c r="AT1021" s="2"/>
      <c r="AU1021" s="2" t="n">
        <v>2020</v>
      </c>
      <c r="AV1021" s="2"/>
      <c r="AW1021" s="2"/>
      <c r="AX1021" s="2"/>
      <c r="AY1021" s="2"/>
      <c r="AZ1021" s="2"/>
      <c r="BA1021" s="2"/>
      <c r="BB1021" s="2" t="n">
        <v>103</v>
      </c>
      <c r="BC1021" s="2" t="n">
        <v>107</v>
      </c>
      <c r="BD1021" s="2"/>
      <c r="BE1021" s="2"/>
      <c r="BF1021" s="2"/>
      <c r="BG1021" s="2" t="s">
        <v>18135</v>
      </c>
      <c r="BH1021" s="2"/>
      <c r="BI1021" s="2" t="n">
        <v>5</v>
      </c>
      <c r="BJ1021" s="2" t="s">
        <v>18136</v>
      </c>
      <c r="BK1021" s="2" t="s">
        <v>18137</v>
      </c>
      <c r="BL1021" s="2" t="s">
        <v>18138</v>
      </c>
      <c r="BM1021" s="2" t="s">
        <v>18139</v>
      </c>
      <c r="BN1021" s="2"/>
      <c r="BO1021" s="2"/>
      <c r="BP1021" s="2"/>
      <c r="BQ1021" s="2"/>
      <c r="BR1021" s="2" t="s">
        <v>103</v>
      </c>
      <c r="BS1021" s="2" t="s">
        <v>18140</v>
      </c>
      <c r="BT1021" s="2" t="str">
        <f aca="false">HYPERLINK("https%3A%2F%2Fwww.webofscience.com%2Fwos%2Fwoscc%2Ffull-record%2FWOS:000584587200011","View Full Record in Web of Science")</f>
        <v>View Full Record in Web of Science</v>
      </c>
    </row>
    <row r="1022" customFormat="false" ht="14.65" hidden="false" customHeight="false" outlineLevel="0" collapsed="false">
      <c r="A1022" s="2" t="s">
        <v>899</v>
      </c>
      <c r="B1022" s="2" t="s">
        <v>18123</v>
      </c>
      <c r="C1022" s="2"/>
      <c r="D1022" s="2" t="s">
        <v>18123</v>
      </c>
      <c r="E1022" s="2"/>
      <c r="F1022" s="2" t="s">
        <v>18141</v>
      </c>
      <c r="G1022" s="2"/>
      <c r="H1022" s="2"/>
      <c r="I1022" s="2" t="s">
        <v>18142</v>
      </c>
      <c r="J1022" s="2" t="s">
        <v>18126</v>
      </c>
      <c r="K1022" s="2" t="s">
        <v>18127</v>
      </c>
      <c r="L1022" s="2"/>
      <c r="M1022" s="2" t="s">
        <v>78</v>
      </c>
      <c r="N1022" s="2" t="s">
        <v>18128</v>
      </c>
      <c r="O1022" s="2"/>
      <c r="P1022" s="2"/>
      <c r="Q1022" s="2"/>
      <c r="R1022" s="2"/>
      <c r="S1022" s="2"/>
      <c r="T1022" s="2"/>
      <c r="U1022" s="2"/>
      <c r="V1022" s="2"/>
      <c r="W1022" s="2" t="s">
        <v>18143</v>
      </c>
      <c r="X1022" s="2" t="s">
        <v>18144</v>
      </c>
      <c r="Y1022" s="2" t="s">
        <v>18145</v>
      </c>
      <c r="Z1022" s="2"/>
      <c r="AA1022" s="2" t="s">
        <v>18132</v>
      </c>
      <c r="AB1022" s="2"/>
      <c r="AC1022" s="2"/>
      <c r="AD1022" s="2"/>
      <c r="AE1022" s="2"/>
      <c r="AF1022" s="2"/>
      <c r="AG1022" s="2" t="n">
        <v>7</v>
      </c>
      <c r="AH1022" s="2" t="n">
        <v>2</v>
      </c>
      <c r="AI1022" s="2" t="n">
        <v>2</v>
      </c>
      <c r="AJ1022" s="2" t="n">
        <v>0</v>
      </c>
      <c r="AK1022" s="2" t="n">
        <v>1</v>
      </c>
      <c r="AL1022" s="2" t="s">
        <v>9145</v>
      </c>
      <c r="AM1022" s="2" t="s">
        <v>1221</v>
      </c>
      <c r="AN1022" s="2" t="s">
        <v>9146</v>
      </c>
      <c r="AO1022" s="2"/>
      <c r="AP1022" s="2"/>
      <c r="AQ1022" s="2" t="s">
        <v>18133</v>
      </c>
      <c r="AR1022" s="2" t="s">
        <v>18134</v>
      </c>
      <c r="AS1022" s="2"/>
      <c r="AT1022" s="2"/>
      <c r="AU1022" s="2" t="n">
        <v>2020</v>
      </c>
      <c r="AV1022" s="2"/>
      <c r="AW1022" s="2"/>
      <c r="AX1022" s="2"/>
      <c r="AY1022" s="2"/>
      <c r="AZ1022" s="2"/>
      <c r="BA1022" s="2"/>
      <c r="BB1022" s="2" t="n">
        <v>15</v>
      </c>
      <c r="BC1022" s="2" t="n">
        <v>19</v>
      </c>
      <c r="BD1022" s="2"/>
      <c r="BE1022" s="2"/>
      <c r="BF1022" s="2"/>
      <c r="BG1022" s="2" t="s">
        <v>18135</v>
      </c>
      <c r="BH1022" s="2"/>
      <c r="BI1022" s="2" t="n">
        <v>5</v>
      </c>
      <c r="BJ1022" s="2" t="s">
        <v>18136</v>
      </c>
      <c r="BK1022" s="2" t="s">
        <v>18137</v>
      </c>
      <c r="BL1022" s="2" t="s">
        <v>18138</v>
      </c>
      <c r="BM1022" s="2" t="s">
        <v>18139</v>
      </c>
      <c r="BN1022" s="2"/>
      <c r="BO1022" s="2"/>
      <c r="BP1022" s="2"/>
      <c r="BQ1022" s="2"/>
      <c r="BR1022" s="2" t="s">
        <v>103</v>
      </c>
      <c r="BS1022" s="2" t="s">
        <v>18146</v>
      </c>
      <c r="BT1022" s="2" t="str">
        <f aca="false">HYPERLINK("https%3A%2F%2Fwww.webofscience.com%2Fwos%2Fwoscc%2Ffull-record%2FWOS:000584587200002","View Full Record in Web of Science")</f>
        <v>View Full Record in Web of Science</v>
      </c>
    </row>
    <row r="1023" customFormat="false" ht="14.65" hidden="false" customHeight="false" outlineLevel="0" collapsed="false">
      <c r="A1023" s="2" t="s">
        <v>899</v>
      </c>
      <c r="B1023" s="2" t="s">
        <v>18147</v>
      </c>
      <c r="C1023" s="2"/>
      <c r="D1023" s="2" t="s">
        <v>18123</v>
      </c>
      <c r="E1023" s="2"/>
      <c r="F1023" s="2" t="s">
        <v>18148</v>
      </c>
      <c r="G1023" s="2"/>
      <c r="H1023" s="2"/>
      <c r="I1023" s="2" t="s">
        <v>18149</v>
      </c>
      <c r="J1023" s="2" t="s">
        <v>18126</v>
      </c>
      <c r="K1023" s="2" t="s">
        <v>18127</v>
      </c>
      <c r="L1023" s="2"/>
      <c r="M1023" s="2" t="s">
        <v>78</v>
      </c>
      <c r="N1023" s="2" t="s">
        <v>18128</v>
      </c>
      <c r="O1023" s="2"/>
      <c r="P1023" s="2"/>
      <c r="Q1023" s="2"/>
      <c r="R1023" s="2"/>
      <c r="S1023" s="2"/>
      <c r="T1023" s="2"/>
      <c r="U1023" s="2"/>
      <c r="V1023" s="2"/>
      <c r="W1023" s="2" t="s">
        <v>18150</v>
      </c>
      <c r="X1023" s="2" t="s">
        <v>18151</v>
      </c>
      <c r="Y1023" s="2" t="s">
        <v>18152</v>
      </c>
      <c r="Z1023" s="2"/>
      <c r="AA1023" s="2" t="s">
        <v>18132</v>
      </c>
      <c r="AB1023" s="2"/>
      <c r="AC1023" s="2"/>
      <c r="AD1023" s="2"/>
      <c r="AE1023" s="2"/>
      <c r="AF1023" s="2"/>
      <c r="AG1023" s="2" t="n">
        <v>1</v>
      </c>
      <c r="AH1023" s="2" t="n">
        <v>0</v>
      </c>
      <c r="AI1023" s="2" t="n">
        <v>0</v>
      </c>
      <c r="AJ1023" s="2" t="n">
        <v>0</v>
      </c>
      <c r="AK1023" s="2" t="n">
        <v>3</v>
      </c>
      <c r="AL1023" s="2" t="s">
        <v>9145</v>
      </c>
      <c r="AM1023" s="2" t="s">
        <v>1221</v>
      </c>
      <c r="AN1023" s="2" t="s">
        <v>9146</v>
      </c>
      <c r="AO1023" s="2"/>
      <c r="AP1023" s="2"/>
      <c r="AQ1023" s="2" t="s">
        <v>18133</v>
      </c>
      <c r="AR1023" s="2" t="s">
        <v>18134</v>
      </c>
      <c r="AS1023" s="2"/>
      <c r="AT1023" s="2"/>
      <c r="AU1023" s="2" t="n">
        <v>2020</v>
      </c>
      <c r="AV1023" s="2"/>
      <c r="AW1023" s="2"/>
      <c r="AX1023" s="2"/>
      <c r="AY1023" s="2"/>
      <c r="AZ1023" s="2"/>
      <c r="BA1023" s="2"/>
      <c r="BB1023" s="2" t="n">
        <v>221</v>
      </c>
      <c r="BC1023" s="2" t="n">
        <v>224</v>
      </c>
      <c r="BD1023" s="2"/>
      <c r="BE1023" s="2"/>
      <c r="BF1023" s="2"/>
      <c r="BG1023" s="2" t="s">
        <v>18135</v>
      </c>
      <c r="BH1023" s="2"/>
      <c r="BI1023" s="2" t="n">
        <v>4</v>
      </c>
      <c r="BJ1023" s="2" t="s">
        <v>18136</v>
      </c>
      <c r="BK1023" s="2" t="s">
        <v>18137</v>
      </c>
      <c r="BL1023" s="2" t="s">
        <v>18138</v>
      </c>
      <c r="BM1023" s="2" t="s">
        <v>18139</v>
      </c>
      <c r="BN1023" s="2"/>
      <c r="BO1023" s="2"/>
      <c r="BP1023" s="2"/>
      <c r="BQ1023" s="2"/>
      <c r="BR1023" s="2" t="s">
        <v>103</v>
      </c>
      <c r="BS1023" s="2" t="s">
        <v>18153</v>
      </c>
      <c r="BT1023" s="2" t="str">
        <f aca="false">HYPERLINK("https%3A%2F%2Fwww.webofscience.com%2Fwos%2Fwoscc%2Ffull-record%2FWOS:000584587200023","View Full Record in Web of Science")</f>
        <v>View Full Record in Web of Science</v>
      </c>
    </row>
    <row r="1024" customFormat="false" ht="14.65" hidden="false" customHeight="false" outlineLevel="0" collapsed="false">
      <c r="A1024" s="2" t="s">
        <v>899</v>
      </c>
      <c r="B1024" s="2" t="s">
        <v>18123</v>
      </c>
      <c r="C1024" s="2"/>
      <c r="D1024" s="2" t="s">
        <v>18123</v>
      </c>
      <c r="E1024" s="2"/>
      <c r="F1024" s="2" t="s">
        <v>18141</v>
      </c>
      <c r="G1024" s="2"/>
      <c r="H1024" s="2"/>
      <c r="I1024" s="2" t="s">
        <v>18154</v>
      </c>
      <c r="J1024" s="2" t="s">
        <v>18126</v>
      </c>
      <c r="K1024" s="2" t="s">
        <v>18127</v>
      </c>
      <c r="L1024" s="2"/>
      <c r="M1024" s="2" t="s">
        <v>78</v>
      </c>
      <c r="N1024" s="2" t="s">
        <v>18128</v>
      </c>
      <c r="O1024" s="2"/>
      <c r="P1024" s="2"/>
      <c r="Q1024" s="2"/>
      <c r="R1024" s="2"/>
      <c r="S1024" s="2"/>
      <c r="T1024" s="2"/>
      <c r="U1024" s="2" t="s">
        <v>18155</v>
      </c>
      <c r="V1024" s="2"/>
      <c r="W1024" s="2" t="s">
        <v>18143</v>
      </c>
      <c r="X1024" s="2" t="s">
        <v>18144</v>
      </c>
      <c r="Y1024" s="2" t="s">
        <v>18145</v>
      </c>
      <c r="Z1024" s="2"/>
      <c r="AA1024" s="2" t="s">
        <v>18132</v>
      </c>
      <c r="AB1024" s="2"/>
      <c r="AC1024" s="2"/>
      <c r="AD1024" s="2"/>
      <c r="AE1024" s="2"/>
      <c r="AF1024" s="2"/>
      <c r="AG1024" s="2" t="n">
        <v>48</v>
      </c>
      <c r="AH1024" s="2" t="n">
        <v>1</v>
      </c>
      <c r="AI1024" s="2" t="n">
        <v>1</v>
      </c>
      <c r="AJ1024" s="2" t="n">
        <v>0</v>
      </c>
      <c r="AK1024" s="2" t="n">
        <v>2</v>
      </c>
      <c r="AL1024" s="2" t="s">
        <v>9145</v>
      </c>
      <c r="AM1024" s="2" t="s">
        <v>1221</v>
      </c>
      <c r="AN1024" s="2" t="s">
        <v>9146</v>
      </c>
      <c r="AO1024" s="2"/>
      <c r="AP1024" s="2"/>
      <c r="AQ1024" s="2" t="s">
        <v>18133</v>
      </c>
      <c r="AR1024" s="2" t="s">
        <v>18134</v>
      </c>
      <c r="AS1024" s="2"/>
      <c r="AT1024" s="2"/>
      <c r="AU1024" s="2" t="n">
        <v>2020</v>
      </c>
      <c r="AV1024" s="2"/>
      <c r="AW1024" s="2"/>
      <c r="AX1024" s="2"/>
      <c r="AY1024" s="2"/>
      <c r="AZ1024" s="2"/>
      <c r="BA1024" s="2"/>
      <c r="BB1024" s="2" t="n">
        <v>1</v>
      </c>
      <c r="BC1024" s="2" t="n">
        <v>13</v>
      </c>
      <c r="BD1024" s="2"/>
      <c r="BE1024" s="2"/>
      <c r="BF1024" s="2"/>
      <c r="BG1024" s="2" t="s">
        <v>18135</v>
      </c>
      <c r="BH1024" s="2"/>
      <c r="BI1024" s="2" t="n">
        <v>13</v>
      </c>
      <c r="BJ1024" s="2" t="s">
        <v>18136</v>
      </c>
      <c r="BK1024" s="2" t="s">
        <v>18137</v>
      </c>
      <c r="BL1024" s="2" t="s">
        <v>18138</v>
      </c>
      <c r="BM1024" s="2" t="s">
        <v>18139</v>
      </c>
      <c r="BN1024" s="2"/>
      <c r="BO1024" s="2"/>
      <c r="BP1024" s="2"/>
      <c r="BQ1024" s="2"/>
      <c r="BR1024" s="2" t="s">
        <v>103</v>
      </c>
      <c r="BS1024" s="2" t="s">
        <v>18156</v>
      </c>
      <c r="BT1024" s="2" t="str">
        <f aca="false">HYPERLINK("https%3A%2F%2Fwww.webofscience.com%2Fwos%2Fwoscc%2Ffull-record%2FWOS:000584587200001","View Full Record in Web of Science")</f>
        <v>View Full Record in Web of Science</v>
      </c>
    </row>
    <row r="1025" customFormat="false" ht="14.65" hidden="false" customHeight="false" outlineLevel="0" collapsed="false">
      <c r="A1025" s="2" t="s">
        <v>899</v>
      </c>
      <c r="B1025" s="2" t="s">
        <v>18157</v>
      </c>
      <c r="C1025" s="2"/>
      <c r="D1025" s="2" t="s">
        <v>18123</v>
      </c>
      <c r="E1025" s="2"/>
      <c r="F1025" s="2" t="s">
        <v>18158</v>
      </c>
      <c r="G1025" s="2"/>
      <c r="H1025" s="2"/>
      <c r="I1025" s="2" t="s">
        <v>18159</v>
      </c>
      <c r="J1025" s="2" t="s">
        <v>18126</v>
      </c>
      <c r="K1025" s="2" t="s">
        <v>18127</v>
      </c>
      <c r="L1025" s="2"/>
      <c r="M1025" s="2" t="s">
        <v>78</v>
      </c>
      <c r="N1025" s="2" t="s">
        <v>18128</v>
      </c>
      <c r="O1025" s="2"/>
      <c r="P1025" s="2"/>
      <c r="Q1025" s="2"/>
      <c r="R1025" s="2"/>
      <c r="S1025" s="2"/>
      <c r="T1025" s="2"/>
      <c r="U1025" s="2"/>
      <c r="V1025" s="2"/>
      <c r="W1025" s="2" t="s">
        <v>18160</v>
      </c>
      <c r="X1025" s="2" t="s">
        <v>18161</v>
      </c>
      <c r="Y1025" s="2" t="s">
        <v>18162</v>
      </c>
      <c r="Z1025" s="2"/>
      <c r="AA1025" s="2" t="s">
        <v>18132</v>
      </c>
      <c r="AB1025" s="2"/>
      <c r="AC1025" s="2"/>
      <c r="AD1025" s="2"/>
      <c r="AE1025" s="2"/>
      <c r="AF1025" s="2"/>
      <c r="AG1025" s="2" t="n">
        <v>4</v>
      </c>
      <c r="AH1025" s="2" t="n">
        <v>0</v>
      </c>
      <c r="AI1025" s="2" t="n">
        <v>0</v>
      </c>
      <c r="AJ1025" s="2" t="n">
        <v>0</v>
      </c>
      <c r="AK1025" s="2" t="n">
        <v>2</v>
      </c>
      <c r="AL1025" s="2" t="s">
        <v>9145</v>
      </c>
      <c r="AM1025" s="2" t="s">
        <v>1221</v>
      </c>
      <c r="AN1025" s="2" t="s">
        <v>9146</v>
      </c>
      <c r="AO1025" s="2"/>
      <c r="AP1025" s="2"/>
      <c r="AQ1025" s="2" t="s">
        <v>18133</v>
      </c>
      <c r="AR1025" s="2" t="s">
        <v>18134</v>
      </c>
      <c r="AS1025" s="2"/>
      <c r="AT1025" s="2"/>
      <c r="AU1025" s="2" t="n">
        <v>2020</v>
      </c>
      <c r="AV1025" s="2"/>
      <c r="AW1025" s="2"/>
      <c r="AX1025" s="2"/>
      <c r="AY1025" s="2"/>
      <c r="AZ1025" s="2"/>
      <c r="BA1025" s="2"/>
      <c r="BB1025" s="2" t="n">
        <v>311</v>
      </c>
      <c r="BC1025" s="2" t="n">
        <v>315</v>
      </c>
      <c r="BD1025" s="2"/>
      <c r="BE1025" s="2"/>
      <c r="BF1025" s="2"/>
      <c r="BG1025" s="2" t="s">
        <v>18135</v>
      </c>
      <c r="BH1025" s="2"/>
      <c r="BI1025" s="2" t="n">
        <v>5</v>
      </c>
      <c r="BJ1025" s="2" t="s">
        <v>18136</v>
      </c>
      <c r="BK1025" s="2" t="s">
        <v>18137</v>
      </c>
      <c r="BL1025" s="2" t="s">
        <v>18138</v>
      </c>
      <c r="BM1025" s="2" t="s">
        <v>18139</v>
      </c>
      <c r="BN1025" s="2"/>
      <c r="BO1025" s="2"/>
      <c r="BP1025" s="2"/>
      <c r="BQ1025" s="2"/>
      <c r="BR1025" s="2" t="s">
        <v>103</v>
      </c>
      <c r="BS1025" s="2" t="s">
        <v>18163</v>
      </c>
      <c r="BT1025" s="2" t="str">
        <f aca="false">HYPERLINK("https%3A%2F%2Fwww.webofscience.com%2Fwos%2Fwoscc%2Ffull-record%2FWOS:000584587200032","View Full Record in Web of Science")</f>
        <v>View Full Record in Web of Science</v>
      </c>
    </row>
    <row r="1026" customFormat="false" ht="14.65" hidden="false" customHeight="false" outlineLevel="0" collapsed="false">
      <c r="A1026" s="2" t="s">
        <v>181</v>
      </c>
      <c r="B1026" s="2" t="s">
        <v>18164</v>
      </c>
      <c r="C1026" s="2"/>
      <c r="D1026" s="2"/>
      <c r="E1026" s="2"/>
      <c r="F1026" s="2" t="s">
        <v>18165</v>
      </c>
      <c r="G1026" s="2"/>
      <c r="H1026" s="2"/>
      <c r="I1026" s="2" t="s">
        <v>18166</v>
      </c>
      <c r="J1026" s="2" t="s">
        <v>18167</v>
      </c>
      <c r="K1026" s="2"/>
      <c r="L1026" s="2"/>
      <c r="M1026" s="2" t="s">
        <v>78</v>
      </c>
      <c r="N1026" s="2" t="s">
        <v>186</v>
      </c>
      <c r="O1026" s="2"/>
      <c r="P1026" s="2"/>
      <c r="Q1026" s="2"/>
      <c r="R1026" s="2"/>
      <c r="S1026" s="2"/>
      <c r="T1026" s="2" t="s">
        <v>18168</v>
      </c>
      <c r="U1026" s="2" t="s">
        <v>18169</v>
      </c>
      <c r="V1026" s="2" t="s">
        <v>18170</v>
      </c>
      <c r="W1026" s="2" t="s">
        <v>18171</v>
      </c>
      <c r="X1026" s="2" t="s">
        <v>18172</v>
      </c>
      <c r="Y1026" s="2" t="s">
        <v>18173</v>
      </c>
      <c r="Z1026" s="2" t="s">
        <v>18174</v>
      </c>
      <c r="AA1026" s="2" t="s">
        <v>18175</v>
      </c>
      <c r="AB1026" s="2" t="s">
        <v>18176</v>
      </c>
      <c r="AC1026" s="2"/>
      <c r="AD1026" s="2"/>
      <c r="AE1026" s="2"/>
      <c r="AF1026" s="2"/>
      <c r="AG1026" s="2" t="n">
        <v>69</v>
      </c>
      <c r="AH1026" s="2" t="n">
        <v>0</v>
      </c>
      <c r="AI1026" s="2" t="n">
        <v>0</v>
      </c>
      <c r="AJ1026" s="2" t="n">
        <v>1</v>
      </c>
      <c r="AK1026" s="2" t="n">
        <v>10</v>
      </c>
      <c r="AL1026" s="2" t="s">
        <v>600</v>
      </c>
      <c r="AM1026" s="2" t="s">
        <v>601</v>
      </c>
      <c r="AN1026" s="2" t="s">
        <v>602</v>
      </c>
      <c r="AO1026" s="2" t="s">
        <v>18177</v>
      </c>
      <c r="AP1026" s="2" t="s">
        <v>18178</v>
      </c>
      <c r="AQ1026" s="2"/>
      <c r="AR1026" s="2" t="s">
        <v>18179</v>
      </c>
      <c r="AS1026" s="2" t="s">
        <v>18180</v>
      </c>
      <c r="AT1026" s="2" t="s">
        <v>754</v>
      </c>
      <c r="AU1026" s="2" t="n">
        <v>2024</v>
      </c>
      <c r="AV1026" s="2" t="n">
        <v>54</v>
      </c>
      <c r="AW1026" s="2" t="n">
        <v>5</v>
      </c>
      <c r="AX1026" s="2"/>
      <c r="AY1026" s="2"/>
      <c r="AZ1026" s="2"/>
      <c r="BA1026" s="2"/>
      <c r="BB1026" s="2" t="n">
        <v>896</v>
      </c>
      <c r="BC1026" s="2" t="n">
        <v>926</v>
      </c>
      <c r="BD1026" s="2"/>
      <c r="BE1026" s="2" t="s">
        <v>18181</v>
      </c>
      <c r="BF1026" s="2" t="str">
        <f aca="false">HYPERLINK("http://dx.doi.org/10.1002/spe.3306","http://dx.doi.org/10.1002/spe.3306")</f>
        <v>http://dx.doi.org/10.1002/spe.3306</v>
      </c>
      <c r="BG1026" s="2"/>
      <c r="BH1026" s="2" t="s">
        <v>923</v>
      </c>
      <c r="BI1026" s="2" t="n">
        <v>31</v>
      </c>
      <c r="BJ1026" s="2" t="s">
        <v>252</v>
      </c>
      <c r="BK1026" s="2" t="s">
        <v>204</v>
      </c>
      <c r="BL1026" s="2" t="s">
        <v>101</v>
      </c>
      <c r="BM1026" s="2" t="s">
        <v>18182</v>
      </c>
      <c r="BN1026" s="2"/>
      <c r="BO1026" s="2" t="s">
        <v>207</v>
      </c>
      <c r="BP1026" s="2"/>
      <c r="BQ1026" s="2"/>
      <c r="BR1026" s="2" t="s">
        <v>103</v>
      </c>
      <c r="BS1026" s="2" t="s">
        <v>18183</v>
      </c>
      <c r="BT1026" s="2" t="str">
        <f aca="false">HYPERLINK("https%3A%2F%2Fwww.webofscience.com%2Fwos%2Fwoscc%2Ffull-record%2FWOS:001131509800001","View Full Record in Web of Science")</f>
        <v>View Full Record in Web of Science</v>
      </c>
    </row>
    <row r="1027" customFormat="false" ht="14.65" hidden="false" customHeight="false" outlineLevel="0" collapsed="false">
      <c r="A1027" s="2" t="s">
        <v>181</v>
      </c>
      <c r="B1027" s="2" t="s">
        <v>18184</v>
      </c>
      <c r="C1027" s="2"/>
      <c r="D1027" s="2"/>
      <c r="E1027" s="2"/>
      <c r="F1027" s="2" t="s">
        <v>18185</v>
      </c>
      <c r="G1027" s="2"/>
      <c r="H1027" s="2"/>
      <c r="I1027" s="2" t="s">
        <v>18186</v>
      </c>
      <c r="J1027" s="2" t="s">
        <v>18187</v>
      </c>
      <c r="K1027" s="2"/>
      <c r="L1027" s="2"/>
      <c r="M1027" s="2" t="s">
        <v>78</v>
      </c>
      <c r="N1027" s="2" t="s">
        <v>186</v>
      </c>
      <c r="O1027" s="2"/>
      <c r="P1027" s="2"/>
      <c r="Q1027" s="2"/>
      <c r="R1027" s="2"/>
      <c r="S1027" s="2"/>
      <c r="T1027" s="2" t="s">
        <v>18188</v>
      </c>
      <c r="U1027" s="2" t="s">
        <v>18189</v>
      </c>
      <c r="V1027" s="2" t="s">
        <v>18190</v>
      </c>
      <c r="W1027" s="2" t="s">
        <v>18191</v>
      </c>
      <c r="X1027" s="2" t="s">
        <v>18192</v>
      </c>
      <c r="Y1027" s="2" t="s">
        <v>18193</v>
      </c>
      <c r="Z1027" s="2" t="s">
        <v>18194</v>
      </c>
      <c r="AA1027" s="2" t="s">
        <v>18195</v>
      </c>
      <c r="AB1027" s="2" t="s">
        <v>18196</v>
      </c>
      <c r="AC1027" s="2" t="s">
        <v>18197</v>
      </c>
      <c r="AD1027" s="2" t="s">
        <v>18198</v>
      </c>
      <c r="AE1027" s="2" t="s">
        <v>18199</v>
      </c>
      <c r="AF1027" s="2"/>
      <c r="AG1027" s="2" t="n">
        <v>66</v>
      </c>
      <c r="AH1027" s="2" t="n">
        <v>6</v>
      </c>
      <c r="AI1027" s="2" t="n">
        <v>7</v>
      </c>
      <c r="AJ1027" s="2" t="n">
        <v>1</v>
      </c>
      <c r="AK1027" s="2" t="n">
        <v>2</v>
      </c>
      <c r="AL1027" s="2" t="s">
        <v>938</v>
      </c>
      <c r="AM1027" s="2" t="s">
        <v>939</v>
      </c>
      <c r="AN1027" s="2" t="s">
        <v>940</v>
      </c>
      <c r="AO1027" s="2"/>
      <c r="AP1027" s="2" t="s">
        <v>18200</v>
      </c>
      <c r="AQ1027" s="2"/>
      <c r="AR1027" s="2" t="s">
        <v>18201</v>
      </c>
      <c r="AS1027" s="2" t="s">
        <v>18201</v>
      </c>
      <c r="AT1027" s="2" t="s">
        <v>18202</v>
      </c>
      <c r="AU1027" s="2" t="n">
        <v>2021</v>
      </c>
      <c r="AV1027" s="2" t="n">
        <v>2</v>
      </c>
      <c r="AW1027" s="2"/>
      <c r="AX1027" s="2"/>
      <c r="AY1027" s="2"/>
      <c r="AZ1027" s="2"/>
      <c r="BA1027" s="2"/>
      <c r="BB1027" s="2"/>
      <c r="BC1027" s="2"/>
      <c r="BD1027" s="2" t="n">
        <v>726607</v>
      </c>
      <c r="BE1027" s="2" t="s">
        <v>18203</v>
      </c>
      <c r="BF1027" s="2" t="str">
        <f aca="false">HYPERLINK("http://dx.doi.org/10.3389/fdmed.2021.726607","http://dx.doi.org/10.3389/fdmed.2021.726607")</f>
        <v>http://dx.doi.org/10.3389/fdmed.2021.726607</v>
      </c>
      <c r="BG1027" s="2"/>
      <c r="BH1027" s="2"/>
      <c r="BI1027" s="2" t="n">
        <v>14</v>
      </c>
      <c r="BJ1027" s="2" t="s">
        <v>4910</v>
      </c>
      <c r="BK1027" s="2" t="s">
        <v>253</v>
      </c>
      <c r="BL1027" s="2" t="s">
        <v>4910</v>
      </c>
      <c r="BM1027" s="2" t="s">
        <v>18204</v>
      </c>
      <c r="BN1027" s="2"/>
      <c r="BO1027" s="2" t="s">
        <v>401</v>
      </c>
      <c r="BP1027" s="2"/>
      <c r="BQ1027" s="2"/>
      <c r="BR1027" s="2" t="s">
        <v>103</v>
      </c>
      <c r="BS1027" s="2" t="s">
        <v>18205</v>
      </c>
      <c r="BT1027" s="2" t="str">
        <f aca="false">HYPERLINK("https%3A%2F%2Fwww.webofscience.com%2Fwos%2Fwoscc%2Ffull-record%2FWOS:001058700100001","View Full Record in Web of Science")</f>
        <v>View Full Record in Web of Science</v>
      </c>
    </row>
    <row r="1028" customFormat="false" ht="14.65" hidden="false" customHeight="false" outlineLevel="0" collapsed="false">
      <c r="A1028" s="2" t="s">
        <v>181</v>
      </c>
      <c r="B1028" s="2" t="s">
        <v>18206</v>
      </c>
      <c r="C1028" s="2"/>
      <c r="D1028" s="2"/>
      <c r="E1028" s="2"/>
      <c r="F1028" s="2" t="s">
        <v>18207</v>
      </c>
      <c r="G1028" s="2"/>
      <c r="H1028" s="2" t="s">
        <v>18208</v>
      </c>
      <c r="I1028" s="2" t="s">
        <v>18209</v>
      </c>
      <c r="J1028" s="2" t="s">
        <v>18210</v>
      </c>
      <c r="K1028" s="2"/>
      <c r="L1028" s="2"/>
      <c r="M1028" s="2" t="s">
        <v>78</v>
      </c>
      <c r="N1028" s="2" t="s">
        <v>186</v>
      </c>
      <c r="O1028" s="2"/>
      <c r="P1028" s="2"/>
      <c r="Q1028" s="2"/>
      <c r="R1028" s="2"/>
      <c r="S1028" s="2"/>
      <c r="T1028" s="2" t="s">
        <v>18211</v>
      </c>
      <c r="U1028" s="2" t="s">
        <v>18212</v>
      </c>
      <c r="V1028" s="2" t="s">
        <v>18213</v>
      </c>
      <c r="W1028" s="2" t="s">
        <v>18214</v>
      </c>
      <c r="X1028" s="2" t="s">
        <v>18215</v>
      </c>
      <c r="Y1028" s="2" t="s">
        <v>18216</v>
      </c>
      <c r="Z1028" s="2" t="s">
        <v>18217</v>
      </c>
      <c r="AA1028" s="2" t="s">
        <v>18218</v>
      </c>
      <c r="AB1028" s="2" t="s">
        <v>18219</v>
      </c>
      <c r="AC1028" s="2"/>
      <c r="AD1028" s="2"/>
      <c r="AE1028" s="2"/>
      <c r="AF1028" s="2"/>
      <c r="AG1028" s="2" t="n">
        <v>15</v>
      </c>
      <c r="AH1028" s="2" t="n">
        <v>51</v>
      </c>
      <c r="AI1028" s="2" t="n">
        <v>52</v>
      </c>
      <c r="AJ1028" s="2" t="n">
        <v>1</v>
      </c>
      <c r="AK1028" s="2" t="n">
        <v>21</v>
      </c>
      <c r="AL1028" s="2" t="s">
        <v>18220</v>
      </c>
      <c r="AM1028" s="2" t="s">
        <v>18221</v>
      </c>
      <c r="AN1028" s="2" t="s">
        <v>18222</v>
      </c>
      <c r="AO1028" s="2" t="s">
        <v>18223</v>
      </c>
      <c r="AP1028" s="2" t="s">
        <v>18224</v>
      </c>
      <c r="AQ1028" s="2"/>
      <c r="AR1028" s="2" t="s">
        <v>18225</v>
      </c>
      <c r="AS1028" s="2" t="s">
        <v>18226</v>
      </c>
      <c r="AT1028" s="2" t="s">
        <v>18227</v>
      </c>
      <c r="AU1028" s="2" t="n">
        <v>2022</v>
      </c>
      <c r="AV1028" s="2" t="n">
        <v>74</v>
      </c>
      <c r="AW1028" s="2" t="n">
        <v>8</v>
      </c>
      <c r="AX1028" s="2"/>
      <c r="AY1028" s="2"/>
      <c r="AZ1028" s="2"/>
      <c r="BA1028" s="2"/>
      <c r="BB1028" s="2" t="n">
        <v>1459</v>
      </c>
      <c r="BC1028" s="2" t="n">
        <v>1467</v>
      </c>
      <c r="BD1028" s="2"/>
      <c r="BE1028" s="2" t="s">
        <v>18228</v>
      </c>
      <c r="BF1028" s="2" t="str">
        <f aca="false">HYPERLINK("http://dx.doi.org/10.1093/cid/ciab629","http://dx.doi.org/10.1093/cid/ciab629")</f>
        <v>http://dx.doi.org/10.1093/cid/ciab629</v>
      </c>
      <c r="BG1028" s="2"/>
      <c r="BH1028" s="2" t="s">
        <v>2315</v>
      </c>
      <c r="BI1028" s="2" t="n">
        <v>9</v>
      </c>
      <c r="BJ1028" s="2" t="s">
        <v>18229</v>
      </c>
      <c r="BK1028" s="2" t="s">
        <v>204</v>
      </c>
      <c r="BL1028" s="2" t="s">
        <v>18229</v>
      </c>
      <c r="BM1028" s="2" t="s">
        <v>18230</v>
      </c>
      <c r="BN1028" s="2" t="n">
        <v>34283213</v>
      </c>
      <c r="BO1028" s="2" t="s">
        <v>207</v>
      </c>
      <c r="BP1028" s="2"/>
      <c r="BQ1028" s="2"/>
      <c r="BR1028" s="2" t="s">
        <v>103</v>
      </c>
      <c r="BS1028" s="2" t="s">
        <v>18231</v>
      </c>
      <c r="BT1028" s="2" t="str">
        <f aca="false">HYPERLINK("https%3A%2F%2Fwww.webofscience.com%2Fwos%2Fwoscc%2Ffull-record%2FWOS:000756453800001","View Full Record in Web of Science")</f>
        <v>View Full Record in Web of Science</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LibreOffice/24.8.4.2$Linux_X86_64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Michael Unterkalmsteiner</cp:lastModifiedBy>
  <dcterms:modified xsi:type="dcterms:W3CDTF">2025-02-19T14:51:36Z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