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otCamp\Class Projects\Module 1 - Excel Dataset\Measles_Kickstarter-Analysis\"/>
    </mc:Choice>
  </mc:AlternateContent>
  <xr:revisionPtr revIDLastSave="0" documentId="13_ncr:1_{423217AB-E359-45F1-B12E-53631C91F91B}" xr6:coauthVersionLast="47" xr6:coauthVersionMax="47" xr10:uidLastSave="{00000000-0000-0000-0000-000000000000}"/>
  <bookViews>
    <workbookView xWindow="-28920" yWindow="-9435" windowWidth="29040" windowHeight="15720" tabRatio="860" activeTab="2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Category Statistics" sheetId="2" r:id="rId4"/>
    <sheet name="Subcategory Statistics" sheetId="4" r:id="rId5"/>
    <sheet name="Outcomes Based on Launch Date" sheetId="6" r:id="rId6"/>
    <sheet name="Ediburgh Research" sheetId="7" r:id="rId7"/>
  </sheets>
  <definedNames>
    <definedName name="_xlnm._FilterDatabase" localSheetId="0" hidden="1">Kickstarter!$A$1:$T$4115</definedName>
  </definedNames>
  <calcPr calcId="191029"/>
  <pivotCaches>
    <pivotCache cacheId="4" r:id="rId8"/>
    <pivotCache cacheId="5" r:id="rId9"/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8" i="16" l="1"/>
  <c r="C39" i="16"/>
  <c r="C40" i="16"/>
  <c r="C41" i="16"/>
  <c r="C42" i="16"/>
  <c r="C43" i="16"/>
  <c r="C44" i="16"/>
  <c r="C45" i="16"/>
  <c r="C46" i="16"/>
  <c r="C47" i="16"/>
  <c r="C48" i="16"/>
  <c r="C37" i="16"/>
  <c r="B38" i="16"/>
  <c r="B39" i="16"/>
  <c r="B40" i="16"/>
  <c r="B41" i="16"/>
  <c r="B42" i="16"/>
  <c r="B43" i="16"/>
  <c r="B44" i="16"/>
  <c r="B45" i="16"/>
  <c r="B46" i="16"/>
  <c r="B47" i="16"/>
  <c r="B48" i="16"/>
  <c r="B37" i="16"/>
  <c r="F49" i="16"/>
  <c r="E49" i="16"/>
  <c r="H48" i="16"/>
  <c r="G48" i="16"/>
  <c r="F48" i="16"/>
  <c r="E48" i="16"/>
  <c r="G47" i="16"/>
  <c r="F47" i="16"/>
  <c r="E47" i="16"/>
  <c r="G46" i="16"/>
  <c r="F46" i="16"/>
  <c r="E46" i="16"/>
  <c r="H46" i="16" s="1"/>
  <c r="G45" i="16"/>
  <c r="F45" i="16"/>
  <c r="E45" i="16"/>
  <c r="H44" i="16"/>
  <c r="G44" i="16"/>
  <c r="F44" i="16"/>
  <c r="E44" i="16"/>
  <c r="G43" i="16"/>
  <c r="F43" i="16"/>
  <c r="E43" i="16"/>
  <c r="G42" i="16"/>
  <c r="F42" i="16"/>
  <c r="E42" i="16"/>
  <c r="H42" i="16" s="1"/>
  <c r="G41" i="16"/>
  <c r="F41" i="16"/>
  <c r="E41" i="16"/>
  <c r="H40" i="16"/>
  <c r="G40" i="16"/>
  <c r="F40" i="16"/>
  <c r="E40" i="16"/>
  <c r="G39" i="16"/>
  <c r="F39" i="16"/>
  <c r="E39" i="16"/>
  <c r="G38" i="16"/>
  <c r="F38" i="16"/>
  <c r="E38" i="16"/>
  <c r="G37" i="16"/>
  <c r="F37" i="16"/>
  <c r="E37" i="16"/>
  <c r="B32" i="16"/>
  <c r="F33" i="16"/>
  <c r="E33" i="16"/>
  <c r="G32" i="16"/>
  <c r="F32" i="16"/>
  <c r="C32" i="16" s="1"/>
  <c r="E32" i="16"/>
  <c r="H32" i="16" s="1"/>
  <c r="G31" i="16"/>
  <c r="F31" i="16"/>
  <c r="C31" i="16" s="1"/>
  <c r="E31" i="16"/>
  <c r="B31" i="16" s="1"/>
  <c r="G30" i="16"/>
  <c r="F30" i="16"/>
  <c r="C30" i="16" s="1"/>
  <c r="E30" i="16"/>
  <c r="H30" i="16" s="1"/>
  <c r="G29" i="16"/>
  <c r="F29" i="16"/>
  <c r="C29" i="16" s="1"/>
  <c r="E29" i="16"/>
  <c r="B29" i="16" s="1"/>
  <c r="G28" i="16"/>
  <c r="F28" i="16"/>
  <c r="C28" i="16" s="1"/>
  <c r="E28" i="16"/>
  <c r="B28" i="16" s="1"/>
  <c r="G27" i="16"/>
  <c r="F27" i="16"/>
  <c r="C27" i="16" s="1"/>
  <c r="E27" i="16"/>
  <c r="B27" i="16" s="1"/>
  <c r="G26" i="16"/>
  <c r="F26" i="16"/>
  <c r="C26" i="16" s="1"/>
  <c r="E26" i="16"/>
  <c r="H26" i="16" s="1"/>
  <c r="G25" i="16"/>
  <c r="F25" i="16"/>
  <c r="C25" i="16" s="1"/>
  <c r="E25" i="16"/>
  <c r="H25" i="16" s="1"/>
  <c r="G24" i="16"/>
  <c r="F24" i="16"/>
  <c r="C24" i="16" s="1"/>
  <c r="E24" i="16"/>
  <c r="H24" i="16" s="1"/>
  <c r="G23" i="16"/>
  <c r="F23" i="16"/>
  <c r="C23" i="16" s="1"/>
  <c r="E23" i="16"/>
  <c r="B23" i="16" s="1"/>
  <c r="G22" i="16"/>
  <c r="F22" i="16"/>
  <c r="C22" i="16" s="1"/>
  <c r="E22" i="16"/>
  <c r="G21" i="16"/>
  <c r="F21" i="16"/>
  <c r="C21" i="16" s="1"/>
  <c r="E21" i="16"/>
  <c r="B21" i="16" s="1"/>
  <c r="E4" i="16"/>
  <c r="E3" i="16"/>
  <c r="G5" i="16"/>
  <c r="F5" i="16"/>
  <c r="E5" i="16"/>
  <c r="F14" i="16"/>
  <c r="F7" i="16"/>
  <c r="F6" i="16"/>
  <c r="F4" i="16"/>
  <c r="F3" i="16"/>
  <c r="W1" i="1"/>
  <c r="X1" i="1"/>
  <c r="E14" i="16"/>
  <c r="G13" i="16"/>
  <c r="G12" i="16"/>
  <c r="G11" i="16"/>
  <c r="G10" i="16"/>
  <c r="G9" i="16"/>
  <c r="G8" i="16"/>
  <c r="G7" i="16"/>
  <c r="G6" i="16"/>
  <c r="G4" i="16"/>
  <c r="G3" i="16"/>
  <c r="G2" i="16"/>
  <c r="F2" i="16"/>
  <c r="E2" i="16"/>
  <c r="F9" i="16"/>
  <c r="F8" i="16"/>
  <c r="F10" i="16"/>
  <c r="E10" i="16"/>
  <c r="F13" i="16"/>
  <c r="F12" i="16"/>
  <c r="F11" i="16"/>
  <c r="E13" i="16"/>
  <c r="E12" i="16"/>
  <c r="E11" i="16"/>
  <c r="E9" i="16"/>
  <c r="E8" i="16"/>
  <c r="E7" i="16"/>
  <c r="E6" i="16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4" i="7"/>
  <c r="B5" i="7"/>
  <c r="B6" i="7"/>
  <c r="B3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49" i="16" l="1"/>
  <c r="H38" i="16"/>
  <c r="H37" i="16"/>
  <c r="H41" i="16"/>
  <c r="H45" i="16"/>
  <c r="B49" i="16"/>
  <c r="H39" i="16"/>
  <c r="H43" i="16"/>
  <c r="H47" i="16"/>
  <c r="H21" i="16"/>
  <c r="H28" i="16"/>
  <c r="B25" i="16"/>
  <c r="H22" i="16"/>
  <c r="B24" i="16"/>
  <c r="H2" i="16"/>
  <c r="B30" i="16"/>
  <c r="B22" i="16"/>
  <c r="B33" i="16" s="1"/>
  <c r="B26" i="16"/>
  <c r="C33" i="16"/>
  <c r="H29" i="16"/>
  <c r="H23" i="16"/>
  <c r="H33" i="16" s="1"/>
  <c r="H27" i="16"/>
  <c r="H31" i="16"/>
  <c r="H3" i="16"/>
  <c r="H5" i="16"/>
  <c r="H6" i="16"/>
  <c r="F15" i="16"/>
  <c r="H13" i="16"/>
  <c r="H4" i="16"/>
  <c r="H11" i="16"/>
  <c r="H12" i="16"/>
  <c r="H10" i="16"/>
  <c r="H9" i="16"/>
  <c r="H8" i="16"/>
  <c r="H7" i="16"/>
  <c r="H49" i="16" l="1"/>
  <c r="H14" i="16"/>
  <c r="C8" i="16" l="1"/>
  <c r="B5" i="16"/>
  <c r="C5" i="16"/>
  <c r="B11" i="16"/>
  <c r="B3" i="16"/>
  <c r="B12" i="16"/>
  <c r="C11" i="16"/>
  <c r="B13" i="16"/>
  <c r="C3" i="16"/>
  <c r="B9" i="16"/>
  <c r="C13" i="16"/>
  <c r="B7" i="16"/>
  <c r="C12" i="16"/>
  <c r="C7" i="16"/>
  <c r="C2" i="16"/>
  <c r="C6" i="16"/>
  <c r="C4" i="16"/>
  <c r="B10" i="16"/>
  <c r="B8" i="16"/>
  <c r="C10" i="16"/>
  <c r="B4" i="16"/>
  <c r="B2" i="16"/>
  <c r="B6" i="16"/>
  <c r="C9" i="16"/>
  <c r="B14" i="16" l="1"/>
  <c r="C14" i="16"/>
</calcChain>
</file>

<file path=xl/sharedStrings.xml><?xml version="1.0" encoding="utf-8"?>
<sst xmlns="http://schemas.openxmlformats.org/spreadsheetml/2006/main" count="33086" uniqueCount="8415">
  <si>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</si>
  <si>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</si>
  <si>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</si>
  <si>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</si>
  <si>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</si>
  <si>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</si>
  <si>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</si>
  <si>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</si>
  <si>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</si>
  <si>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</si>
  <si>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</si>
  <si>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</si>
  <si>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</si>
  <si>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</si>
  <si>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</si>
  <si>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</si>
  <si>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</si>
  <si>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</si>
  <si>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</si>
  <si>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</si>
  <si>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</si>
  <si>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</si>
  <si>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</si>
  <si>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</si>
  <si>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</si>
  <si>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</si>
  <si>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</si>
  <si>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</si>
  <si>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</si>
  <si>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</si>
  <si>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</si>
  <si>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</si>
  <si>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</si>
  <si>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</si>
  <si>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</si>
  <si>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</si>
  <si>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</si>
  <si>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</si>
  <si>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</si>
  <si>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</si>
  <si>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</si>
  <si>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</si>
  <si>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</si>
  <si>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</si>
  <si>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</si>
  <si>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</si>
  <si>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</si>
  <si>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</si>
  <si>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</si>
  <si>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</si>
  <si>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</si>
  <si>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</si>
  <si>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</si>
  <si>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</si>
  <si>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</si>
  <si>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</si>
  <si>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</si>
  <si>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</si>
  <si>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</si>
  <si>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</si>
  <si>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</si>
  <si>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</si>
  <si>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</si>
  <si>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</si>
  <si>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</si>
  <si>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</si>
  <si>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</si>
  <si>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</si>
  <si>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</si>
  <si>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</si>
  <si>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</si>
  <si>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</si>
  <si>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</si>
  <si>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</si>
  <si>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</si>
  <si>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</si>
  <si>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</si>
  <si>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</si>
  <si>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</si>
  <si>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</si>
  <si>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</si>
  <si>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</si>
  <si>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</si>
  <si>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</si>
  <si>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</si>
  <si>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</si>
  <si>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</si>
  <si>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</si>
  <si>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</si>
  <si>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</si>
  <si>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</si>
  <si>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</si>
  <si>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</si>
  <si>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</si>
  <si>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</si>
  <si>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</si>
  <si>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</si>
  <si>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</si>
  <si>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</si>
  <si>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</si>
  <si>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</si>
  <si>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</si>
  <si>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</si>
  <si>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</si>
  <si>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</si>
  <si>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</si>
  <si>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</si>
  <si>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</si>
  <si>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</si>
  <si>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</si>
  <si>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</si>
  <si>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</si>
  <si>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</si>
  <si>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</si>
  <si>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</si>
  <si>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</si>
  <si>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</si>
  <si>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</si>
  <si>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</si>
  <si>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</si>
  <si>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</si>
  <si>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</si>
  <si>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</si>
  <si>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</si>
  <si>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</si>
  <si>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</si>
  <si>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</si>
  <si>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</si>
  <si>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</si>
  <si>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</si>
  <si>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</si>
  <si>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</si>
  <si>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</si>
  <si>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</si>
  <si>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</si>
  <si>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</si>
  <si>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</si>
  <si>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</si>
  <si>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</si>
  <si>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</si>
  <si>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</si>
  <si>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</si>
  <si>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</si>
  <si>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</si>
  <si>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</si>
  <si>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</si>
  <si>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</si>
  <si>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</si>
  <si>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</si>
  <si>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</si>
  <si>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</si>
  <si>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</si>
  <si>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</si>
  <si>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</si>
  <si>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</si>
  <si>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</si>
  <si>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</si>
  <si>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</si>
  <si>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</si>
  <si>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</si>
  <si>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</si>
  <si>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</si>
  <si>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</si>
  <si>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</si>
  <si>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</si>
  <si>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</si>
  <si>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</si>
  <si>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</si>
  <si>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</si>
  <si>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</si>
  <si>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</si>
  <si>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</si>
  <si>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</si>
  <si>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</si>
  <si>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</si>
  <si>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</si>
  <si>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</si>
  <si>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</si>
  <si>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</si>
  <si>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</si>
  <si>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</si>
  <si>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</si>
  <si>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</si>
  <si>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</si>
  <si>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</si>
  <si>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</si>
  <si>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</si>
  <si>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</si>
  <si>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</si>
  <si>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</si>
  <si>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</si>
  <si>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</si>
  <si>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</si>
  <si>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</si>
  <si>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</si>
  <si>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</si>
  <si>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</si>
  <si>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</si>
  <si>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</si>
  <si>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</si>
  <si>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</si>
  <si>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</si>
  <si>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</si>
  <si>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</si>
  <si>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</si>
  <si>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</si>
  <si>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</si>
  <si>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</si>
  <si>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</si>
  <si>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</si>
  <si>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</si>
  <si>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</si>
  <si>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</si>
  <si>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</si>
  <si>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</si>
  <si>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</si>
  <si>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</si>
  <si>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</si>
  <si>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</si>
  <si>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</si>
  <si>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</si>
  <si>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</si>
  <si>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</si>
  <si>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</si>
  <si>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</si>
  <si>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</si>
  <si>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</si>
  <si>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</si>
  <si>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</si>
  <si>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</si>
  <si>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</si>
  <si>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</si>
  <si>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</si>
  <si>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</si>
  <si>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</si>
  <si>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</si>
  <si>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</si>
  <si>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</si>
  <si>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</si>
  <si>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</si>
  <si>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</si>
  <si>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</si>
  <si>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</si>
  <si>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</si>
  <si>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</si>
  <si>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</si>
  <si>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</si>
  <si>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</si>
  <si>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</si>
  <si>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</si>
  <si>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</si>
  <si>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</si>
  <si>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</si>
  <si>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</si>
  <si>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</si>
  <si>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</si>
  <si>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</si>
  <si>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</si>
  <si>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</si>
  <si>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</si>
  <si>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</si>
  <si>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</si>
  <si>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</si>
  <si>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</si>
  <si>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</si>
  <si>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</si>
  <si>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</si>
  <si>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</si>
  <si>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</si>
  <si>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</si>
  <si>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</si>
  <si>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</si>
  <si>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</si>
  <si>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</si>
  <si>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</si>
  <si>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</si>
  <si>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</si>
  <si>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</si>
  <si>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</si>
  <si>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</si>
  <si>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</si>
  <si>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</si>
  <si>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</si>
  <si>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</si>
  <si>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</si>
  <si>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</si>
  <si>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</si>
  <si>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</si>
  <si>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</si>
  <si>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</si>
  <si>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</si>
  <si>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</si>
  <si>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</si>
  <si>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</si>
  <si>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</si>
  <si>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</si>
  <si>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</si>
  <si>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</si>
  <si>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</si>
  <si>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</si>
  <si>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</si>
  <si>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</si>
  <si>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</si>
  <si>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</si>
  <si>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</si>
  <si>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</si>
  <si>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</si>
  <si>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</si>
  <si>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</si>
  <si>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</si>
  <si>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</si>
  <si>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</si>
  <si>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</si>
  <si>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</si>
  <si>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</si>
  <si>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</si>
  <si>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</si>
  <si>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</si>
  <si>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</si>
  <si>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</si>
  <si>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</si>
  <si>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</si>
  <si>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</si>
  <si>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</si>
  <si>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</si>
  <si>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</si>
  <si>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</si>
  <si>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</si>
  <si>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</si>
  <si>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</si>
  <si>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</si>
  <si>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</si>
  <si>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</si>
  <si>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</si>
  <si>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</si>
  <si>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</si>
  <si>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</si>
  <si>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</si>
  <si>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</si>
  <si>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</si>
  <si>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</si>
  <si>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</si>
  <si>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</si>
  <si>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</si>
  <si>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</si>
  <si>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</si>
  <si>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</si>
  <si>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</si>
  <si>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</si>
  <si>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</si>
  <si>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</si>
  <si>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</si>
  <si>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</si>
  <si>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</si>
  <si>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</si>
  <si>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</si>
  <si>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</si>
  <si>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</si>
  <si>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</si>
  <si>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</si>
  <si>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</si>
  <si>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</si>
  <si>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</si>
  <si>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</si>
  <si>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</si>
  <si>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</si>
  <si>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</si>
  <si>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</si>
  <si>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</si>
  <si>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</si>
  <si>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</si>
  <si>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</si>
  <si>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</si>
  <si>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</si>
  <si>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</si>
  <si>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</si>
  <si>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</si>
  <si>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</si>
  <si>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</si>
  <si>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</si>
  <si>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</si>
  <si>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</si>
  <si>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</si>
  <si>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</si>
  <si>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</si>
  <si>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</si>
  <si>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</si>
  <si>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</si>
  <si>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</si>
  <si>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</si>
  <si>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</si>
  <si>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</si>
  <si>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</si>
  <si>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</si>
  <si>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</si>
  <si>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</si>
  <si>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</si>
  <si>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</si>
  <si>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</si>
  <si>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</si>
  <si>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</si>
  <si>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</si>
  <si>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</si>
  <si>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</si>
  <si>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</si>
  <si>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</si>
  <si>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</si>
  <si>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</si>
  <si>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</si>
  <si>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</si>
  <si>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</si>
  <si>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</si>
  <si>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</si>
  <si>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</si>
  <si>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</si>
  <si>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</si>
  <si>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</si>
  <si>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</si>
  <si>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</si>
  <si>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</si>
  <si>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</si>
  <si>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</si>
  <si>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</si>
  <si>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</si>
  <si>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</si>
  <si>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</si>
  <si>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</si>
  <si>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</si>
  <si>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</si>
  <si>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</si>
  <si>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</si>
  <si>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</si>
  <si>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</si>
  <si>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</si>
  <si>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</si>
  <si>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</si>
  <si>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</si>
  <si>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</si>
  <si>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</si>
  <si>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</si>
  <si>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</si>
  <si>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</si>
  <si>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</si>
  <si>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</si>
  <si>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</si>
  <si>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</si>
  <si>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</si>
  <si>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</si>
  <si>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</si>
  <si>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</si>
  <si>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</si>
  <si>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</si>
  <si>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</si>
  <si>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</si>
  <si>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</si>
  <si>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</si>
  <si>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</si>
  <si>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</si>
  <si>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</si>
  <si>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</si>
  <si>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</si>
  <si>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</si>
  <si>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</si>
  <si>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</si>
  <si>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</si>
  <si>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</si>
  <si>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</si>
  <si>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</si>
  <si>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</si>
  <si>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</si>
  <si>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</si>
  <si>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</si>
  <si>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</si>
  <si>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</si>
  <si>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</si>
  <si>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</si>
  <si>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</si>
  <si>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</si>
  <si>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</si>
  <si>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</si>
  <si>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</si>
  <si>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</si>
  <si>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</si>
  <si>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</si>
  <si>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</si>
  <si>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</si>
  <si>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</si>
  <si>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</si>
  <si>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</si>
  <si>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</si>
  <si>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</si>
  <si>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</si>
  <si>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</si>
  <si>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</si>
  <si>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</si>
  <si>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</si>
  <si>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</si>
  <si>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</si>
  <si>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</si>
  <si>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</si>
  <si>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</si>
  <si>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</si>
  <si>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</si>
  <si>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</si>
  <si>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</si>
  <si>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</si>
  <si>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</si>
  <si>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</si>
  <si>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</si>
  <si>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</si>
  <si>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</si>
  <si>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</si>
  <si>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</si>
  <si>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</si>
  <si>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</si>
  <si>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</si>
  <si>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</si>
  <si>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</si>
  <si>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</si>
  <si>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</si>
  <si>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</si>
  <si>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</si>
  <si>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</si>
  <si>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</si>
  <si>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</si>
  <si>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</si>
  <si>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</si>
  <si>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</si>
  <si>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</si>
  <si>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</si>
  <si>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</si>
  <si>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</si>
  <si>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</si>
  <si>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</si>
  <si>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</si>
  <si>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</si>
  <si>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</si>
  <si>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</si>
  <si>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</si>
  <si>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</si>
  <si>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</si>
  <si>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</si>
  <si>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</si>
  <si>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</si>
  <si>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</si>
  <si>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</si>
  <si>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</si>
  <si>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</si>
  <si>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</si>
  <si>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</si>
  <si>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</si>
  <si>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</si>
  <si>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</si>
  <si>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</si>
  <si>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</si>
  <si>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</si>
  <si>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</si>
  <si>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</si>
  <si>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</si>
  <si>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</si>
  <si>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</si>
  <si>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</si>
  <si>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</si>
  <si>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</si>
  <si>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</si>
  <si>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</si>
  <si>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</si>
  <si>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</si>
  <si>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</si>
  <si>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</si>
  <si>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</si>
  <si>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</si>
  <si>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</si>
  <si>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</si>
  <si>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</si>
  <si>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</si>
  <si>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</si>
  <si>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</si>
  <si>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</si>
  <si>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</si>
  <si>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</si>
  <si>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</si>
  <si>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</si>
  <si>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</si>
  <si>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</si>
  <si>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</si>
  <si>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</si>
  <si>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</si>
  <si>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</si>
  <si>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</si>
  <si>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</si>
  <si>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</si>
  <si>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</si>
  <si>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</si>
  <si>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</si>
  <si>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</si>
  <si>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</si>
  <si>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</si>
  <si>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</si>
  <si>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</si>
  <si>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</si>
  <si>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</si>
  <si>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</si>
  <si>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</si>
  <si>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</si>
  <si>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</si>
  <si>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</si>
  <si>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</si>
  <si>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</si>
  <si>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</si>
  <si>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</si>
  <si>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</si>
  <si>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</si>
  <si>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</si>
  <si>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</si>
  <si>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</si>
  <si>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</si>
  <si>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</si>
  <si>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</si>
  <si>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</si>
  <si>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</si>
  <si>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</si>
  <si>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</si>
  <si>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</si>
  <si>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</si>
  <si>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</si>
  <si>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</si>
  <si>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</si>
  <si>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</si>
  <si>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</si>
  <si>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</si>
  <si>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</si>
  <si>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</si>
  <si>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</si>
  <si>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</si>
  <si>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</si>
  <si>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</si>
  <si>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</si>
  <si>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</si>
  <si>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</si>
  <si>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</si>
  <si>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</si>
  <si>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</si>
  <si>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</si>
  <si>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</si>
  <si>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</si>
  <si>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</si>
  <si>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</si>
  <si>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</si>
  <si>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</si>
  <si>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</si>
  <si>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</si>
  <si>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</si>
  <si>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</si>
  <si>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</si>
  <si>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</si>
  <si>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</si>
  <si>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</si>
  <si>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</si>
  <si>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</si>
  <si>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</si>
  <si>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</si>
  <si>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</si>
  <si>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</si>
  <si>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</si>
  <si>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</si>
  <si>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</si>
  <si>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</si>
  <si>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</si>
  <si>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</si>
  <si>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</si>
  <si>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</si>
  <si>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</si>
  <si>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</si>
  <si>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</si>
  <si>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</si>
  <si>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</si>
  <si>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</si>
  <si>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</si>
  <si>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</si>
  <si>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</si>
  <si>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</si>
  <si>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</si>
  <si>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</si>
  <si>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</si>
  <si>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</si>
  <si>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</si>
  <si>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</si>
  <si>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</si>
  <si>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</si>
  <si>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</si>
  <si>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</si>
  <si>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</si>
  <si>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</si>
  <si>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</si>
  <si>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</si>
  <si>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</si>
  <si>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</si>
  <si>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</si>
  <si>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</si>
  <si>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</si>
  <si>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</si>
  <si>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</si>
  <si>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</si>
  <si>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</si>
  <si>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</si>
  <si>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</si>
  <si>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</si>
  <si>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</si>
  <si>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</si>
  <si>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</si>
  <si>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</si>
  <si>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</si>
  <si>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</si>
  <si>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</si>
  <si>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</si>
  <si>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</si>
  <si>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</si>
  <si>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</si>
  <si>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</si>
  <si>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</si>
  <si>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</si>
  <si>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</si>
  <si>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</si>
  <si>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</si>
  <si>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</si>
  <si>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</si>
  <si>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</si>
  <si>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</si>
  <si>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</si>
  <si>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</si>
  <si>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</si>
  <si>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</si>
  <si>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</si>
  <si>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</si>
  <si>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</si>
  <si>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</si>
  <si>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</si>
  <si>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</si>
  <si>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</si>
  <si>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</si>
  <si>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</si>
  <si>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</si>
  <si>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</si>
  <si>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</si>
  <si>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</si>
  <si>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</si>
  <si>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</si>
  <si>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</si>
  <si>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</si>
  <si>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</si>
  <si>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</si>
  <si>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</si>
  <si>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</si>
  <si>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</si>
  <si>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</si>
  <si>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</si>
  <si>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</si>
  <si>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</si>
  <si>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</si>
  <si>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</si>
  <si>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</si>
  <si>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</si>
  <si>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</si>
  <si>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</si>
  <si>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</si>
  <si>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</si>
  <si>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</si>
  <si>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</si>
  <si>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</si>
  <si>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</si>
  <si>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</si>
  <si>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</si>
  <si>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</si>
  <si>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</si>
  <si>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</si>
  <si>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</si>
  <si>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</si>
  <si>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</si>
  <si>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</si>
  <si>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</si>
  <si>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</si>
  <si>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</si>
  <si>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</si>
  <si>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</si>
  <si>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</si>
  <si>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</si>
  <si>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</si>
  <si>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</si>
  <si>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</si>
  <si>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</si>
  <si>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</si>
  <si>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</si>
  <si>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</si>
  <si>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</si>
  <si>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</si>
  <si>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</si>
  <si>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</si>
  <si>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</si>
  <si>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</si>
  <si>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</si>
  <si>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</si>
  <si>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</si>
  <si>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</si>
  <si>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</si>
  <si>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</si>
  <si>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</si>
  <si>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</si>
  <si>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</si>
  <si>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</si>
  <si>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</si>
  <si>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</si>
  <si>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</si>
  <si>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</si>
  <si>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</si>
  <si>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</si>
  <si>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</si>
  <si>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</si>
  <si>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</si>
  <si>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</si>
  <si>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</si>
  <si>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</si>
  <si>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</si>
  <si>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</si>
  <si>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</si>
  <si>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</si>
  <si>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</si>
  <si>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</si>
  <si>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</si>
  <si>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</si>
  <si>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</si>
  <si>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</si>
  <si>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</si>
  <si>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</si>
  <si>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</si>
  <si>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</si>
  <si>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</si>
  <si>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</si>
  <si>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</si>
  <si>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</si>
  <si>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</si>
  <si>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</si>
  <si>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</si>
  <si>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</si>
  <si>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</si>
  <si>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</si>
  <si>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</si>
  <si>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</si>
  <si>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</si>
  <si>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</si>
  <si>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</si>
  <si>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</si>
  <si>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</si>
  <si>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</si>
  <si>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</si>
  <si>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</si>
  <si>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</si>
  <si>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</si>
  <si>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</si>
  <si>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</si>
  <si>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</si>
  <si>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</si>
  <si>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</si>
  <si>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</si>
  <si>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</si>
  <si>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</si>
  <si>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</si>
  <si>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</si>
  <si>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</si>
  <si>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</si>
  <si>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</si>
  <si>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</si>
  <si>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</si>
  <si>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</si>
  <si>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</si>
  <si>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</si>
  <si>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</si>
  <si>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</si>
  <si>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</si>
  <si>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</si>
  <si>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</si>
  <si>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</si>
  <si>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</si>
  <si>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</si>
  <si>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</si>
  <si>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</si>
  <si>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</si>
  <si>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</si>
  <si>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</si>
  <si>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</si>
  <si>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</si>
  <si>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</si>
  <si>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</si>
  <si>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</si>
  <si>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</si>
  <si>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</si>
  <si>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</si>
  <si>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</si>
  <si>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</si>
  <si>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</si>
  <si>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</si>
  <si>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</si>
  <si>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</si>
  <si>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</si>
  <si>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</si>
  <si>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</si>
  <si>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</si>
  <si>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</si>
  <si>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</si>
  <si>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</si>
  <si>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</si>
  <si>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</si>
  <si>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</si>
  <si>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</si>
  <si>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</si>
  <si>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</si>
  <si>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</si>
  <si>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</si>
  <si>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</si>
  <si>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</si>
  <si>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</si>
  <si>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</si>
  <si>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</si>
  <si>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</si>
  <si>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</si>
  <si>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</si>
  <si>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</si>
  <si>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</si>
  <si>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</si>
  <si>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</si>
  <si>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</si>
  <si>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</si>
  <si>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</si>
  <si>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</si>
  <si>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</si>
  <si>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</si>
  <si>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</si>
  <si>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</si>
  <si>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</si>
  <si>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</si>
  <si>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</si>
  <si>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</si>
  <si>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</si>
  <si>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</si>
  <si>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</si>
  <si>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</si>
  <si>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</si>
  <si>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</si>
  <si>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</si>
  <si>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</si>
  <si>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</si>
  <si>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</si>
  <si>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</si>
  <si>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</si>
  <si>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</si>
  <si>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</si>
  <si>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</si>
  <si>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</si>
  <si>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</si>
  <si>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</si>
  <si>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</si>
  <si>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</si>
  <si>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</si>
  <si>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</si>
  <si>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</si>
  <si>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</si>
  <si>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</si>
  <si>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</si>
  <si>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</si>
  <si>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</si>
  <si>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</si>
  <si>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</si>
  <si>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</si>
  <si>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</si>
  <si>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</si>
  <si>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</si>
  <si>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</si>
  <si>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</si>
  <si>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</si>
  <si>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</si>
  <si>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</si>
  <si>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</si>
  <si>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</si>
  <si>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</si>
  <si>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</si>
  <si>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</si>
  <si>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</si>
  <si>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</si>
  <si>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</si>
  <si>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</si>
  <si>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</si>
  <si>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</si>
  <si>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</si>
  <si>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</si>
  <si>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</si>
  <si>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</si>
  <si>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</si>
  <si>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</si>
  <si>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</si>
  <si>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</si>
  <si>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</si>
  <si>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</si>
  <si>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</si>
  <si>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</si>
  <si>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</si>
  <si>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</si>
  <si>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</si>
  <si>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</si>
  <si>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</si>
  <si>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</si>
  <si>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</si>
  <si>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</si>
  <si>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</si>
  <si>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</si>
  <si>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</si>
  <si>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</si>
  <si>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</si>
  <si>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</si>
  <si>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</si>
  <si>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</si>
  <si>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</si>
  <si>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</si>
  <si>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</si>
  <si>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</si>
  <si>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</si>
  <si>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</si>
  <si>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</si>
  <si>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</si>
  <si>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</si>
  <si>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</si>
  <si>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</si>
  <si>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</si>
  <si>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</si>
  <si>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</si>
  <si>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</si>
  <si>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</si>
  <si>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</si>
  <si>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</si>
  <si>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</si>
  <si>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</si>
  <si>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</si>
  <si>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</si>
  <si>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</si>
  <si>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</si>
  <si>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</si>
  <si>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</si>
  <si>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</si>
  <si>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</si>
  <si>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</si>
  <si>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</si>
  <si>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</si>
  <si>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</si>
  <si>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</si>
  <si>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</si>
  <si>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</si>
  <si>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</si>
  <si>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</si>
  <si>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</si>
  <si>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</si>
  <si>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</si>
  <si>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</si>
  <si>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</si>
  <si>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</si>
  <si>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</si>
  <si>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</si>
  <si>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</si>
  <si>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</si>
  <si>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</si>
  <si>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</si>
  <si>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</si>
  <si>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</si>
  <si>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</si>
  <si>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</si>
  <si>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</si>
  <si>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</si>
  <si>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</si>
  <si>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</si>
  <si>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</si>
  <si>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</si>
  <si>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</si>
  <si>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</si>
  <si>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</si>
  <si>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</si>
  <si>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</si>
  <si>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</si>
  <si>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</si>
  <si>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</si>
  <si>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</si>
  <si>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</si>
  <si>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</si>
  <si>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</si>
  <si>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</si>
  <si>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</si>
  <si>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</si>
  <si>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</si>
  <si>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</si>
  <si>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</si>
  <si>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</si>
  <si>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</si>
  <si>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</si>
  <si>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</si>
  <si>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</si>
  <si>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</si>
  <si>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</si>
  <si>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</si>
  <si>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</si>
  <si>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</si>
  <si>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</si>
  <si>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</si>
  <si>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</si>
  <si>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</si>
  <si>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</si>
  <si>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</si>
  <si>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</si>
  <si>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</si>
  <si>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</si>
  <si>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</si>
  <si>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</si>
  <si>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</si>
  <si>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</si>
  <si>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</si>
  <si>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</si>
  <si>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</si>
  <si>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</si>
  <si>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</si>
  <si>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</si>
  <si>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</si>
  <si>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</si>
  <si>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</si>
  <si>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</si>
  <si>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</si>
  <si>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</si>
  <si>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</si>
  <si>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</si>
  <si>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</si>
  <si>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</si>
  <si>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</si>
  <si>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</si>
  <si>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</si>
  <si>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</si>
  <si>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</si>
  <si>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</si>
  <si>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</si>
  <si>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</si>
  <si>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</si>
  <si>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</si>
  <si>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</si>
  <si>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</si>
  <si>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</si>
  <si>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</si>
  <si>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</si>
  <si>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</si>
  <si>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</si>
  <si>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</si>
  <si>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</si>
  <si>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</si>
  <si>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</si>
  <si>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</si>
  <si>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</si>
  <si>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</si>
  <si>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</si>
  <si>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</si>
  <si>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</si>
  <si>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</si>
  <si>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</si>
  <si>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</si>
  <si>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</si>
  <si>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</si>
  <si>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</si>
  <si>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</si>
  <si>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</si>
  <si>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</si>
  <si>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</si>
  <si>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</si>
  <si>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</si>
  <si>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</si>
  <si>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</si>
  <si>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</si>
  <si>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</si>
  <si>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</si>
  <si>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</si>
  <si>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</si>
  <si>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</si>
  <si>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</si>
  <si>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</si>
  <si>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</si>
  <si>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</si>
  <si>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</si>
  <si>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</si>
  <si>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</si>
  <si>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</si>
  <si>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</si>
  <si>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</si>
  <si>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</si>
  <si>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</si>
  <si>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</si>
  <si>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</si>
  <si>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</si>
  <si>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</si>
  <si>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</si>
  <si>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</si>
  <si>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</si>
  <si>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</si>
  <si>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</si>
  <si>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</si>
  <si>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</si>
  <si>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</si>
  <si>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</si>
  <si>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</si>
  <si>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</si>
  <si>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</si>
  <si>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</si>
  <si>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</si>
  <si>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</si>
  <si>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</si>
  <si>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</si>
  <si>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</si>
  <si>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</si>
  <si>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</si>
  <si>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</si>
  <si>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</si>
  <si>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</si>
  <si>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</si>
  <si>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</si>
  <si>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</si>
  <si>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</si>
  <si>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</si>
  <si>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</si>
  <si>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</si>
  <si>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</si>
  <si>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</si>
  <si>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</si>
  <si>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</si>
  <si>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</si>
  <si>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</si>
  <si>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</si>
  <si>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</si>
  <si>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</si>
  <si>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</si>
  <si>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</si>
  <si>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</si>
  <si>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</si>
  <si>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</si>
  <si>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</si>
  <si>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</si>
  <si>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</si>
  <si>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</si>
  <si>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</si>
  <si>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</si>
  <si>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</si>
  <si>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</si>
  <si>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</si>
  <si>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</si>
  <si>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</si>
  <si>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</si>
  <si>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</si>
  <si>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</si>
  <si>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</si>
  <si>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</si>
  <si>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</si>
  <si>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</si>
  <si>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</si>
  <si>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</si>
  <si>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</si>
  <si>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</si>
  <si>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</si>
  <si>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</si>
  <si>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</si>
  <si>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</si>
  <si>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</si>
  <si>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</si>
  <si>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</si>
  <si>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</si>
  <si>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</si>
  <si>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</si>
  <si>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</si>
  <si>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</si>
  <si>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</si>
  <si>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</si>
  <si>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</si>
  <si>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</si>
  <si>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</si>
  <si>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</si>
  <si>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</si>
  <si>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</si>
  <si>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</si>
  <si>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</si>
  <si>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</si>
  <si>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</si>
  <si>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</si>
  <si>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</si>
  <si>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</si>
  <si>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</si>
  <si>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</si>
  <si>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</si>
  <si>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</si>
  <si>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</si>
  <si>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</si>
  <si>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</si>
  <si>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</si>
  <si>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</si>
  <si>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</si>
  <si>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</si>
  <si>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</si>
  <si>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</si>
  <si>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</si>
  <si>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</si>
  <si>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</si>
  <si>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</si>
  <si>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</si>
  <si>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</si>
  <si>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</si>
  <si>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</si>
  <si>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</si>
  <si>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</si>
  <si>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</si>
  <si>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</si>
  <si>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</si>
  <si>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</si>
  <si>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</si>
  <si>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</si>
  <si>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</si>
  <si>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</si>
  <si>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</si>
  <si>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</si>
  <si>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</si>
  <si>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</si>
  <si>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</si>
  <si>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</si>
  <si>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</si>
  <si>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</si>
  <si>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</si>
  <si>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</si>
  <si>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</si>
  <si>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</si>
  <si>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</si>
  <si>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</si>
  <si>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</si>
  <si>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</si>
  <si>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</si>
  <si>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</si>
  <si>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</si>
  <si>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</si>
  <si>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</si>
  <si>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</si>
  <si>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</si>
  <si>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</si>
  <si>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</si>
  <si>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</si>
  <si>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</si>
  <si>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</si>
  <si>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</si>
  <si>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</si>
  <si>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</si>
  <si>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</si>
  <si>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</si>
  <si>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</si>
  <si>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</si>
  <si>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</si>
  <si>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</si>
  <si>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</si>
  <si>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</si>
  <si>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</si>
  <si>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</si>
  <si>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</si>
  <si>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</si>
  <si>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</si>
  <si>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</si>
  <si>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</si>
  <si>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</si>
  <si>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</si>
  <si>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</si>
  <si>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</si>
  <si>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</si>
  <si>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</si>
  <si>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</si>
  <si>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</si>
  <si>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</si>
  <si>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</si>
  <si>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</si>
  <si>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</si>
  <si>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</si>
  <si>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</si>
  <si>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</si>
  <si>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</si>
  <si>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</si>
  <si>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</si>
  <si>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</si>
  <si>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</si>
  <si>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</si>
  <si>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</si>
  <si>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</si>
  <si>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</si>
  <si>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</si>
  <si>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</si>
  <si>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</si>
  <si>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</si>
  <si>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</si>
  <si>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</si>
  <si>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</si>
  <si>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</si>
  <si>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</si>
  <si>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</si>
  <si>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</si>
  <si>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</si>
  <si>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</si>
  <si>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</si>
  <si>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</si>
  <si>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</si>
  <si>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</si>
  <si>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</si>
  <si>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</si>
  <si>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</si>
  <si>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</si>
  <si>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</si>
  <si>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</si>
  <si>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</si>
  <si>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</si>
  <si>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</si>
  <si>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</si>
  <si>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</si>
  <si>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</si>
  <si>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</si>
  <si>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</si>
  <si>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</si>
  <si>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</si>
  <si>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</si>
  <si>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</si>
  <si>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</si>
  <si>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</si>
  <si>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</si>
  <si>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</si>
  <si>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</si>
  <si>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</si>
  <si>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</si>
  <si>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</si>
  <si>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</si>
  <si>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</si>
  <si>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</si>
  <si>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</si>
  <si>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</si>
  <si>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</si>
  <si>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</si>
  <si>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</si>
  <si>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</si>
  <si>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</si>
  <si>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</si>
  <si>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</si>
  <si>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</si>
  <si>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</si>
  <si>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</si>
  <si>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</si>
  <si>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</si>
  <si>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</si>
  <si>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</si>
  <si>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</si>
  <si>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</si>
  <si>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</si>
  <si>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</si>
  <si>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</si>
  <si>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</si>
  <si>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</si>
  <si>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</si>
  <si>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</si>
  <si>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</si>
  <si>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</si>
  <si>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</si>
  <si>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</si>
  <si>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</si>
  <si>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</si>
  <si>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</si>
  <si>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</si>
  <si>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</si>
  <si>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</si>
  <si>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</si>
  <si>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</si>
  <si>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</si>
  <si>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</si>
  <si>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</si>
  <si>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</si>
  <si>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</si>
  <si>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</si>
  <si>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</si>
  <si>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</si>
  <si>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</si>
  <si>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</si>
  <si>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</si>
  <si>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</si>
  <si>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</si>
  <si>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</si>
  <si>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</si>
  <si>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</si>
  <si>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</si>
  <si>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</si>
  <si>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</si>
  <si>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</si>
  <si>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</si>
  <si>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</si>
  <si>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</si>
  <si>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</si>
  <si>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</si>
  <si>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</si>
  <si>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</si>
  <si>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</si>
  <si>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</si>
  <si>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</si>
  <si>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</si>
  <si>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</si>
  <si>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</si>
  <si>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</si>
  <si>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</si>
  <si>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</si>
  <si>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</si>
  <si>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</si>
  <si>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</si>
  <si>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</si>
  <si>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</si>
  <si>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</si>
  <si>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</si>
  <si>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</si>
  <si>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</si>
  <si>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</si>
  <si>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</si>
  <si>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</si>
  <si>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</si>
  <si>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</si>
  <si>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</si>
  <si>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</si>
  <si>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</si>
  <si>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</si>
  <si>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</si>
  <si>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</si>
  <si>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</si>
  <si>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</si>
  <si>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</si>
  <si>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</si>
  <si>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</si>
  <si>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</si>
  <si>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</si>
  <si>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</si>
  <si>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</si>
  <si>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</si>
  <si>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</si>
  <si>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</si>
  <si>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</si>
  <si>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</si>
  <si>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</si>
  <si>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</si>
  <si>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</si>
  <si>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</si>
  <si>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</si>
  <si>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</si>
  <si>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</si>
  <si>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</si>
  <si>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</si>
  <si>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</si>
  <si>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</si>
  <si>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</si>
  <si>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</si>
  <si>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</si>
  <si>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</si>
  <si>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</si>
  <si>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</si>
  <si>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</si>
  <si>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</si>
  <si>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</si>
  <si>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</si>
  <si>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</si>
  <si>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</si>
  <si>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</si>
  <si>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</si>
  <si>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</si>
  <si>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</si>
  <si>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</si>
  <si>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</si>
  <si>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</si>
  <si>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</si>
  <si>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</si>
  <si>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</si>
  <si>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</si>
  <si>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</si>
  <si>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</si>
  <si>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</si>
  <si>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</si>
  <si>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</si>
  <si>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</si>
  <si>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</si>
  <si>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</si>
  <si>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</si>
  <si>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</si>
  <si>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</si>
  <si>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</si>
  <si>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</si>
  <si>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</si>
  <si>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</si>
  <si>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</si>
  <si>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</si>
  <si>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</si>
  <si>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</si>
  <si>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</si>
  <si>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</si>
  <si>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</si>
  <si>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</si>
  <si>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</si>
  <si>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</si>
  <si>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</si>
  <si>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</si>
  <si>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</si>
  <si>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</si>
  <si>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</si>
  <si>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</si>
  <si>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</si>
  <si>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</si>
  <si>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</si>
  <si>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</si>
  <si>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</si>
  <si>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</si>
  <si>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</si>
  <si>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</si>
  <si>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</si>
  <si>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</si>
  <si>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</si>
  <si>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</si>
  <si>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</si>
  <si>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</si>
  <si>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</si>
  <si>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</si>
  <si>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</si>
  <si>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</si>
  <si>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</si>
  <si>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</si>
  <si>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</si>
  <si>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</si>
  <si>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</si>
  <si>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</si>
  <si>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</si>
  <si>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</si>
  <si>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</si>
  <si>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</si>
  <si>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</si>
  <si>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</si>
  <si>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</si>
  <si>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</si>
  <si>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</si>
  <si>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</si>
  <si>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</si>
  <si>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</si>
  <si>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</si>
  <si>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</si>
  <si>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</si>
  <si>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</si>
  <si>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</si>
  <si>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</si>
  <si>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</si>
  <si>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</si>
  <si>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</si>
  <si>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</si>
  <si>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</si>
  <si>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</si>
  <si>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</si>
  <si>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</si>
  <si>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</si>
  <si>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</si>
  <si>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</si>
  <si>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</si>
  <si>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</si>
  <si>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</si>
  <si>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</si>
  <si>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</si>
  <si>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</si>
  <si>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</si>
  <si>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</si>
  <si>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</si>
  <si>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</si>
  <si>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</si>
  <si>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</si>
  <si>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</si>
  <si>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</si>
  <si>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</si>
  <si>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</si>
  <si>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</si>
  <si>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</si>
  <si>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</si>
  <si>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</si>
  <si>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</si>
  <si>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</si>
  <si>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</si>
  <si>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</si>
  <si>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</si>
  <si>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</si>
  <si>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</si>
  <si>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</si>
  <si>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</si>
  <si>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</si>
  <si>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</si>
  <si>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</si>
  <si>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</si>
  <si>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</si>
  <si>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</si>
  <si>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</si>
  <si>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</si>
  <si>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</si>
  <si>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</si>
  <si>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</si>
  <si>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</si>
  <si>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</si>
  <si>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</si>
  <si>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</si>
  <si>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</si>
  <si>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</si>
  <si>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</si>
  <si>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</si>
  <si>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</si>
  <si>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</si>
  <si>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</si>
  <si>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</si>
  <si>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</si>
  <si>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</si>
  <si>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</si>
  <si>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</si>
  <si>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</si>
  <si>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</si>
  <si>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</si>
  <si>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</si>
  <si>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</si>
  <si>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</si>
  <si>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</si>
  <si>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</si>
  <si>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</si>
  <si>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</si>
  <si>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</si>
  <si>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</si>
  <si>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</si>
  <si>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</si>
  <si>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</si>
  <si>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</si>
  <si>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</si>
  <si>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</si>
  <si>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</si>
  <si>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</si>
  <si>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</si>
  <si>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</si>
  <si>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</si>
  <si>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</si>
  <si>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</si>
  <si>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</si>
  <si>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</si>
  <si>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</si>
  <si>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</si>
  <si>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</si>
  <si>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</si>
  <si>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</si>
  <si>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</si>
  <si>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</si>
  <si>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</si>
  <si>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</si>
  <si>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</si>
  <si>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</si>
  <si>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</si>
  <si>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</si>
  <si>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</si>
  <si>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</si>
  <si>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</si>
  <si>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</si>
  <si>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</si>
  <si>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</si>
  <si>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</si>
  <si>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</si>
  <si>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</si>
  <si>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</si>
  <si>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</si>
  <si>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</si>
  <si>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</si>
  <si>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</si>
  <si>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</si>
  <si>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</si>
  <si>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</si>
  <si>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</si>
  <si>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</si>
  <si>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</si>
  <si>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</si>
  <si>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</si>
  <si>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</si>
  <si>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</si>
  <si>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</si>
  <si>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</si>
  <si>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</si>
  <si>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</si>
  <si>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</si>
  <si>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</si>
  <si>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</si>
  <si>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</si>
  <si>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</si>
  <si>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</si>
  <si>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</si>
  <si>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</si>
  <si>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</si>
  <si>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</si>
  <si>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</si>
  <si>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</si>
  <si>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</si>
  <si>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</si>
  <si>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</si>
  <si>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</si>
  <si>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</si>
  <si>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</si>
  <si>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</si>
  <si>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</si>
  <si>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</si>
  <si>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</si>
  <si>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</si>
  <si>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</si>
  <si>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</si>
  <si>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</si>
  <si>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</si>
  <si>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</si>
  <si>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</si>
  <si>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</si>
  <si>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</si>
  <si>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</si>
  <si>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</si>
  <si>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</si>
  <si>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</si>
  <si>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</si>
  <si>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</si>
  <si>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</si>
  <si>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</si>
  <si>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</si>
  <si>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</si>
  <si>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</si>
  <si>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</si>
  <si>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</si>
  <si>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</si>
  <si>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</si>
  <si>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</si>
  <si>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</si>
  <si>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</si>
  <si>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</si>
  <si>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</si>
  <si>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</si>
  <si>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</si>
  <si>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</si>
  <si>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</si>
  <si>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</si>
  <si>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</si>
  <si>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</si>
  <si>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</si>
  <si>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</si>
  <si>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</si>
  <si>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</si>
  <si>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</si>
  <si>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</si>
  <si>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</si>
  <si>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</si>
  <si>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</si>
  <si>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</si>
  <si>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</si>
  <si>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</si>
  <si>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</si>
  <si>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</si>
  <si>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</si>
  <si>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</si>
  <si>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</si>
  <si>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</si>
  <si>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</si>
  <si>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</si>
  <si>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</si>
  <si>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</si>
  <si>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</si>
  <si>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</si>
  <si>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</si>
  <si>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</si>
  <si>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</si>
  <si>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</si>
  <si>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</si>
  <si>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</si>
  <si>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</si>
  <si>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</si>
  <si>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</si>
  <si>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</si>
  <si>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</si>
  <si>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</si>
  <si>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</si>
  <si>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</si>
  <si>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</si>
  <si>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</si>
  <si>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</si>
  <si>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</si>
  <si>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</si>
  <si>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</si>
  <si>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</si>
  <si>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</si>
  <si>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</si>
  <si>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</si>
  <si>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</si>
  <si>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</si>
  <si>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</si>
  <si>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</si>
  <si>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</si>
  <si>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</si>
  <si>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</si>
  <si>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</si>
  <si>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</si>
  <si>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</si>
  <si>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</si>
  <si>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</si>
  <si>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</si>
  <si>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</si>
  <si>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</si>
  <si>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</si>
  <si>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</si>
  <si>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</si>
  <si>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</si>
  <si>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</si>
  <si>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</si>
  <si>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</si>
  <si>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</si>
  <si>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</si>
  <si>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</si>
  <si>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</si>
  <si>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</si>
  <si>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</si>
  <si>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</si>
  <si>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</si>
  <si>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</si>
  <si>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</si>
  <si>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</si>
  <si>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</si>
  <si>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</si>
  <si>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</si>
  <si>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</si>
  <si>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</si>
  <si>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</si>
  <si>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</si>
  <si>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</si>
  <si>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</si>
  <si>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</si>
  <si>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</si>
  <si>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</si>
  <si>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</si>
  <si>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</si>
  <si>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</si>
  <si>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</si>
  <si>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</si>
  <si>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</si>
  <si>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</si>
  <si>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</si>
  <si>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</si>
  <si>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</si>
  <si>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</si>
  <si>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</si>
  <si>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</si>
  <si>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</si>
  <si>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</si>
  <si>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</si>
  <si>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</si>
  <si>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</si>
  <si>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</si>
  <si>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</si>
  <si>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</si>
  <si>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</si>
  <si>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</si>
  <si>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</si>
  <si>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</si>
  <si>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</si>
  <si>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</si>
  <si>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</si>
  <si>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</si>
  <si>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</si>
  <si>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</si>
  <si>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</si>
  <si>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</si>
  <si>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</si>
  <si>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</si>
  <si>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</si>
  <si>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</si>
  <si>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</si>
  <si>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</si>
  <si>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</si>
  <si>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</si>
  <si>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</si>
  <si>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</si>
  <si>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</si>
  <si>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</si>
  <si>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</si>
  <si>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</si>
  <si>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</si>
  <si>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</si>
  <si>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</si>
  <si>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</si>
  <si>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</si>
  <si>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</si>
  <si>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</si>
  <si>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</si>
  <si>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</si>
  <si>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</si>
  <si>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</si>
  <si>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</si>
  <si>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</si>
  <si>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</si>
  <si>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</si>
  <si>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</si>
  <si>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</si>
  <si>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</si>
  <si>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</si>
  <si>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</si>
  <si>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</si>
  <si>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</si>
  <si>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</si>
  <si>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</si>
  <si>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</si>
  <si>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</si>
  <si>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</si>
  <si>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</si>
  <si>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</si>
  <si>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</si>
  <si>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</si>
  <si>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</si>
  <si>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</si>
  <si>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</si>
  <si>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</si>
  <si>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</si>
  <si>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</si>
  <si>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</si>
  <si>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</si>
  <si>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</si>
  <si>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</si>
  <si>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</si>
  <si>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</si>
  <si>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</si>
  <si>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</si>
  <si>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</si>
  <si>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</si>
  <si>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</si>
  <si>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</si>
  <si>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</si>
  <si>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</si>
  <si>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</si>
  <si>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</si>
  <si>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</si>
  <si>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</si>
  <si>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</si>
  <si>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</si>
  <si>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</si>
  <si>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</si>
  <si>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</si>
  <si>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</si>
  <si>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</si>
  <si>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</si>
  <si>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</si>
  <si>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</si>
  <si>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</si>
  <si>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</si>
  <si>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</si>
  <si>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</si>
  <si>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</si>
  <si>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</si>
  <si>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</si>
  <si>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</si>
  <si>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</si>
  <si>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</si>
  <si>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</si>
  <si>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</si>
  <si>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</si>
  <si>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</si>
  <si>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</si>
  <si>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</si>
  <si>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</si>
  <si>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</si>
  <si>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</si>
  <si>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</si>
  <si>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</si>
  <si>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</si>
  <si>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</si>
  <si>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</si>
  <si>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</si>
  <si>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</si>
  <si>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</si>
  <si>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</si>
  <si>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</si>
  <si>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</si>
  <si>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</si>
  <si>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</si>
  <si>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</si>
  <si>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</si>
  <si>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</si>
  <si>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</si>
  <si>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</si>
  <si>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</si>
  <si>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</si>
  <si>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</si>
  <si>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</si>
  <si>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</si>
  <si>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</si>
  <si>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</si>
  <si>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</si>
  <si>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</si>
  <si>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</si>
  <si>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</si>
  <si>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</si>
  <si>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</si>
  <si>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</si>
  <si>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</si>
  <si>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</si>
  <si>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</si>
  <si>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</si>
  <si>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</si>
  <si>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</si>
  <si>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</si>
  <si>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</si>
  <si>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</si>
  <si>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</si>
  <si>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</si>
  <si>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</si>
  <si>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</si>
  <si>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</si>
  <si>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</si>
  <si>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</si>
  <si>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</si>
  <si>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</si>
  <si>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</si>
  <si>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</si>
  <si>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</si>
  <si>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</si>
  <si>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</si>
  <si>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</si>
  <si>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</si>
  <si>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</si>
  <si>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</si>
  <si>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</si>
  <si>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</si>
  <si>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</si>
  <si>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</si>
  <si>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</si>
  <si>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</si>
  <si>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</si>
  <si>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</si>
  <si>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</si>
  <si>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</si>
  <si>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</si>
  <si>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</si>
  <si>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</si>
  <si>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</si>
  <si>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</si>
  <si>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</si>
  <si>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</si>
  <si>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</si>
  <si>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</si>
  <si>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</si>
  <si>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</si>
  <si>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</si>
  <si>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</si>
  <si>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</si>
  <si>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</si>
  <si>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</si>
  <si>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</si>
  <si>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</si>
  <si>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</si>
  <si>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</si>
  <si>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</si>
  <si>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</si>
  <si>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</si>
  <si>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</si>
  <si>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</si>
  <si>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</si>
  <si>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</si>
  <si>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</si>
  <si>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</si>
  <si>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</si>
  <si>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</si>
  <si>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</si>
  <si>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</si>
  <si>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</si>
  <si>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</si>
  <si>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</si>
  <si>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</si>
  <si>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</si>
  <si>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</si>
  <si>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</si>
  <si>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</si>
  <si>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</si>
  <si>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</si>
  <si>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</si>
  <si>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</si>
  <si>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</si>
  <si>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</si>
  <si>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</si>
  <si>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</si>
  <si>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</si>
  <si>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</si>
  <si>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</si>
  <si>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</si>
  <si>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</si>
  <si>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</si>
  <si>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</si>
  <si>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</si>
  <si>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</si>
  <si>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</si>
  <si>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</si>
  <si>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</si>
  <si>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</si>
  <si>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</si>
  <si>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</si>
  <si>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</si>
  <si>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</si>
  <si>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</si>
  <si>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</si>
  <si>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</si>
  <si>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</si>
  <si>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</si>
  <si>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</si>
  <si>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</si>
  <si>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</si>
  <si>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</si>
  <si>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</si>
  <si>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</si>
  <si>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</si>
  <si>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</si>
  <si>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</si>
  <si>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</si>
  <si>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</si>
  <si>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</si>
  <si>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</si>
  <si>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</si>
  <si>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</si>
  <si>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</si>
  <si>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</si>
  <si>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</si>
  <si>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</si>
  <si>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</si>
  <si>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</si>
  <si>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</si>
  <si>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</si>
  <si>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</si>
  <si>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</si>
  <si>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</si>
  <si>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</si>
  <si>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</si>
  <si>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</si>
  <si>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</si>
  <si>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</si>
  <si>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</si>
  <si>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</si>
  <si>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</si>
  <si>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</si>
  <si>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</si>
  <si>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</si>
  <si>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</si>
  <si>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</si>
  <si>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</si>
  <si>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</si>
  <si>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</si>
  <si>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</si>
  <si>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</si>
  <si>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</si>
  <si>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</si>
  <si>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</si>
  <si>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</si>
  <si>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</si>
  <si>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</si>
  <si>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</si>
  <si>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</si>
  <si>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</si>
  <si>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</si>
  <si>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</si>
  <si>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</si>
  <si>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</si>
  <si>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</si>
  <si>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</si>
  <si>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</si>
  <si>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</si>
  <si>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</si>
  <si>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</si>
  <si>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</si>
  <si>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</si>
  <si>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</si>
  <si>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</si>
  <si>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</si>
  <si>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</si>
  <si>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</si>
  <si>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</si>
  <si>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</si>
  <si>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</si>
  <si>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</si>
  <si>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</si>
  <si>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</si>
  <si>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</si>
  <si>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</si>
  <si>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</si>
  <si>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</si>
  <si>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</si>
  <si>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</si>
  <si>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</si>
  <si>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</si>
  <si>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</si>
  <si>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</si>
  <si>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</si>
  <si>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</si>
  <si>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</si>
  <si>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</si>
  <si>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</si>
  <si>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</si>
  <si>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</si>
  <si>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</si>
  <si>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</si>
  <si>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</si>
  <si>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</si>
  <si>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</si>
  <si>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</si>
  <si>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</si>
  <si>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</si>
  <si>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</si>
  <si>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</si>
  <si>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</si>
  <si>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</si>
  <si>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</si>
  <si>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</si>
  <si>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</si>
  <si>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</si>
  <si>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</si>
  <si>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</si>
  <si>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</si>
  <si>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</si>
  <si>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</si>
  <si>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</si>
  <si>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</si>
  <si>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</si>
  <si>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</si>
  <si>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</si>
  <si>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</si>
  <si>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</si>
  <si>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</si>
  <si>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</si>
  <si>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</si>
  <si>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</si>
  <si>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</si>
  <si>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</si>
  <si>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</si>
  <si>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</si>
  <si>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</si>
  <si>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</si>
  <si>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</si>
  <si>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</si>
  <si>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</si>
  <si>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</si>
  <si>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</si>
  <si>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</si>
  <si>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</si>
  <si>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</si>
  <si>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</si>
  <si>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</si>
  <si>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</si>
  <si>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</si>
  <si>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</si>
  <si>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</si>
  <si>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</si>
  <si>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</si>
  <si>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</si>
  <si>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</si>
  <si>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</si>
  <si>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</si>
  <si>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</si>
  <si>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</si>
  <si>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</si>
  <si>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</si>
  <si>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</si>
  <si>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</si>
  <si>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</si>
  <si>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</si>
  <si>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</si>
  <si>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</si>
  <si>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</si>
  <si>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</si>
  <si>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</si>
  <si>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</si>
  <si>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</si>
  <si>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</si>
  <si>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</si>
  <si>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</si>
  <si>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</si>
  <si>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</si>
  <si>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</si>
  <si>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</si>
  <si>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</si>
  <si>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</si>
  <si>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</si>
  <si>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</si>
  <si>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</si>
  <si>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</si>
  <si>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</si>
  <si>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</si>
  <si>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</si>
  <si>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</si>
  <si>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</si>
  <si>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</si>
  <si>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</si>
  <si>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</si>
  <si>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</si>
  <si>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</si>
  <si>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</si>
  <si>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</si>
  <si>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</si>
  <si>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</si>
  <si>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</si>
  <si>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</si>
  <si>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</si>
  <si>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</si>
  <si>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</si>
  <si>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</si>
  <si>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</si>
  <si>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</si>
  <si>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</si>
  <si>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</si>
  <si>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</si>
  <si>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</si>
  <si>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</si>
  <si>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</si>
  <si>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</si>
  <si>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</si>
  <si>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</si>
  <si>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</si>
  <si>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</si>
  <si>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</si>
  <si>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</si>
  <si>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</si>
  <si>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</si>
  <si>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</si>
  <si>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</si>
  <si>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</si>
  <si>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</si>
  <si>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</si>
  <si>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</si>
  <si>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</si>
  <si>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</si>
  <si>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</si>
  <si>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</si>
  <si>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</si>
  <si>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</si>
  <si>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</si>
  <si>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</si>
  <si>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</si>
  <si>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</si>
  <si>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</si>
  <si>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</si>
  <si>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</si>
  <si>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</si>
  <si>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</si>
  <si>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</si>
  <si>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</si>
  <si>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</si>
  <si>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</si>
  <si>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</si>
  <si>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</si>
  <si>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</si>
  <si>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</si>
  <si>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</si>
  <si>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</si>
  <si>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</si>
  <si>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</si>
  <si>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</si>
  <si>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</si>
  <si>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</si>
  <si>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</si>
  <si>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</si>
  <si>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</si>
  <si>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</si>
  <si>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</si>
  <si>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</si>
  <si>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</si>
  <si>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</si>
  <si>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</si>
  <si>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</si>
  <si>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</si>
  <si>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</si>
  <si>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</si>
  <si>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</si>
  <si>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</si>
  <si>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</si>
  <si>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</si>
  <si>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</si>
  <si>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</si>
  <si>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</si>
  <si>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</si>
  <si>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</si>
  <si>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</si>
  <si>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</si>
  <si>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</si>
  <si>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</si>
  <si>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</si>
  <si>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</si>
  <si>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</si>
  <si>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</si>
  <si>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</si>
  <si>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</si>
  <si>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</si>
  <si>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</si>
  <si>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</si>
  <si>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</si>
  <si>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</si>
  <si>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</si>
  <si>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</si>
  <si>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</si>
  <si>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</si>
  <si>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</si>
  <si>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</si>
  <si>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</si>
  <si>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</si>
  <si>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</si>
  <si>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</si>
  <si>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</si>
  <si>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</si>
  <si>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</si>
  <si>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</si>
  <si>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</si>
  <si>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</si>
  <si>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</si>
  <si>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</si>
  <si>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</si>
  <si>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</si>
  <si>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</si>
  <si>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</si>
  <si>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</si>
  <si>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</si>
  <si>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</si>
  <si>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</si>
  <si>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</si>
  <si>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</si>
  <si>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</si>
  <si>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</si>
  <si>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</si>
  <si>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</si>
  <si>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</si>
  <si>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</si>
  <si>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</si>
  <si>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</si>
  <si>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</si>
  <si>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</si>
  <si>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</si>
  <si>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</si>
  <si>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</si>
  <si>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</si>
  <si>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</si>
  <si>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</si>
  <si>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</si>
  <si>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</si>
  <si>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</si>
  <si>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</si>
  <si>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</si>
  <si>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</si>
  <si>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</si>
  <si>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</si>
  <si>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</si>
  <si>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</si>
  <si>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</si>
  <si>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</si>
  <si>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</si>
  <si>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</si>
  <si>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</si>
  <si>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</si>
  <si>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</si>
  <si>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</si>
  <si>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</si>
  <si>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</si>
  <si>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</si>
  <si>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</si>
  <si>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</si>
  <si>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</si>
  <si>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</si>
  <si>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</si>
  <si>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</si>
  <si>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</si>
  <si>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</si>
  <si>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</si>
  <si>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</si>
  <si>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</si>
  <si>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</si>
  <si>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</si>
  <si>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</si>
  <si>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</si>
  <si>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</si>
  <si>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</si>
  <si>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</si>
  <si>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</si>
  <si>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</si>
  <si>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</si>
  <si>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</si>
  <si>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</si>
  <si>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</si>
  <si>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</si>
  <si>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</si>
  <si>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</si>
  <si>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</si>
  <si>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</si>
  <si>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</si>
  <si>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</si>
  <si>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</si>
  <si>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</si>
  <si>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</si>
  <si>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</si>
  <si>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</si>
  <si>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</si>
  <si>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</si>
  <si>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</si>
  <si>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</si>
  <si>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</si>
  <si>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</si>
  <si>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</si>
  <si>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</si>
  <si>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</si>
  <si>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</si>
  <si>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</si>
  <si>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</si>
  <si>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</si>
  <si>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</si>
  <si>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</si>
  <si>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</si>
  <si>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</si>
  <si>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</si>
  <si>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</si>
  <si>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</si>
  <si>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</si>
  <si>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</si>
  <si>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</si>
  <si>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</si>
  <si>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</si>
  <si>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</si>
  <si>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</si>
  <si>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</si>
  <si>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</si>
  <si>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</si>
  <si>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</si>
  <si>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</si>
  <si>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</si>
  <si>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</si>
  <si>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</si>
  <si>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</si>
  <si>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</si>
  <si>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</si>
  <si>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</si>
  <si>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</si>
  <si>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</si>
  <si>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</si>
  <si>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</si>
  <si>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</si>
  <si>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</si>
  <si>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</si>
  <si>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</si>
  <si>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</si>
  <si>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</si>
  <si>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</si>
  <si>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</si>
  <si>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</si>
  <si>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</si>
  <si>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</si>
  <si>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</si>
  <si>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</si>
  <si>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</si>
  <si>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</si>
  <si>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</si>
  <si>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</si>
  <si>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</si>
  <si>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</si>
  <si>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</si>
  <si>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</si>
  <si>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</si>
  <si>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</si>
  <si>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</si>
  <si>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</si>
  <si>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</si>
  <si>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</si>
  <si>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</si>
  <si>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</si>
  <si>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</si>
  <si>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</si>
  <si>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</si>
  <si>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</si>
  <si>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</si>
  <si>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</si>
  <si>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</si>
  <si>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</si>
  <si>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</si>
  <si>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</si>
  <si>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</si>
  <si>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</si>
  <si>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</si>
  <si>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</si>
  <si>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</si>
  <si>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</si>
  <si>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</si>
  <si>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</si>
  <si>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</si>
  <si>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</si>
  <si>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</si>
  <si>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</si>
  <si>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</si>
  <si>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</si>
  <si>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</si>
  <si>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</si>
  <si>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</si>
  <si>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</si>
  <si>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</si>
  <si>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</si>
  <si>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</si>
  <si>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</si>
  <si>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</si>
  <si>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</si>
  <si>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</si>
  <si>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</si>
  <si>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</si>
  <si>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</si>
  <si>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</si>
  <si>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</si>
  <si>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</si>
  <si>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</si>
  <si>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</si>
  <si>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</si>
  <si>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</si>
  <si>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</si>
  <si>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</si>
  <si>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</si>
  <si>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</si>
  <si>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</si>
  <si>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</si>
  <si>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</si>
  <si>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</si>
  <si>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</si>
  <si>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</si>
  <si>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</si>
  <si>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</si>
  <si>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</si>
  <si>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</si>
  <si>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</si>
  <si>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</si>
  <si>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</si>
  <si>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</si>
  <si>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</si>
  <si>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</si>
  <si>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</si>
  <si>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</si>
  <si>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</si>
  <si>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</si>
  <si>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</si>
  <si>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</si>
  <si>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</si>
  <si>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</si>
  <si>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</si>
  <si>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</si>
  <si>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</si>
  <si>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</si>
  <si>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</si>
  <si>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</si>
  <si>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</si>
  <si>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</si>
  <si>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</si>
  <si>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</si>
  <si>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</si>
  <si>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</si>
  <si>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</si>
  <si>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</si>
  <si>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</si>
  <si>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</si>
  <si>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</si>
  <si>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</si>
  <si>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</si>
  <si>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</si>
  <si>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</si>
  <si>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</si>
  <si>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</si>
  <si>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</si>
  <si>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</si>
  <si>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</si>
  <si>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</si>
  <si>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</si>
  <si>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</si>
  <si>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</si>
  <si>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</si>
  <si>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</si>
  <si>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</si>
  <si>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</si>
  <si>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</si>
  <si>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</si>
  <si>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</si>
  <si>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</si>
  <si>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</si>
  <si>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</si>
  <si>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</si>
  <si>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</si>
  <si>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</si>
  <si>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</si>
  <si>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</si>
  <si>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</si>
  <si>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</si>
  <si>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</si>
  <si>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</si>
  <si>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</si>
  <si>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</si>
  <si>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</si>
  <si>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</si>
  <si>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</si>
  <si>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</si>
  <si>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</si>
  <si>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</si>
  <si>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</si>
  <si>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</si>
  <si>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</si>
  <si>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</si>
  <si>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</si>
  <si>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</si>
  <si>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</si>
  <si>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</si>
  <si>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</si>
  <si>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</si>
  <si>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</si>
  <si>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</si>
  <si>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</si>
  <si>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</si>
  <si>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</si>
  <si>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</si>
  <si>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</si>
  <si>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</si>
  <si>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</si>
  <si>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</si>
  <si>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</si>
  <si>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</si>
  <si>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</si>
  <si>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</si>
  <si>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</si>
  <si>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</si>
  <si>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</si>
  <si>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</si>
  <si>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</si>
  <si>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</si>
  <si>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</si>
  <si>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</si>
  <si>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</si>
  <si>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</si>
  <si>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</si>
  <si>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</si>
  <si>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</si>
  <si>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</si>
  <si>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</si>
  <si>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</si>
  <si>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</si>
  <si>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</si>
  <si>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</si>
  <si>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</si>
  <si>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</si>
  <si>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</si>
  <si>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</si>
  <si>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</si>
  <si>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</si>
  <si>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</si>
  <si>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</si>
  <si>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</si>
  <si>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</si>
  <si>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</si>
  <si>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</si>
  <si>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</si>
  <si>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</si>
  <si>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</si>
  <si>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</si>
  <si>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</si>
  <si>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</si>
  <si>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</si>
  <si>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</si>
  <si>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</si>
  <si>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</si>
  <si>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</si>
  <si>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</si>
  <si>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</si>
  <si>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</si>
  <si>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</si>
  <si>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</si>
  <si>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</si>
  <si>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</si>
  <si>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</si>
  <si>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</si>
  <si>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</si>
  <si>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</si>
  <si>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</si>
  <si>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</si>
  <si>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</si>
  <si>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</si>
  <si>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</si>
  <si>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</si>
  <si>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</si>
  <si>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</si>
  <si>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</si>
  <si>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</si>
  <si>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</si>
  <si>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</si>
  <si>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</si>
  <si>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</si>
  <si>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</si>
  <si>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</si>
  <si>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</si>
  <si>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</si>
  <si>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</si>
  <si>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</si>
  <si>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</si>
  <si>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</si>
  <si>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</si>
  <si>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</si>
  <si>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</si>
  <si>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</si>
  <si>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</si>
  <si>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</si>
  <si>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</si>
  <si>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</si>
  <si>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</si>
  <si>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</si>
  <si>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</si>
  <si>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</si>
  <si>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</si>
  <si>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</si>
  <si>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</si>
  <si>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</si>
  <si>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</si>
  <si>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</si>
  <si>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</si>
  <si>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</si>
  <si>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</si>
  <si>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</si>
  <si>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</si>
  <si>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</si>
  <si>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</si>
  <si>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</si>
  <si>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</si>
  <si>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</si>
  <si>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</si>
  <si>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</si>
  <si>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</si>
  <si>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</si>
  <si>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</si>
  <si>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</si>
  <si>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</si>
  <si>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</si>
  <si>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</si>
  <si>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</si>
  <si>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</si>
  <si>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</si>
  <si>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</si>
  <si>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</si>
  <si>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</si>
  <si>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</si>
  <si>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</si>
  <si>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</si>
  <si>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</si>
  <si>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</si>
  <si>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</si>
  <si>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</si>
  <si>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</si>
  <si>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</si>
  <si>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</si>
  <si>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</si>
  <si>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</si>
  <si>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</si>
  <si>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</si>
  <si>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</si>
  <si>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</si>
  <si>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</si>
  <si>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</si>
  <si>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</si>
  <si>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</si>
  <si>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</si>
  <si>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</si>
  <si>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</si>
  <si>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</si>
  <si>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</si>
  <si>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</si>
  <si>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</si>
  <si>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</si>
  <si>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</si>
  <si>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</si>
  <si>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</si>
  <si>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</si>
  <si>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</si>
  <si>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</si>
  <si>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</si>
  <si>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</si>
  <si>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</si>
  <si>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</si>
  <si>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</si>
  <si>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</si>
  <si>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</si>
  <si>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</si>
  <si>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</si>
  <si>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</si>
  <si>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</si>
  <si>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</si>
  <si>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</si>
  <si>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</si>
  <si>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</si>
  <si>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</si>
  <si>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</si>
  <si>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</si>
  <si>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</si>
  <si>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</si>
  <si>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</si>
  <si>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</si>
  <si>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</si>
  <si>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</si>
  <si>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</si>
  <si>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</si>
  <si>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</si>
  <si>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</si>
  <si>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</si>
  <si>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</si>
  <si>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</si>
  <si>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</si>
  <si>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</si>
  <si>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</si>
  <si>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</si>
  <si>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</si>
  <si>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</si>
  <si>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</si>
  <si>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</si>
  <si>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</si>
  <si>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</si>
  <si>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</si>
  <si>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</si>
  <si>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</si>
  <si>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</si>
  <si>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</si>
  <si>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</si>
  <si>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</si>
  <si>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</si>
  <si>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</si>
  <si>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</si>
  <si>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</si>
  <si>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</si>
  <si>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</si>
  <si>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</si>
  <si>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</si>
  <si>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</si>
  <si>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</si>
  <si>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</si>
  <si>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</si>
  <si>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</si>
  <si>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</si>
  <si>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</si>
  <si>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</si>
  <si>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</si>
  <si>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</si>
  <si>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</si>
  <si>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</si>
  <si>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</si>
  <si>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</si>
  <si>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</si>
  <si>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</si>
  <si>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</si>
  <si>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</si>
  <si>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</si>
  <si>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</si>
  <si>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</si>
  <si>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</si>
  <si>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</si>
  <si>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</si>
  <si>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</si>
  <si>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</si>
  <si>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</si>
  <si>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</si>
  <si>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</si>
  <si>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</si>
  <si>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</si>
  <si>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</si>
  <si>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</si>
  <si>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</si>
  <si>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</si>
  <si>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</si>
  <si>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</si>
  <si>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</si>
  <si>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</si>
  <si>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</si>
  <si>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</si>
  <si>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</si>
  <si>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</si>
  <si>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</si>
  <si>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</si>
  <si>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</si>
  <si>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</si>
  <si>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</si>
  <si>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</si>
  <si>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</si>
  <si>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</si>
  <si>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</si>
  <si>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</si>
  <si>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</si>
  <si>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</si>
  <si>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</si>
  <si>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</si>
  <si>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</si>
  <si>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</si>
  <si>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</si>
  <si>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</si>
  <si>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</si>
  <si>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</si>
  <si>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</si>
  <si>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</si>
  <si>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</si>
  <si>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</si>
  <si>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</si>
  <si>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</si>
  <si>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</si>
  <si>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</si>
  <si>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</si>
  <si>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</si>
  <si>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</si>
  <si>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</si>
  <si>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</si>
  <si>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</si>
  <si>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</si>
  <si>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</si>
  <si>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</si>
  <si>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</si>
  <si>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</si>
  <si>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</si>
  <si>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</si>
  <si>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</si>
  <si>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</si>
  <si>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</si>
  <si>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</si>
  <si>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</si>
  <si>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</si>
  <si>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</si>
  <si>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</si>
  <si>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</si>
  <si>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</si>
  <si>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</si>
  <si>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</si>
  <si>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</si>
  <si>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</si>
  <si>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</si>
  <si>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</si>
  <si>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</si>
  <si>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</si>
  <si>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</si>
  <si>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</si>
  <si>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</si>
  <si>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</si>
  <si>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</si>
  <si>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</si>
  <si>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</si>
  <si>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</si>
  <si>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</si>
  <si>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</si>
  <si>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</si>
  <si>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</si>
  <si>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</si>
  <si>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</si>
  <si>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</si>
  <si>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</si>
  <si>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</si>
  <si>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</si>
  <si>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</si>
  <si>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</si>
  <si>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</si>
  <si>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</si>
  <si>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</si>
  <si>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</si>
  <si>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</si>
  <si>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</si>
  <si>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</si>
  <si>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</si>
  <si>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</si>
  <si>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</si>
  <si>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</si>
  <si>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</si>
  <si>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</si>
  <si>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</si>
  <si>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</si>
  <si>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</si>
  <si>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</si>
  <si>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</si>
  <si>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</si>
  <si>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</si>
  <si>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</si>
  <si>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</si>
  <si>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</si>
  <si>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</si>
  <si>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</si>
  <si>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</si>
  <si>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</si>
  <si>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</si>
  <si>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</si>
  <si>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</si>
  <si>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</si>
  <si>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</si>
  <si>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</si>
  <si>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</si>
  <si>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</si>
  <si>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</si>
  <si>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</si>
  <si>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</si>
  <si>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</si>
  <si>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</si>
  <si>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</si>
  <si>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</si>
  <si>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</si>
  <si>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</si>
  <si>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</si>
  <si>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</si>
  <si>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</si>
  <si>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</si>
  <si>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</si>
  <si>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</si>
  <si>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</si>
  <si>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</si>
  <si>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</si>
  <si>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</si>
  <si>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</si>
  <si>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</si>
  <si>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</si>
  <si>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</si>
  <si>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</si>
  <si>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</si>
  <si>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</si>
  <si>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</si>
  <si>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</si>
  <si>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</si>
  <si>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</si>
  <si>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</si>
  <si>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</si>
  <si>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</si>
  <si>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</si>
  <si>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</si>
  <si>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</si>
  <si>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</si>
  <si>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</si>
  <si>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</si>
  <si>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</si>
  <si>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</si>
  <si>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</si>
  <si>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</si>
  <si>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</si>
  <si>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</si>
  <si>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</si>
  <si>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</si>
  <si>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</si>
  <si>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</si>
  <si>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</si>
  <si>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</si>
  <si>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</si>
  <si>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</si>
  <si>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</si>
  <si>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</si>
  <si>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</si>
  <si>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</si>
  <si>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</si>
  <si>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</si>
  <si>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</si>
  <si>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</si>
  <si>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</si>
  <si>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</si>
  <si>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</si>
  <si>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</si>
  <si>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</si>
  <si>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</si>
  <si>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</si>
  <si>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</si>
  <si>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</si>
  <si>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</si>
  <si>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</si>
  <si>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</si>
  <si>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</si>
  <si>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</si>
  <si>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</si>
  <si>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</si>
  <si>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</si>
  <si>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</si>
  <si>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</si>
  <si>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</si>
  <si>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</si>
  <si>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</si>
  <si>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</si>
  <si>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</si>
  <si>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</si>
  <si>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</si>
  <si>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</si>
  <si>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</si>
  <si>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</si>
  <si>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</si>
  <si>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</si>
  <si>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</si>
  <si>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</si>
  <si>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</si>
  <si>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</si>
  <si>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</si>
  <si>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</si>
  <si>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</si>
  <si>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</si>
  <si>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</si>
  <si>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</si>
  <si>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</si>
  <si>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</si>
  <si>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</si>
  <si>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</si>
  <si>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</si>
  <si>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</si>
  <si>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</si>
  <si>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</si>
  <si>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</si>
  <si>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</si>
  <si>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</si>
  <si>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</si>
  <si>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</si>
  <si>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</si>
  <si>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</si>
  <si>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</si>
  <si>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</si>
  <si>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</si>
  <si>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</si>
  <si>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</si>
  <si>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</si>
  <si>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</si>
  <si>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</si>
  <si>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</si>
  <si>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</si>
  <si>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</si>
  <si>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</si>
  <si>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</si>
  <si>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</si>
  <si>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</si>
  <si>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</si>
  <si>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</si>
  <si>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</si>
  <si>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</si>
  <si>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</si>
  <si>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</si>
  <si>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</si>
  <si>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</si>
  <si>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</si>
  <si>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</si>
  <si>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</si>
  <si>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</si>
  <si>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</si>
  <si>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</si>
  <si>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</si>
  <si>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</si>
  <si>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</si>
  <si>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</si>
  <si>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</si>
  <si>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</si>
  <si>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</si>
  <si>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</si>
  <si>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</si>
  <si>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</si>
  <si>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</si>
  <si>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</si>
  <si>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</si>
  <si>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</si>
  <si>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</si>
  <si>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</si>
  <si>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</si>
  <si>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</si>
  <si>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</si>
  <si>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</si>
  <si>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</si>
  <si>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</si>
  <si>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</si>
  <si>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</si>
  <si>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</si>
  <si>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</si>
  <si>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</si>
  <si>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</si>
  <si>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</si>
  <si>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</si>
  <si>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</si>
  <si>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</si>
  <si>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</si>
  <si>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</si>
  <si>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</si>
  <si>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</si>
  <si>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</si>
  <si>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</si>
  <si>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</si>
  <si>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</si>
  <si>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</si>
  <si>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</si>
  <si>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</si>
  <si>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</si>
  <si>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</si>
  <si>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</si>
  <si>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</si>
  <si>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</si>
  <si>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</si>
  <si>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</si>
  <si>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</si>
  <si>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</si>
  <si>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</si>
  <si>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</si>
  <si>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</si>
  <si>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</si>
  <si>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</si>
  <si>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</si>
  <si>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</si>
  <si>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</si>
  <si>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</si>
  <si>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</si>
  <si>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</si>
  <si>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</si>
  <si>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</si>
  <si>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</si>
  <si>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</si>
  <si>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</si>
  <si>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</si>
  <si>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</si>
  <si>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</si>
  <si>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</si>
  <si>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</si>
  <si>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</si>
  <si>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</si>
  <si>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</si>
  <si>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</si>
  <si>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</si>
  <si>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</si>
  <si>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</si>
  <si>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</si>
  <si>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</si>
  <si>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</si>
  <si>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</si>
  <si>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</si>
  <si>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</si>
  <si>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</si>
  <si>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</si>
  <si>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</si>
  <si>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</si>
  <si>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</si>
  <si>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</si>
  <si>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</si>
  <si>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</si>
  <si>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</si>
  <si>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</si>
  <si>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</si>
  <si>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</si>
  <si>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</si>
  <si>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</si>
  <si>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</si>
  <si>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</si>
  <si>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</si>
  <si>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</si>
  <si>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</si>
  <si>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</si>
  <si>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</si>
  <si>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</si>
  <si>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</si>
  <si>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</si>
  <si>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</si>
  <si>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</si>
  <si>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</si>
  <si>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</si>
  <si>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</si>
  <si>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</si>
  <si>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</si>
  <si>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</si>
  <si>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</si>
  <si>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</si>
  <si>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</si>
  <si>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</si>
  <si>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</si>
  <si>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</si>
  <si>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</si>
  <si>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</si>
  <si>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</si>
  <si>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</si>
  <si>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</si>
  <si>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</si>
  <si>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</si>
  <si>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</si>
  <si>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</si>
  <si>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</si>
  <si>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</si>
  <si>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</si>
  <si>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</si>
  <si>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</si>
  <si>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</si>
  <si>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</si>
  <si>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</si>
  <si>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</si>
  <si>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</si>
  <si>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</si>
  <si>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</si>
  <si>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</si>
  <si>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</si>
  <si>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</si>
  <si>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</si>
  <si>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</si>
  <si>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</si>
  <si>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</si>
  <si>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</si>
  <si>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</si>
  <si>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</si>
  <si>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</si>
  <si>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</si>
  <si>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</si>
  <si>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</si>
  <si>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</si>
  <si>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</si>
  <si>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</si>
  <si>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</si>
  <si>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</si>
  <si>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</si>
  <si>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</si>
  <si>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</si>
  <si>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</si>
  <si>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</si>
  <si>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</si>
  <si>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</si>
  <si>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</si>
  <si>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</si>
  <si>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</si>
  <si>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</si>
  <si>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</si>
  <si>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</si>
  <si>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</si>
  <si>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</si>
  <si>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</si>
  <si>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</si>
  <si>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</si>
  <si>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</si>
  <si>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</si>
  <si>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</si>
  <si>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</si>
  <si>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</si>
  <si>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</si>
  <si>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</si>
  <si>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</si>
  <si>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</si>
  <si>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</si>
  <si>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</si>
  <si>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</si>
  <si>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</si>
  <si>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</si>
  <si>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</si>
  <si>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</si>
  <si>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</si>
  <si>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</si>
  <si>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</si>
  <si>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</si>
  <si>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</si>
  <si>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</si>
  <si>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</si>
  <si>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</si>
  <si>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</si>
  <si>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</si>
  <si>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</si>
  <si>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</si>
  <si>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</si>
  <si>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</si>
  <si>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</si>
  <si>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</si>
  <si>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</si>
  <si>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</si>
  <si>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</si>
  <si>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</si>
  <si>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</si>
  <si>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</si>
  <si>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</si>
  <si>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</si>
  <si>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</si>
  <si>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</si>
  <si>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</si>
  <si>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</si>
  <si>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</si>
  <si>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</si>
  <si>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</si>
  <si>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</si>
  <si>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</si>
  <si>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</si>
  <si>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</si>
  <si>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</si>
  <si>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</si>
  <si>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</si>
  <si>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</si>
  <si>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</si>
  <si>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</si>
  <si>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</si>
  <si>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</si>
  <si>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</si>
  <si>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</si>
  <si>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</si>
  <si>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</si>
  <si>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</si>
  <si>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</si>
  <si>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</si>
  <si>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</si>
  <si>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</si>
  <si>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</si>
  <si>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</si>
  <si>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</si>
  <si>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</si>
  <si>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</si>
  <si>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</si>
  <si>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</si>
  <si>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</si>
  <si>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</si>
  <si>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</si>
  <si>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</si>
  <si>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</si>
  <si>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</si>
  <si>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</si>
  <si>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</si>
  <si>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</si>
  <si>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</si>
  <si>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</si>
  <si>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</si>
  <si>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</si>
  <si>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</si>
  <si>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</si>
  <si>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</si>
  <si>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</si>
  <si>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</si>
  <si>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</si>
  <si>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</si>
  <si>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</si>
  <si>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</si>
  <si>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</si>
  <si>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</si>
  <si>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</si>
  <si>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</si>
  <si>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</si>
  <si>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</si>
  <si>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</si>
  <si>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</si>
  <si>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</si>
  <si>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</si>
  <si>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</si>
  <si>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</si>
  <si>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</si>
  <si>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</si>
  <si>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</si>
  <si>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</si>
  <si>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</si>
  <si>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</si>
  <si>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</si>
  <si>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</si>
  <si>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</si>
  <si>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</si>
  <si>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</si>
  <si>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</si>
  <si>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</si>
  <si>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</si>
  <si>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</si>
  <si>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</si>
  <si>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</si>
  <si>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</si>
  <si>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</si>
  <si>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</si>
  <si>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</si>
  <si>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</si>
  <si>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</si>
  <si>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</si>
  <si>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</si>
  <si>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</si>
  <si>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</si>
  <si>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</si>
  <si>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</si>
  <si>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</si>
  <si>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</si>
  <si>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</si>
  <si>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</si>
  <si>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</si>
  <si>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</si>
  <si>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</si>
  <si>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</si>
  <si>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</si>
  <si>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</si>
  <si>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</si>
  <si>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</si>
  <si>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</si>
  <si>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</si>
  <si>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</si>
  <si>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</si>
  <si>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</si>
  <si>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</si>
  <si>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</si>
  <si>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</si>
  <si>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</si>
  <si>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</si>
  <si>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</si>
  <si>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</si>
  <si>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</si>
  <si>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</si>
  <si>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</si>
  <si>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</si>
  <si>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</si>
  <si>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</si>
  <si>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</si>
  <si>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</si>
  <si>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</si>
  <si>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</si>
  <si>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</si>
  <si>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</si>
  <si>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</si>
  <si>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</si>
  <si>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</si>
  <si>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</si>
  <si>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</si>
  <si>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</si>
  <si>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</si>
  <si>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</si>
  <si>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</si>
  <si>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</si>
  <si>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</si>
  <si>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</si>
  <si>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</si>
  <si>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</si>
  <si>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</si>
  <si>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</si>
  <si>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</si>
  <si>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</si>
  <si>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</si>
  <si>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</si>
  <si>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</si>
  <si>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</si>
  <si>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</si>
  <si>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</si>
  <si>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</si>
  <si>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</si>
  <si>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</si>
  <si>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</si>
  <si>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</si>
  <si>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</si>
  <si>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</si>
  <si>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</si>
  <si>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</si>
  <si>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</si>
  <si>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</si>
  <si>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</si>
  <si>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</si>
  <si>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</si>
  <si>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</si>
  <si>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</si>
  <si>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</si>
  <si>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</si>
  <si>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</si>
  <si>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</si>
  <si>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</si>
  <si>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</si>
  <si>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</si>
  <si>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</si>
  <si>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</si>
  <si>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</si>
  <si>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</si>
  <si>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</si>
  <si>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</si>
  <si>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</si>
  <si>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</si>
  <si>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</si>
  <si>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</si>
  <si>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</si>
  <si>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</si>
  <si>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</si>
  <si>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</si>
  <si>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</si>
  <si>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</si>
  <si>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</si>
  <si>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</si>
  <si>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</si>
  <si>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</si>
  <si>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</si>
  <si>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</si>
  <si>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</si>
  <si>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</si>
  <si>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</si>
  <si>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</si>
  <si>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</si>
  <si>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</si>
  <si>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</si>
  <si>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</si>
  <si>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</si>
  <si>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</si>
  <si>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</si>
  <si>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</si>
  <si>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</si>
  <si>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</si>
  <si>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</si>
  <si>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</si>
  <si>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</si>
  <si>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</si>
  <si>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</si>
  <si>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</si>
  <si>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</si>
  <si>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</si>
  <si>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</si>
  <si>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</si>
  <si>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</si>
  <si>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</si>
  <si>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</si>
  <si>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</si>
  <si>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</si>
  <si>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</si>
  <si>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</si>
  <si>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</si>
  <si>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</si>
  <si>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</si>
  <si>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</si>
  <si>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</si>
  <si>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</si>
  <si>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</si>
  <si>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</si>
  <si>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</si>
  <si>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</si>
  <si>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</si>
  <si>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</si>
  <si>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</si>
  <si>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</si>
  <si>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</si>
  <si>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</si>
  <si>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</si>
  <si>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</si>
  <si>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</si>
  <si>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</si>
  <si>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</si>
  <si>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</si>
  <si>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</si>
  <si>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</si>
  <si>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</si>
  <si>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</si>
  <si>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</si>
  <si>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</si>
  <si>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</si>
  <si>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</si>
  <si>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</si>
  <si>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</si>
  <si>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</si>
  <si>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</si>
  <si>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</si>
  <si>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</si>
  <si>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</si>
  <si>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</si>
  <si>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</si>
  <si>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</si>
  <si>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</si>
  <si>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</si>
  <si>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</si>
  <si>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</si>
  <si>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</si>
  <si>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</si>
  <si>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</si>
  <si>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</si>
  <si>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</si>
  <si>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</si>
  <si>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</si>
  <si>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</si>
  <si>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</si>
  <si>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</si>
  <si>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</si>
  <si>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</si>
  <si>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</si>
  <si>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</si>
  <si>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</si>
  <si>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</si>
  <si>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</si>
  <si>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</si>
  <si>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</si>
  <si>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</si>
  <si>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</si>
  <si>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</si>
  <si>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</si>
  <si>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</si>
  <si>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</si>
  <si>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</si>
  <si>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</si>
  <si>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</si>
  <si>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</si>
  <si>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</si>
  <si>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</si>
  <si>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</si>
  <si>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</si>
  <si>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</si>
  <si>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</si>
  <si>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</si>
  <si>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</si>
  <si>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</si>
  <si>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</si>
  <si>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</si>
  <si>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</si>
  <si>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</si>
  <si>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</si>
  <si>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</si>
  <si>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</si>
  <si>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</si>
  <si>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</si>
  <si>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</si>
  <si>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</si>
  <si>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</si>
  <si>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</si>
  <si>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</si>
  <si>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</si>
  <si>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</si>
  <si>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</si>
  <si>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</si>
  <si>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</si>
  <si>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</si>
  <si>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</si>
  <si>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</si>
  <si>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</si>
  <si>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</si>
  <si>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</si>
  <si>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</si>
  <si>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</si>
  <si>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</si>
  <si>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</si>
  <si>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</si>
  <si>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</si>
  <si>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</si>
  <si>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</si>
  <si>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</si>
  <si>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</si>
  <si>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</si>
  <si>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</si>
  <si>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</si>
  <si>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</si>
  <si>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</si>
  <si>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</si>
  <si>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</si>
  <si>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</si>
  <si>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</si>
  <si>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</si>
  <si>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</si>
  <si>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</si>
  <si>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</si>
  <si>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</si>
  <si>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</si>
  <si>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</si>
  <si>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</si>
  <si>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</si>
  <si>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</si>
  <si>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</si>
  <si>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</si>
  <si>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</si>
  <si>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</si>
  <si>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</si>
  <si>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</si>
  <si>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</si>
  <si>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</si>
  <si>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</si>
  <si>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</si>
  <si>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</si>
  <si>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</si>
  <si>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</si>
  <si>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</si>
  <si>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</si>
  <si>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</si>
  <si>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</si>
  <si>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</si>
  <si>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</si>
  <si>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</si>
  <si>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</si>
  <si>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</si>
  <si>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</si>
  <si>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</si>
  <si>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</si>
  <si>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</si>
  <si>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</si>
  <si>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</si>
  <si>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</si>
  <si>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</si>
  <si>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</si>
  <si>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</si>
  <si>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</si>
  <si>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</si>
  <si>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</si>
  <si>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</si>
  <si>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</si>
  <si>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</si>
  <si>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</si>
  <si>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</si>
  <si>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</si>
  <si>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</si>
  <si>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</si>
  <si>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</si>
  <si>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</si>
  <si>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</si>
  <si>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</si>
  <si>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</si>
  <si>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</si>
  <si>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</si>
  <si>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</si>
  <si>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</si>
  <si>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</si>
  <si>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</si>
  <si>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</si>
  <si>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</si>
  <si>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</si>
  <si>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</si>
  <si>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</si>
  <si>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</si>
  <si>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</si>
  <si>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</si>
  <si>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</si>
  <si>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</si>
  <si>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</si>
  <si>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</si>
  <si>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</si>
  <si>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</si>
  <si>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</si>
  <si>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</si>
  <si>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</si>
  <si>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</si>
  <si>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</si>
  <si>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</si>
  <si>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</si>
  <si>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</si>
  <si>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</si>
  <si>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</si>
  <si>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</si>
  <si>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</si>
  <si>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</si>
  <si>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</si>
  <si>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</si>
  <si>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</si>
  <si>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</si>
  <si>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</si>
  <si>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</si>
  <si>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</si>
  <si>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</si>
  <si>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</si>
  <si>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</si>
  <si>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</si>
  <si>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</si>
  <si>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</si>
  <si>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</si>
  <si>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</si>
  <si>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</si>
  <si>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</si>
  <si>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</si>
  <si>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</si>
  <si>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</si>
  <si>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</si>
  <si>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</si>
  <si>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</si>
  <si>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</si>
  <si>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</si>
  <si>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</si>
  <si>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</si>
  <si>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</si>
  <si>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</si>
  <si>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</si>
  <si>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</si>
  <si>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</si>
  <si>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</si>
  <si>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</si>
  <si>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</si>
  <si>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</si>
  <si>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</si>
  <si>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</si>
  <si>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</si>
  <si>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</si>
  <si>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</si>
  <si>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</si>
  <si>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</si>
  <si>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</si>
  <si>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</si>
  <si>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</si>
  <si>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</si>
  <si>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</si>
  <si>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</si>
  <si>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</si>
  <si>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</si>
  <si>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</si>
  <si>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</si>
  <si>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</si>
  <si>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</si>
  <si>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</si>
  <si>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</si>
  <si>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</si>
  <si>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</si>
  <si>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</si>
  <si>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</si>
  <si>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</si>
  <si>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</si>
  <si>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</si>
  <si>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</si>
  <si>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</si>
  <si>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</si>
  <si>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</si>
  <si>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</si>
  <si>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</si>
  <si>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</si>
  <si>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</si>
  <si>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</si>
  <si>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</si>
  <si>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</si>
  <si>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</si>
  <si>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</si>
  <si>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</si>
  <si>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</si>
  <si>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</si>
  <si>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</si>
  <si>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</si>
  <si>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</si>
  <si>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</si>
  <si>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</si>
  <si>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</si>
  <si>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</si>
  <si>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</si>
  <si>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</si>
  <si>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</si>
  <si>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</si>
  <si>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</si>
  <si>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</si>
  <si>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</si>
  <si>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</si>
  <si>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</si>
  <si>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</si>
  <si>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</si>
  <si>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</si>
  <si>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</si>
  <si>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</si>
  <si>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</si>
  <si>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</si>
  <si>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</si>
  <si>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</si>
  <si>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</si>
  <si>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</si>
  <si>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</si>
  <si>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</si>
  <si>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</si>
  <si>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</si>
  <si>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</si>
  <si>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</si>
  <si>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</si>
  <si>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</si>
  <si>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</si>
  <si>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</si>
  <si>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</si>
  <si>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</si>
  <si>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</si>
  <si>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</si>
  <si>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</si>
  <si>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</si>
  <si>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</si>
  <si>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</si>
  <si>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</si>
  <si>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</si>
  <si>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</si>
  <si>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</si>
  <si>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</si>
  <si>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</si>
  <si>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</si>
  <si>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</si>
  <si>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</si>
  <si>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</si>
  <si>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</si>
  <si>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</si>
  <si>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</si>
  <si>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</si>
  <si>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</si>
  <si>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</si>
  <si>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</si>
  <si>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</si>
  <si>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</si>
  <si>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</si>
  <si>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</si>
  <si>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</si>
  <si>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</si>
  <si>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</si>
  <si>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</si>
  <si>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</si>
  <si>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</si>
  <si>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</si>
  <si>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</si>
  <si>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</si>
  <si>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</si>
  <si>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</si>
  <si>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</si>
  <si>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</si>
  <si>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</si>
  <si>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</si>
  <si>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</si>
  <si>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</si>
  <si>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</si>
  <si>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</si>
  <si>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</si>
  <si>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</si>
  <si>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</si>
  <si>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</si>
  <si>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</si>
  <si>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</si>
  <si>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</si>
  <si>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</si>
  <si>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</si>
  <si>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</si>
  <si>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</si>
  <si>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</si>
  <si>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</si>
  <si>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</si>
  <si>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</si>
  <si>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</si>
  <si>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</si>
  <si>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</si>
  <si>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</si>
  <si>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</si>
  <si>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</si>
  <si>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</si>
  <si>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</si>
  <si>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</si>
  <si>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</si>
  <si>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</si>
  <si>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</si>
  <si>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</si>
  <si>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</si>
  <si>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</si>
  <si>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</si>
  <si>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</si>
  <si>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</si>
  <si>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</si>
  <si>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</si>
  <si>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</si>
  <si>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</si>
  <si>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</si>
  <si>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</si>
  <si>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</si>
  <si>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</si>
  <si>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</si>
  <si>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</si>
  <si>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</si>
  <si>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</si>
  <si>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</si>
  <si>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</si>
  <si>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</si>
  <si>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</si>
  <si>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</si>
  <si>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</si>
  <si>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</si>
  <si>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</si>
  <si>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</si>
  <si>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</si>
  <si>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</si>
  <si>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</si>
  <si>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</si>
  <si>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</si>
  <si>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</si>
  <si>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</si>
  <si>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</si>
  <si>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</si>
  <si>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</si>
  <si>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</si>
  <si>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</si>
  <si>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</si>
  <si>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</si>
  <si>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</si>
  <si>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</si>
  <si>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</si>
  <si>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</si>
  <si>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</si>
  <si>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</si>
  <si>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</si>
  <si>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</si>
  <si>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</si>
  <si>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</si>
  <si>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</si>
  <si>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</si>
  <si>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</si>
  <si>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</si>
  <si>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</si>
  <si>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</si>
  <si>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</si>
  <si>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</si>
  <si>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</si>
  <si>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</si>
  <si>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</si>
  <si>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</si>
  <si>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</si>
  <si>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</si>
  <si>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</si>
  <si>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</si>
  <si>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</si>
  <si>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</si>
  <si>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</si>
  <si>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</si>
  <si>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</si>
  <si>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</si>
  <si>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</si>
  <si>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</si>
  <si>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</si>
  <si>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</si>
  <si>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</si>
  <si>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</si>
  <si>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</si>
  <si>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</si>
  <si>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</si>
  <si>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</si>
  <si>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</si>
  <si>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</si>
  <si>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</si>
  <si>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</si>
  <si>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</si>
  <si>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</si>
  <si>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</si>
  <si>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</si>
  <si>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</si>
  <si>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</si>
  <si>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</si>
  <si>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</si>
  <si>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</si>
  <si>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</si>
  <si>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</si>
  <si>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</si>
  <si>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</si>
  <si>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</si>
  <si>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</si>
  <si>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</si>
  <si>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</si>
  <si>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</si>
  <si>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</si>
  <si>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</si>
  <si>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</si>
  <si>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</si>
  <si>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</si>
  <si>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</si>
  <si>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</si>
  <si>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</si>
  <si>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</si>
  <si>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</si>
  <si>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</si>
  <si>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</si>
  <si>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</si>
  <si>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</si>
  <si>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</si>
  <si>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</si>
  <si>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</si>
  <si>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</si>
  <si>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</si>
  <si>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</si>
  <si>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</si>
  <si>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</si>
  <si>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</si>
  <si>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</si>
  <si>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</si>
  <si>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</si>
  <si>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</si>
  <si>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</si>
  <si>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</si>
  <si>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</si>
  <si>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</si>
  <si>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</si>
  <si>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</si>
  <si>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</si>
  <si>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</si>
  <si>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</si>
  <si>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</si>
  <si>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</si>
  <si>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</si>
  <si>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</si>
  <si>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</si>
  <si>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</si>
  <si>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</si>
  <si>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</si>
  <si>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</si>
  <si>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</si>
  <si>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</si>
  <si>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</si>
  <si>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</si>
  <si>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</si>
  <si>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</si>
  <si>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</si>
  <si>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</si>
  <si>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</si>
  <si>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</si>
  <si>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</si>
  <si>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</si>
  <si>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</si>
  <si>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</si>
  <si>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</si>
  <si>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</si>
  <si>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</si>
  <si>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</si>
  <si>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</si>
  <si>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</si>
  <si>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</si>
  <si>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</si>
  <si>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</si>
  <si>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</si>
  <si>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</si>
  <si>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</si>
  <si>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</si>
  <si>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</si>
  <si>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</si>
  <si>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</si>
  <si>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</si>
  <si>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</si>
  <si>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</si>
  <si>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</si>
  <si>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</si>
  <si>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</si>
  <si>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</si>
  <si>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</si>
  <si>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</si>
  <si>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</si>
  <si>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</si>
  <si>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</si>
  <si>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</si>
  <si>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</si>
  <si>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</si>
  <si>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</si>
  <si>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</si>
  <si>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</si>
  <si>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</si>
  <si>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</si>
  <si>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</si>
  <si>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</si>
  <si>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</si>
  <si>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</si>
  <si>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</si>
  <si>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</si>
  <si>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</si>
  <si>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</si>
  <si>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</si>
  <si>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</si>
  <si>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</si>
  <si>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</si>
  <si>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</si>
  <si>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</si>
  <si>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</si>
  <si>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</si>
  <si>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</si>
  <si>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</si>
  <si>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</si>
  <si>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</si>
  <si>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</si>
  <si>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</si>
  <si>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</si>
  <si>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</si>
  <si>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</si>
  <si>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</si>
  <si>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</si>
  <si>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</si>
  <si>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</si>
  <si>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</si>
  <si>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</si>
  <si>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</si>
  <si>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</si>
  <si>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</si>
  <si>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</si>
  <si>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</si>
  <si>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</si>
  <si>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</si>
  <si>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</si>
  <si>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</si>
  <si>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</si>
  <si>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</si>
  <si>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</si>
  <si>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</si>
  <si>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</si>
  <si>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</si>
  <si>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</si>
  <si>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</si>
  <si>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</si>
  <si>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</si>
  <si>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</si>
  <si>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</si>
  <si>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</si>
  <si>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</si>
  <si>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</si>
  <si>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</si>
  <si>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</si>
  <si>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</si>
  <si>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</si>
  <si>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</si>
  <si>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</si>
  <si>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</si>
  <si>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</si>
  <si>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</si>
  <si>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</si>
  <si>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</si>
  <si>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</si>
  <si>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</si>
  <si>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</si>
  <si>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</si>
  <si>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</si>
  <si>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</si>
  <si>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</si>
  <si>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</si>
  <si>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</si>
  <si>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</si>
  <si>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</si>
  <si>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</si>
  <si>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</si>
  <si>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</si>
  <si>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</si>
  <si>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</si>
  <si>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</si>
  <si>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</si>
  <si>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</si>
  <si>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</si>
  <si>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</si>
  <si>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</si>
  <si>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</si>
  <si>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</si>
  <si>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</si>
  <si>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</si>
  <si>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</si>
  <si>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</si>
  <si>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</si>
  <si>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</si>
  <si>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</si>
  <si>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</si>
  <si>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</si>
  <si>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</si>
  <si>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</si>
  <si>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</si>
  <si>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</si>
  <si>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</si>
  <si>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</si>
  <si>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</si>
  <si>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</si>
  <si>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</si>
  <si>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</si>
  <si>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</si>
  <si>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</si>
  <si>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</si>
  <si>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</si>
  <si>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</si>
  <si>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</si>
  <si>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</si>
  <si>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</si>
  <si>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</si>
  <si>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</si>
  <si>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</si>
  <si>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</si>
  <si>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</si>
  <si>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</si>
  <si>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</si>
  <si>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</si>
  <si>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</si>
  <si>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</si>
  <si>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</si>
  <si>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</si>
  <si>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</si>
  <si>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</si>
  <si>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</si>
  <si>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</si>
  <si>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</si>
  <si>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</si>
  <si>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</si>
  <si>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</si>
  <si>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</si>
  <si>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</si>
  <si>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</si>
  <si>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</si>
  <si>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</si>
  <si>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</si>
  <si>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</si>
  <si>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</si>
  <si>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</si>
  <si>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</si>
  <si>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</si>
  <si>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</si>
  <si>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</si>
  <si>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</si>
  <si>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</si>
  <si>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</si>
  <si>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</si>
  <si>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</si>
  <si>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</si>
  <si>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</si>
  <si>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</si>
  <si>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</si>
  <si>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</si>
  <si>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</si>
  <si>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</si>
  <si>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</si>
  <si>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</si>
  <si>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</si>
  <si>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</si>
  <si>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</si>
  <si>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</si>
  <si>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</si>
  <si>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</si>
  <si>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</si>
  <si>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</si>
  <si>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</si>
  <si>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</si>
  <si>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</si>
  <si>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</si>
  <si>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</si>
  <si>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</si>
  <si>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</si>
  <si>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</si>
  <si>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</si>
  <si>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</si>
  <si>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</si>
  <si>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</si>
  <si>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</si>
  <si>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</si>
  <si>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</si>
  <si>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</si>
  <si>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</si>
  <si>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</si>
  <si>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</si>
  <si>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</si>
  <si>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</si>
  <si>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</si>
  <si>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</si>
  <si>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</si>
  <si>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</si>
  <si>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</si>
  <si>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</si>
  <si>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</si>
  <si>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</si>
  <si>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</si>
  <si>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</si>
  <si>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</si>
  <si>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</si>
  <si>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</si>
  <si>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</si>
  <si>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</si>
  <si>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</si>
  <si>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</si>
  <si>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</si>
  <si>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</si>
  <si>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</si>
  <si>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</si>
  <si>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</si>
  <si>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</si>
  <si>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</si>
  <si>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</si>
  <si>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</si>
  <si>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</si>
  <si>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</si>
  <si>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</si>
  <si>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</si>
  <si>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</si>
  <si>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</si>
  <si>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</si>
  <si>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</si>
  <si>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</si>
  <si>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</si>
  <si>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</si>
  <si>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</si>
  <si>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</si>
  <si>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</si>
  <si>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</si>
  <si>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</si>
  <si>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</si>
  <si>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</si>
  <si>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</si>
  <si>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</si>
  <si>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</si>
  <si>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</si>
  <si>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</si>
  <si>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</si>
  <si>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</si>
  <si>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</si>
  <si>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</si>
  <si>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</si>
  <si>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</si>
  <si>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</si>
  <si>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</si>
  <si>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</si>
  <si>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</si>
  <si>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</si>
  <si>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</si>
  <si>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</si>
  <si>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</si>
  <si>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</si>
  <si>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</si>
  <si>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</si>
  <si>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</si>
  <si>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</si>
  <si>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</si>
  <si>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</si>
  <si>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</si>
  <si>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</si>
  <si>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</si>
  <si>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</si>
  <si>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</si>
  <si>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</si>
  <si>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</si>
  <si>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</si>
  <si>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</si>
  <si>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</si>
  <si>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</si>
  <si>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</si>
  <si>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</si>
  <si>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</si>
  <si>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</si>
  <si>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</si>
  <si>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</si>
  <si>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</si>
  <si>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</si>
  <si>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</si>
  <si>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</si>
  <si>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</si>
  <si>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</si>
  <si>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</si>
  <si>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</si>
  <si>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</si>
  <si>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</si>
  <si>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</si>
  <si>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</si>
  <si>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</si>
  <si>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</si>
  <si>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</si>
  <si>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</si>
  <si>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</si>
  <si>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</si>
  <si>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</si>
  <si>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</si>
  <si>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</si>
  <si>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</si>
  <si>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</si>
  <si>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</si>
  <si>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</si>
  <si>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</si>
  <si>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</si>
  <si>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</si>
  <si>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</si>
  <si>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</si>
  <si>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</si>
  <si>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</si>
  <si>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</si>
  <si>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</si>
  <si>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</si>
  <si>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</si>
  <si>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</si>
  <si>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</si>
  <si>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</si>
  <si>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</si>
  <si>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</si>
  <si>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</si>
  <si>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</si>
  <si>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</si>
  <si>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</si>
  <si>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</si>
  <si>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</si>
  <si>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</si>
  <si>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</si>
  <si>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</si>
  <si>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</si>
  <si>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</si>
  <si>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</si>
  <si>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</si>
  <si>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</si>
  <si>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</si>
  <si>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</si>
  <si>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</si>
  <si>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</si>
  <si>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</si>
  <si>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</si>
  <si>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</si>
  <si>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</si>
  <si>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</si>
  <si>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</si>
  <si>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</si>
  <si>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</si>
  <si>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</si>
  <si>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</si>
  <si>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</si>
  <si>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</si>
  <si>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</si>
  <si>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</si>
  <si>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</si>
  <si>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</si>
  <si>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</si>
  <si>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</si>
  <si>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</si>
  <si>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</si>
  <si>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</si>
  <si>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</si>
  <si>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</si>
  <si>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</si>
  <si>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</si>
  <si>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</si>
  <si>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</si>
  <si>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</si>
  <si>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</si>
  <si>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</si>
  <si>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</si>
  <si>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</si>
  <si>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</si>
  <si>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</si>
  <si>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</si>
  <si>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</si>
  <si>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</si>
  <si>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</si>
  <si>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</si>
  <si>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</si>
  <si>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</si>
  <si>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</si>
  <si>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</si>
  <si>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</si>
  <si>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</si>
  <si>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</si>
  <si>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</si>
  <si>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</si>
  <si>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</si>
  <si>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</si>
  <si>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</si>
  <si>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</si>
  <si>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</si>
  <si>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</si>
  <si>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</si>
  <si>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</si>
  <si>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</si>
  <si>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</si>
  <si>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</si>
  <si>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</si>
  <si>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</si>
  <si>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</si>
  <si>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</si>
  <si>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</si>
  <si>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</si>
  <si>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</si>
  <si>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</si>
  <si>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</si>
  <si>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</si>
  <si>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</si>
  <si>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</si>
  <si>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</si>
  <si>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</si>
  <si>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</si>
  <si>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</si>
  <si>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</si>
  <si>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</si>
  <si>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</si>
  <si>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</si>
  <si>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</si>
  <si>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</si>
  <si>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</si>
  <si>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</si>
  <si>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</si>
  <si>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</si>
  <si>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</si>
  <si>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</si>
  <si>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</si>
  <si>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</si>
  <si>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</si>
  <si>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</si>
  <si>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</si>
  <si>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</si>
  <si>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</si>
  <si>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</si>
  <si>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</si>
  <si>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</si>
  <si>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</si>
  <si>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</si>
  <si>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</si>
  <si>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</si>
  <si>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</si>
  <si>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</si>
  <si>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</si>
  <si>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</si>
  <si>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</si>
  <si>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</si>
  <si>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</si>
  <si>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</si>
  <si>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</si>
  <si>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</si>
  <si>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</si>
  <si>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</si>
  <si>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</si>
  <si>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</si>
  <si>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</si>
  <si>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</si>
  <si>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</si>
  <si>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</si>
  <si>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</si>
  <si>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</si>
  <si>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</si>
  <si>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</si>
  <si>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</si>
  <si>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</si>
  <si>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</si>
  <si>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</si>
  <si>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</si>
  <si>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</si>
  <si>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</si>
  <si>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</si>
  <si>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</si>
  <si>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</si>
  <si>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</si>
  <si>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</si>
  <si>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</si>
  <si>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</si>
  <si>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</si>
  <si>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</si>
  <si>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</si>
  <si>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</si>
  <si>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</si>
  <si>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</si>
  <si>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</si>
  <si>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</si>
  <si>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</si>
  <si>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</si>
  <si>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</si>
  <si>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</si>
  <si>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</si>
  <si>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</si>
  <si>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</si>
  <si>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</si>
  <si>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</si>
  <si>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</si>
  <si>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</si>
  <si>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</si>
  <si>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</si>
  <si>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</si>
  <si>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</si>
  <si>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</si>
  <si>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</si>
  <si>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</si>
  <si>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</si>
  <si>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</si>
  <si>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</si>
  <si>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</si>
  <si>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</si>
  <si>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</si>
  <si>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</si>
  <si>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</si>
  <si>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</si>
  <si>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</si>
  <si>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</si>
  <si>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</si>
  <si>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</si>
  <si>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</si>
  <si>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</si>
  <si>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</si>
  <si>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</si>
  <si>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</si>
  <si>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</si>
  <si>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</si>
  <si>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</si>
  <si>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</si>
  <si>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</si>
  <si>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</si>
  <si>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</si>
  <si>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</si>
  <si>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</si>
  <si>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</si>
  <si>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</si>
  <si>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</si>
  <si>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</si>
  <si>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</si>
  <si>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</si>
  <si>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</si>
  <si>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</si>
  <si>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</si>
  <si>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</si>
  <si>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</si>
  <si>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</si>
  <si>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</si>
  <si>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</si>
  <si>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</si>
  <si>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</si>
  <si>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</si>
  <si>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</si>
  <si>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</si>
  <si>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</si>
  <si>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</si>
  <si>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</si>
  <si>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</si>
  <si>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</si>
  <si>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</si>
  <si>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</si>
  <si>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</si>
  <si>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</si>
  <si>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</si>
  <si>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</si>
  <si>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</si>
  <si>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</si>
  <si>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</si>
  <si>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</si>
  <si>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</si>
  <si>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</si>
  <si>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</si>
  <si>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</si>
  <si>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</si>
  <si>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</si>
  <si>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</si>
  <si>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</si>
  <si>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</si>
  <si>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</si>
  <si>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</si>
  <si>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</si>
  <si>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</si>
  <si>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</si>
  <si>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</si>
  <si>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</si>
  <si>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</si>
  <si>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</si>
  <si>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</si>
  <si>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</si>
  <si>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</si>
  <si>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</si>
  <si>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</si>
  <si>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</si>
  <si>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</si>
  <si>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</si>
  <si>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</si>
  <si>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</si>
  <si>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</si>
  <si>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</si>
  <si>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</si>
  <si>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</si>
  <si>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</si>
  <si>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</si>
  <si>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</si>
  <si>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</si>
  <si>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</si>
  <si>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</si>
  <si>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</si>
  <si>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</si>
  <si>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</si>
  <si>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</si>
  <si>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</si>
  <si>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</si>
  <si>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</si>
  <si>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</si>
  <si>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</si>
  <si>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</si>
  <si>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</si>
  <si>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</si>
  <si>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</si>
  <si>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</si>
  <si>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</si>
  <si>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</si>
  <si>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</si>
  <si>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</si>
  <si>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</si>
  <si>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</si>
  <si>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</si>
  <si>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</si>
  <si>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</si>
  <si>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</si>
  <si>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</si>
  <si>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</si>
  <si>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</si>
  <si>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</si>
  <si>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</si>
  <si>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</si>
  <si>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</si>
  <si>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</si>
  <si>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</si>
  <si>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</si>
  <si>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</si>
  <si>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</si>
  <si>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</si>
  <si>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</si>
  <si>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</si>
  <si>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</si>
  <si>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</si>
  <si>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</si>
  <si>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</si>
  <si>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</si>
  <si>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</si>
  <si>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</si>
  <si>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</si>
  <si>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</si>
  <si>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</si>
  <si>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</si>
  <si>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</si>
  <si>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</si>
  <si>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</si>
  <si>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</si>
  <si>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</si>
  <si>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</si>
  <si>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</si>
  <si>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</si>
  <si>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</si>
  <si>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</si>
  <si>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</si>
  <si>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</si>
  <si>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</si>
  <si>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</si>
  <si>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</si>
  <si>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</si>
  <si>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</si>
  <si>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</si>
  <si>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</si>
  <si>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</si>
  <si>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</si>
  <si>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</si>
  <si>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</si>
  <si>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</si>
  <si>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</si>
  <si>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</si>
  <si>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</si>
  <si>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</si>
  <si>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</si>
  <si>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</si>
  <si>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</si>
  <si>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</si>
  <si>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</si>
  <si>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</si>
  <si>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</si>
  <si>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</si>
  <si>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</si>
  <si>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</si>
  <si>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</si>
  <si>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</si>
  <si>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</si>
  <si>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</si>
  <si>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</si>
  <si>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</si>
  <si>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</si>
  <si>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</si>
  <si>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</si>
  <si>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</si>
  <si>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</si>
  <si>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</si>
  <si>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</si>
  <si>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</si>
  <si>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</si>
  <si>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</si>
  <si>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</si>
  <si>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</si>
  <si>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</si>
  <si>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</si>
  <si>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</si>
  <si>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</si>
  <si>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</si>
  <si>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</si>
  <si>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</si>
  <si>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</si>
  <si>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</si>
  <si>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</si>
  <si>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</si>
  <si>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</si>
  <si>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</si>
  <si>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</si>
  <si>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</si>
  <si>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</si>
  <si>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</si>
  <si>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</si>
  <si>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</si>
  <si>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</si>
  <si>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</si>
  <si>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</si>
  <si>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</si>
  <si>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</si>
  <si>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</si>
  <si>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</si>
  <si>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</si>
  <si>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</si>
  <si>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</si>
  <si>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</si>
  <si>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</si>
  <si>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</si>
  <si>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</si>
  <si>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</si>
  <si>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</si>
  <si>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</si>
  <si>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</si>
  <si>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</si>
  <si>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</si>
  <si>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</si>
  <si>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</si>
  <si>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</si>
  <si>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</si>
  <si>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</si>
  <si>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</si>
  <si>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</si>
  <si>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</si>
  <si>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</si>
  <si>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</si>
  <si>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</si>
  <si>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</si>
  <si>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</si>
  <si>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</si>
  <si>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</si>
  <si>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</si>
  <si>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</si>
  <si>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</si>
  <si>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</si>
  <si>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</si>
  <si>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</si>
  <si>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</si>
  <si>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</si>
  <si>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</si>
  <si>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</si>
  <si>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</si>
  <si>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</si>
  <si>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</si>
  <si>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</si>
  <si>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</si>
  <si>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</si>
  <si>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</si>
  <si>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</si>
  <si>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</si>
  <si>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</si>
  <si>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</si>
  <si>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</si>
  <si>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</si>
  <si>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</si>
  <si>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</si>
  <si>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</si>
  <si>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</si>
  <si>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</si>
  <si>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</si>
  <si>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</si>
  <si>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</si>
  <si>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</si>
  <si>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</si>
  <si>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</si>
  <si>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</si>
  <si>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</si>
  <si>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</si>
  <si>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</si>
  <si>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</si>
  <si>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</si>
  <si>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</si>
  <si>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</si>
  <si>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</si>
  <si>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</si>
  <si>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</si>
  <si>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</si>
  <si>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</si>
  <si>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</si>
  <si>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</si>
  <si>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</si>
  <si>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</si>
  <si>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</si>
  <si>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</si>
  <si>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</si>
  <si>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</si>
  <si>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</si>
  <si>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</si>
  <si>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</si>
  <si>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</si>
  <si>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</si>
  <si>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</si>
  <si>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</si>
  <si>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</si>
  <si>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</si>
  <si>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</si>
  <si>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</si>
  <si>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</si>
  <si>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</si>
  <si>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</si>
  <si>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</si>
  <si>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</si>
  <si>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</si>
  <si>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</si>
  <si>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</si>
  <si>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</si>
  <si>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</si>
  <si>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</si>
  <si>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</si>
  <si>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</si>
  <si>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</si>
  <si>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</si>
  <si>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</si>
  <si>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</si>
  <si>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</si>
  <si>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</si>
  <si>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</si>
  <si>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</si>
  <si>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</si>
  <si>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</si>
  <si>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</si>
  <si>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</si>
  <si>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</si>
  <si>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</si>
  <si>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</si>
  <si>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</si>
  <si>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</si>
  <si>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</si>
  <si>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</si>
  <si>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</si>
  <si>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</si>
  <si>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</si>
  <si>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</si>
  <si>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</si>
  <si>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</si>
  <si>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</si>
  <si>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</si>
  <si>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</si>
  <si>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</si>
  <si>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</si>
  <si>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</si>
  <si>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</si>
  <si>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</si>
  <si>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</si>
  <si>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</si>
  <si>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</si>
  <si>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</si>
  <si>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</si>
  <si>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</si>
  <si>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</si>
  <si>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</si>
  <si>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</si>
  <si>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</si>
  <si>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</si>
  <si>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</si>
  <si>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</si>
  <si>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</si>
  <si>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</si>
  <si>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</si>
  <si>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</si>
  <si>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</si>
  <si>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</si>
  <si>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</si>
  <si>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</si>
  <si>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</si>
  <si>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</si>
  <si>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</si>
  <si>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</si>
  <si>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</si>
  <si>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</si>
  <si>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</si>
  <si>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</si>
  <si>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</si>
  <si>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</si>
  <si>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</si>
  <si>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</si>
  <si>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</si>
  <si>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</si>
  <si>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</si>
  <si>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</si>
  <si>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</si>
  <si>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</si>
  <si>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</si>
  <si>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</si>
  <si>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</si>
  <si>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</si>
  <si>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</si>
  <si>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</si>
  <si>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</si>
  <si>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</si>
  <si>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</si>
  <si>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</si>
  <si>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</si>
  <si>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</si>
  <si>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</si>
  <si>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</si>
  <si>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</si>
  <si>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</si>
  <si>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</si>
  <si>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</si>
  <si>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</si>
  <si>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</si>
  <si>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</si>
  <si>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</si>
  <si>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</si>
  <si>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</si>
  <si>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</si>
  <si>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</si>
  <si>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</si>
  <si>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</si>
  <si>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</si>
  <si>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</si>
  <si>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</si>
  <si>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</si>
  <si>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</si>
  <si>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</si>
  <si>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</si>
  <si>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</si>
  <si>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</si>
  <si>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</si>
  <si>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</si>
  <si>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</si>
  <si>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</si>
  <si>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</si>
  <si>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</si>
  <si>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</si>
  <si>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</si>
  <si>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</si>
  <si>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</si>
  <si>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</si>
  <si>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</si>
  <si>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</si>
  <si>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</si>
  <si>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</si>
  <si>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</si>
  <si>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</si>
  <si>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</si>
  <si>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</si>
  <si>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</si>
  <si>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</si>
  <si>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</si>
  <si>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</si>
  <si>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</si>
  <si>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</si>
  <si>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</si>
  <si>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</si>
  <si>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</si>
  <si>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</si>
  <si>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</si>
  <si>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</si>
  <si>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</si>
  <si>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</si>
  <si>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</si>
  <si>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</si>
  <si>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</si>
  <si>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</si>
  <si>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</si>
  <si>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</si>
  <si>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</si>
  <si>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</si>
  <si>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</si>
  <si>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</si>
  <si>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</si>
  <si>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</si>
  <si>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</si>
  <si>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</si>
  <si>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</si>
  <si>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</si>
  <si>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</si>
  <si>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</si>
  <si>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</si>
  <si>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</si>
  <si>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</si>
  <si>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</si>
  <si>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</si>
  <si>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</si>
  <si>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</si>
  <si>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</si>
  <si>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</si>
  <si>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</si>
  <si>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</si>
  <si>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</si>
  <si>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</si>
  <si>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</si>
  <si>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</si>
  <si>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</si>
  <si>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</si>
  <si>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</si>
  <si>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</si>
  <si>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</si>
  <si>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</si>
  <si>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</si>
  <si>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</si>
  <si>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</si>
  <si>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</si>
  <si>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</si>
  <si>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</si>
  <si>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</si>
  <si>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</si>
  <si>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</si>
  <si>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</si>
  <si>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</si>
  <si>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</si>
  <si>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</si>
  <si>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</si>
  <si>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</si>
  <si>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</si>
  <si>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</si>
  <si>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</si>
  <si>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</si>
  <si>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</si>
  <si>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</si>
  <si>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</si>
  <si>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</si>
  <si>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</si>
  <si>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</si>
  <si>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</si>
  <si>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</si>
  <si>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</si>
  <si>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</si>
  <si>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</si>
  <si>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</si>
  <si>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</si>
  <si>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</si>
  <si>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</si>
  <si>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</si>
  <si>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</si>
  <si>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</si>
  <si>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</si>
  <si>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</si>
  <si>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</si>
  <si>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</si>
  <si>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</si>
  <si>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</si>
  <si>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</si>
  <si>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</si>
  <si>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</si>
  <si>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</si>
  <si>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</si>
  <si>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</si>
  <si>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</si>
  <si>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</si>
  <si>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</si>
  <si>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</si>
  <si>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</si>
  <si>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</si>
  <si>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</si>
  <si>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</si>
  <si>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</si>
  <si>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</si>
  <si>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</si>
  <si>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</si>
  <si>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</si>
  <si>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</si>
  <si>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</si>
  <si>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</si>
  <si>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</si>
  <si>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</si>
  <si>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</si>
  <si>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</si>
  <si>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</si>
  <si>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</si>
  <si>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</si>
  <si>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</si>
  <si>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</si>
  <si>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</si>
  <si>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</si>
  <si>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</si>
  <si>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</si>
  <si>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</si>
  <si>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</si>
  <si>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</si>
  <si>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</si>
  <si>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</si>
  <si>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</si>
  <si>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</si>
  <si>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</si>
  <si>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</si>
  <si>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</si>
  <si>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</si>
  <si>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</si>
  <si>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</si>
  <si>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</si>
  <si>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</si>
  <si>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</si>
  <si>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</si>
  <si>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</si>
  <si>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</si>
  <si>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</si>
  <si>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</si>
  <si>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</si>
  <si>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</si>
  <si>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</si>
  <si>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</si>
  <si>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</si>
  <si>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</si>
  <si>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</si>
  <si>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</si>
  <si>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</si>
  <si>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</si>
  <si>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</si>
  <si>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</si>
  <si>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</si>
  <si>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</si>
  <si>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</si>
  <si>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</si>
  <si>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</si>
  <si>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</si>
  <si>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</si>
  <si>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</si>
  <si>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</si>
  <si>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</si>
  <si>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</si>
  <si>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</si>
  <si>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</si>
  <si>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</si>
  <si>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</si>
  <si>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</si>
  <si>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</si>
  <si>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</si>
  <si>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</si>
  <si>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</si>
  <si>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</si>
  <si>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</si>
  <si>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</si>
  <si>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</si>
  <si>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</si>
  <si>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</si>
  <si>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</si>
  <si>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</si>
  <si>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</si>
  <si>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</si>
  <si>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</si>
  <si>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</si>
  <si>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</si>
  <si>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</si>
  <si>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</si>
  <si>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</si>
  <si>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</si>
  <si>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</si>
  <si>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</si>
  <si>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</si>
  <si>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</si>
  <si>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</si>
  <si>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</si>
  <si>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</si>
  <si>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</si>
  <si>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</si>
  <si>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</si>
  <si>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</si>
  <si>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</si>
  <si>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</si>
  <si>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</si>
  <si>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</si>
  <si>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</si>
  <si>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</si>
  <si>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</si>
  <si>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</si>
  <si>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</si>
  <si>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</si>
  <si>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</si>
  <si>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</si>
  <si>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</si>
  <si>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</si>
  <si>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</si>
  <si>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</si>
  <si>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</si>
  <si>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</si>
  <si>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</si>
  <si>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</si>
  <si>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</si>
  <si>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</si>
  <si>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</si>
  <si>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</si>
  <si>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</si>
  <si>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</si>
  <si>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</si>
  <si>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</si>
  <si>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</si>
  <si>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</si>
  <si>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</si>
  <si>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</si>
  <si>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</si>
  <si>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</si>
  <si>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</si>
  <si>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</si>
  <si>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</si>
  <si>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</si>
  <si>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</si>
  <si>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</si>
  <si>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</si>
  <si>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</si>
  <si>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</si>
  <si>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</si>
  <si>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</si>
  <si>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</si>
  <si>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</si>
  <si>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</si>
  <si>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</si>
  <si>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</si>
  <si>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</si>
  <si>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</si>
  <si>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</si>
  <si>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</si>
  <si>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</si>
  <si>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</si>
  <si>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</si>
  <si>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</si>
  <si>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</si>
  <si>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</si>
  <si>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</si>
  <si>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</si>
  <si>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</si>
  <si>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</si>
  <si>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</si>
  <si>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</si>
  <si>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</si>
  <si>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</si>
  <si>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</si>
  <si>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</si>
  <si>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</si>
  <si>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</si>
  <si>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</si>
  <si>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</si>
  <si>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</si>
  <si>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</si>
  <si>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</si>
  <si>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</si>
  <si>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</si>
  <si>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</si>
  <si>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</si>
  <si>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</si>
  <si>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</si>
  <si>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</si>
  <si>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</si>
  <si>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</si>
  <si>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</si>
  <si>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</si>
  <si>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</si>
  <si>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</si>
  <si>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</si>
  <si>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</si>
  <si>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</si>
  <si>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</si>
  <si>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</si>
  <si>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</si>
  <si>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</si>
  <si>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</si>
  <si>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</si>
  <si>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</si>
  <si>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</si>
  <si>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</si>
  <si>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</si>
  <si>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</si>
  <si>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</si>
  <si>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</si>
  <si>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</si>
  <si>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</si>
  <si>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</si>
  <si>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</si>
  <si>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</si>
  <si>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</si>
  <si>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</si>
  <si>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</si>
  <si>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</si>
  <si>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</si>
  <si>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</si>
  <si>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</si>
  <si>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</si>
  <si>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</si>
  <si>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</si>
  <si>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</si>
  <si>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</si>
  <si>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</si>
  <si>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</si>
  <si>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</si>
  <si>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</si>
  <si>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</si>
  <si>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</si>
  <si>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</si>
  <si>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</si>
  <si>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</si>
  <si>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</si>
  <si>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</si>
  <si>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</si>
  <si>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</si>
  <si>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</si>
  <si>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</si>
  <si>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</si>
  <si>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</si>
  <si>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</si>
  <si>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</si>
  <si>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</si>
  <si>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</si>
  <si>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</si>
  <si>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</si>
  <si>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</si>
  <si>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</si>
  <si>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</si>
  <si>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</si>
  <si>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</si>
  <si>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</si>
  <si>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</si>
  <si>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</si>
  <si>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</si>
  <si>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</si>
  <si>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</si>
  <si>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</si>
  <si>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</si>
  <si>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</si>
  <si>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</si>
  <si>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</si>
  <si>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</si>
  <si>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</si>
  <si>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</si>
  <si>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</si>
  <si>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</si>
  <si>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</si>
  <si>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</si>
  <si>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</si>
  <si>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</si>
  <si>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</si>
  <si>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</si>
  <si>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</si>
  <si>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</si>
  <si>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</si>
  <si>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</si>
  <si>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</si>
  <si>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</si>
  <si>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</si>
  <si>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</si>
  <si>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</si>
  <si>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</si>
  <si>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</si>
  <si>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</si>
  <si>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</si>
  <si>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</si>
  <si>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</si>
  <si>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</si>
  <si>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</si>
  <si>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</si>
  <si>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</si>
  <si>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</si>
  <si>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</si>
  <si>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</si>
  <si>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</si>
  <si>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</si>
  <si>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</si>
  <si>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</si>
  <si>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</si>
  <si>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</si>
  <si>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</si>
  <si>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</si>
  <si>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</si>
  <si>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</si>
  <si>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</si>
  <si>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</si>
  <si>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</si>
  <si>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</si>
  <si>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</si>
  <si>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</si>
  <si>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</si>
  <si>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</si>
  <si>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</si>
  <si>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</si>
  <si>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</si>
  <si>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</si>
  <si>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</si>
  <si>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</si>
  <si>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</si>
  <si>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</si>
  <si>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</si>
  <si>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</si>
  <si>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</si>
  <si>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</si>
  <si>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</si>
  <si>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</si>
  <si>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</si>
  <si>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</si>
  <si>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</si>
  <si>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</si>
  <si>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</si>
  <si>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</si>
  <si>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</si>
  <si>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</si>
  <si>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</si>
  <si>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</si>
  <si>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</si>
  <si>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</si>
  <si>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</si>
  <si>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</si>
  <si>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</si>
  <si>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</si>
  <si>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</si>
  <si>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</si>
  <si>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</si>
  <si>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</si>
  <si>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</si>
  <si>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</si>
  <si>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</si>
  <si>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</si>
  <si>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</si>
  <si>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</si>
  <si>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</si>
  <si>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</si>
  <si>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</si>
  <si>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</si>
  <si>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</si>
  <si>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</si>
  <si>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</si>
  <si>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</si>
  <si>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</si>
  <si>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</si>
  <si>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</si>
  <si>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</si>
  <si>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</si>
  <si>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</si>
  <si>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</si>
  <si>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</si>
  <si>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</si>
  <si>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</si>
  <si>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</si>
  <si>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</si>
  <si>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</si>
  <si>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</si>
  <si>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</si>
  <si>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</si>
  <si>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</si>
  <si>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</si>
  <si>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</si>
  <si>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</si>
  <si>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</si>
  <si>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</si>
  <si>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</si>
  <si>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</si>
  <si>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</si>
  <si>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</si>
  <si>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</si>
  <si>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</si>
  <si>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</si>
  <si>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</si>
  <si>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</si>
  <si>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</si>
  <si>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</si>
  <si>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</si>
  <si>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</si>
  <si>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</si>
  <si>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</si>
  <si>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</si>
  <si>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</si>
  <si>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</si>
  <si>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</si>
  <si>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</si>
  <si>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</si>
  <si>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</si>
  <si>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</si>
  <si>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</si>
  <si>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</si>
  <si>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</si>
  <si>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</si>
  <si>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</si>
  <si>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</si>
  <si>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</si>
  <si>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</si>
  <si>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</si>
  <si>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</si>
  <si>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</si>
  <si>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</si>
  <si>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</si>
  <si>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</si>
  <si>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</si>
  <si>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</si>
  <si>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</si>
  <si>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</si>
  <si>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</si>
  <si>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</si>
  <si>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</si>
  <si>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</si>
  <si>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</si>
  <si>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</si>
  <si>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</si>
  <si>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</si>
  <si>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</si>
  <si>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</si>
  <si>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</si>
  <si>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</si>
  <si>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</si>
  <si>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</si>
  <si>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</si>
  <si>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</si>
  <si>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</si>
  <si>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</si>
  <si>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</si>
  <si>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</si>
  <si>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</si>
  <si>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</si>
  <si>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</si>
  <si>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</si>
  <si>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</si>
  <si>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</si>
  <si>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</si>
  <si>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</si>
  <si>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</si>
  <si>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</si>
  <si>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</si>
  <si>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</si>
  <si>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</si>
  <si>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</si>
  <si>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</si>
  <si>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</si>
  <si>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</si>
  <si>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</si>
  <si>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</si>
  <si>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</si>
  <si>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</si>
  <si>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</si>
  <si>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</si>
  <si>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</si>
  <si>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</si>
  <si>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</si>
  <si>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</si>
  <si>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</si>
  <si>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</si>
  <si>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</si>
  <si>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</si>
  <si>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</si>
  <si>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</si>
  <si>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</si>
  <si>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</si>
  <si>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</si>
  <si>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</si>
  <si>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</si>
  <si>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</si>
  <si>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</si>
  <si>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</si>
  <si>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</si>
  <si>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</si>
  <si>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</si>
  <si>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</si>
  <si>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</si>
  <si>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</si>
  <si>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</si>
  <si>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</si>
  <si>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</si>
  <si>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</si>
  <si>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</si>
  <si>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</si>
  <si>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</si>
  <si>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</si>
  <si>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</si>
  <si>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</si>
  <si>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</si>
  <si>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</si>
  <si>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</si>
  <si>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</si>
  <si>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</si>
  <si>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</si>
  <si>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</si>
  <si>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</si>
  <si>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</si>
  <si>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</si>
  <si>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</si>
  <si>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</si>
  <si>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</si>
  <si>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</si>
  <si>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</si>
  <si>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</si>
  <si>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</si>
  <si>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</si>
  <si>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</si>
  <si>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</si>
  <si>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</si>
  <si>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</si>
  <si>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</si>
  <si>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</si>
  <si>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</si>
  <si>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</si>
  <si>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</si>
  <si>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</si>
  <si>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</si>
  <si>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</si>
  <si>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</si>
  <si>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</si>
  <si>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</si>
  <si>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</si>
  <si>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</si>
  <si>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</si>
  <si>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</si>
  <si>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</si>
  <si>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</si>
  <si>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</si>
  <si>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</si>
  <si>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</si>
  <si>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</si>
  <si>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</si>
  <si>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</si>
  <si>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</si>
  <si>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</si>
  <si>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</si>
  <si>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</si>
  <si>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</si>
  <si>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</si>
  <si>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</si>
  <si>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</si>
  <si>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</si>
  <si>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</si>
  <si>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</si>
  <si>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</si>
  <si>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</si>
  <si>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</si>
  <si>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</si>
  <si>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</si>
  <si>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</si>
  <si>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</si>
  <si>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</si>
  <si>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</si>
  <si>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</si>
  <si>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</si>
  <si>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</si>
  <si>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</si>
  <si>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</si>
  <si>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</si>
  <si>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</si>
  <si>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</si>
  <si>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</si>
  <si>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</si>
  <si>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</si>
  <si>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</si>
  <si>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</si>
  <si>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</si>
  <si>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</si>
  <si>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</si>
  <si>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</si>
  <si>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</si>
  <si>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</si>
  <si>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</si>
  <si>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</si>
  <si>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</si>
  <si>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</si>
  <si>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</si>
  <si>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</si>
  <si>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</si>
  <si>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</si>
  <si>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</si>
  <si>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</si>
  <si>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</si>
  <si>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</si>
  <si>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</si>
  <si>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</si>
  <si>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</si>
  <si>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</si>
  <si>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</si>
  <si>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</si>
  <si>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</si>
  <si>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</si>
  <si>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</si>
  <si>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</si>
  <si>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</si>
  <si>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</si>
  <si>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</si>
  <si>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</si>
  <si>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</si>
  <si>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</si>
  <si>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</si>
  <si>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</si>
  <si>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</si>
  <si>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</si>
  <si>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</si>
  <si>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</si>
  <si>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</si>
  <si>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</si>
  <si>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</si>
  <si>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</si>
  <si>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</si>
  <si>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</si>
  <si>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</si>
  <si>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</si>
  <si>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</si>
  <si>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</si>
  <si>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</si>
  <si>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</si>
  <si>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</si>
  <si>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</si>
  <si>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</si>
  <si>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</si>
  <si>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</si>
  <si>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</si>
  <si>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</si>
  <si>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</si>
  <si>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</si>
  <si>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</si>
  <si>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</si>
  <si>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</si>
  <si>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</si>
  <si>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</si>
  <si>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</si>
  <si>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</si>
  <si>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</si>
  <si>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</si>
  <si>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</si>
  <si>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</si>
  <si>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</si>
  <si>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</si>
  <si>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</si>
  <si>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</si>
  <si>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</si>
  <si>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</si>
  <si>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</si>
  <si>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</si>
  <si>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</si>
  <si>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</si>
  <si>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</si>
  <si>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</si>
  <si>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</si>
  <si>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</si>
  <si>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</si>
  <si>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</si>
  <si>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</si>
  <si>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</si>
  <si>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</si>
  <si>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</si>
  <si>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</si>
  <si>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</si>
  <si>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</si>
  <si>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</si>
  <si>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</si>
  <si>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</si>
  <si>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</si>
  <si>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</si>
  <si>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</si>
  <si>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</si>
  <si>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</si>
  <si>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</si>
  <si>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</si>
  <si>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</si>
  <si>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</si>
  <si>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</si>
  <si>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</si>
  <si>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</si>
  <si>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</si>
  <si>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</si>
  <si>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</si>
  <si>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</si>
  <si>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</si>
  <si>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</si>
  <si>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</si>
  <si>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</si>
  <si>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</si>
  <si>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</si>
  <si>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</si>
  <si>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</si>
  <si>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</si>
  <si>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</si>
  <si>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</si>
  <si>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</si>
  <si>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</si>
  <si>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</si>
  <si>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</si>
  <si>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</si>
  <si>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</si>
  <si>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</si>
  <si>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</si>
  <si>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</si>
  <si>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</si>
  <si>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</si>
  <si>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</si>
  <si>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</si>
  <si>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</si>
  <si>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</si>
  <si>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</si>
  <si>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</si>
  <si>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</si>
  <si>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</si>
  <si>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</si>
  <si>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</si>
  <si>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</si>
  <si>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</si>
  <si>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</si>
  <si>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</si>
  <si>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</si>
  <si>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</si>
  <si>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</si>
  <si>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</si>
  <si>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</si>
  <si>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</si>
  <si>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</si>
  <si>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</si>
  <si>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</si>
  <si>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</si>
  <si>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</si>
  <si>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</si>
  <si>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</si>
  <si>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</si>
  <si>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</si>
  <si>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</si>
  <si>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</si>
  <si>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</si>
  <si>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</si>
  <si>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</si>
  <si>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</si>
  <si>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</si>
  <si>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</si>
  <si>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</si>
  <si>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</si>
  <si>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</si>
  <si>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</si>
  <si>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</si>
  <si>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</si>
  <si>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</si>
  <si>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</si>
  <si>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</si>
  <si>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</si>
  <si>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</si>
  <si>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</si>
  <si>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</si>
  <si>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</si>
  <si>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</si>
  <si>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</si>
  <si>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</si>
  <si>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</si>
  <si>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</si>
  <si>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</si>
  <si>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</si>
  <si>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</si>
  <si>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</si>
  <si>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</si>
  <si>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</si>
  <si>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</si>
  <si>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</si>
  <si>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</si>
  <si>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</si>
  <si>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</si>
  <si>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</si>
  <si>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</si>
  <si>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</si>
  <si>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</si>
  <si>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</si>
  <si>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</si>
  <si>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</si>
  <si>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</si>
  <si>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</si>
  <si>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</si>
  <si>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</si>
  <si>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</si>
  <si>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</si>
  <si>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</si>
  <si>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</si>
  <si>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</si>
  <si>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</si>
  <si>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</si>
  <si>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</si>
  <si>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</si>
  <si>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</si>
  <si>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</si>
  <si>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</si>
  <si>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</si>
  <si>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</si>
  <si>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</si>
  <si>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</si>
  <si>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</si>
  <si>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</si>
  <si>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</si>
  <si>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</si>
  <si>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</si>
  <si>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</si>
  <si>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</si>
  <si>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</si>
  <si>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</si>
  <si>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</si>
  <si>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</si>
  <si>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</si>
  <si>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</si>
  <si>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</si>
  <si>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</si>
  <si>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</si>
  <si>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</si>
  <si>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</si>
  <si>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</si>
  <si>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</si>
  <si>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</si>
  <si>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</si>
  <si>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</si>
  <si>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</si>
  <si>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</si>
  <si>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</si>
  <si>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</si>
  <si>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</si>
  <si>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</si>
  <si>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</si>
  <si>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</si>
  <si>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</si>
  <si>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</si>
  <si>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</si>
  <si>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</si>
  <si>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</si>
  <si>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</si>
  <si>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</si>
  <si>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</si>
  <si>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</si>
  <si>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</si>
  <si>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</si>
  <si>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</si>
  <si>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</si>
  <si>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</si>
  <si>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</si>
  <si>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</si>
  <si>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</si>
  <si>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</si>
  <si>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</si>
  <si>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</si>
  <si>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</si>
  <si>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</si>
  <si>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</si>
  <si>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</si>
  <si>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</si>
  <si>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</si>
  <si>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</si>
  <si>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</si>
  <si>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</si>
  <si>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</si>
  <si>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</si>
  <si>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</si>
  <si>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</si>
  <si>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</si>
  <si>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</si>
  <si>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</si>
  <si>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</si>
  <si>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</si>
  <si>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</si>
  <si>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</si>
  <si>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</si>
  <si>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</si>
  <si>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</si>
  <si>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</si>
  <si>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</si>
  <si>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</si>
  <si>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</si>
  <si>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</si>
  <si>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</si>
  <si>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</si>
  <si>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</si>
  <si>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</si>
  <si>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</si>
  <si>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</si>
  <si>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</si>
  <si>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</si>
  <si>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</si>
  <si>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</si>
  <si>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</si>
  <si>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</si>
  <si>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</si>
  <si>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</si>
  <si>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</si>
  <si>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</si>
  <si>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</si>
  <si>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</si>
  <si>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</si>
  <si>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</si>
  <si>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</si>
  <si>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</si>
  <si>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</si>
  <si>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</si>
  <si>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</si>
  <si>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</si>
  <si>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</si>
  <si>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</si>
  <si>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</si>
  <si>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</si>
  <si>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</si>
  <si>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</si>
  <si>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</si>
  <si>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</si>
  <si>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</si>
  <si>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</si>
  <si>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</si>
  <si>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</si>
  <si>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</si>
  <si>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</si>
  <si>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</si>
  <si>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</si>
  <si>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</si>
  <si>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</si>
  <si>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</si>
  <si>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</si>
  <si>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</si>
  <si>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</si>
  <si>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</si>
  <si>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</si>
  <si>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</si>
  <si>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</si>
  <si>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</si>
  <si>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</si>
  <si>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</si>
  <si>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</si>
  <si>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</si>
  <si>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</si>
  <si>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</si>
  <si>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</si>
  <si>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</si>
  <si>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</si>
  <si>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</si>
  <si>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</si>
  <si>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</si>
  <si>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</si>
  <si>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</si>
  <si>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</si>
  <si>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</si>
  <si>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</si>
  <si>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</si>
  <si>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</si>
  <si>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</si>
  <si>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</si>
  <si>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</si>
  <si>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</si>
  <si>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</si>
  <si>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</si>
  <si>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</si>
  <si>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</si>
  <si>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</si>
  <si>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</si>
  <si>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</si>
  <si>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</si>
  <si>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</si>
  <si>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</si>
  <si>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</si>
  <si>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</si>
  <si>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</si>
  <si>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</si>
  <si>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</si>
  <si>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</si>
  <si>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</si>
  <si>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</si>
  <si>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</si>
  <si>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</si>
  <si>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</si>
  <si>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</si>
  <si>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</si>
  <si>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</si>
  <si>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</si>
  <si>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</si>
  <si>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</si>
  <si>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</si>
  <si>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</si>
  <si>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</si>
  <si>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</si>
  <si>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</si>
  <si>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</si>
  <si>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</si>
  <si>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</si>
  <si>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</si>
  <si>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</si>
  <si>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</si>
  <si>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</si>
  <si>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</si>
  <si>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</si>
  <si>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</si>
  <si>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</si>
  <si>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</si>
  <si>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</si>
  <si>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</si>
  <si>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</si>
  <si>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</si>
  <si>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</si>
  <si>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</si>
  <si>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</si>
  <si>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</si>
  <si>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</si>
  <si>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</si>
  <si>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</si>
  <si>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</si>
  <si>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</si>
  <si>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</si>
  <si>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</si>
  <si>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</si>
  <si>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</si>
  <si>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</si>
  <si>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</si>
  <si>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</si>
  <si>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</si>
  <si>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</si>
  <si>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</si>
  <si>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</si>
  <si>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</si>
  <si>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</si>
  <si>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</si>
  <si>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</si>
  <si>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</si>
  <si>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</si>
  <si>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</si>
  <si>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</si>
  <si>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</si>
  <si>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</si>
  <si>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</si>
  <si>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</si>
  <si>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</si>
  <si>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</si>
  <si>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</si>
  <si>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</si>
  <si>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</si>
  <si>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</si>
  <si>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</si>
  <si>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</si>
  <si>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</si>
  <si>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</si>
  <si>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</si>
  <si>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</si>
  <si>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</si>
  <si>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</si>
  <si>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</si>
  <si>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</si>
  <si>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</si>
  <si>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</si>
  <si>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</si>
  <si>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</si>
  <si>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</si>
  <si>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</si>
  <si>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</si>
  <si>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</si>
  <si>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</si>
  <si>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</si>
  <si>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</si>
  <si>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</si>
  <si>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</si>
  <si>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</si>
  <si>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</si>
  <si>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</si>
  <si>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</si>
  <si>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</si>
  <si>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</si>
  <si>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</si>
  <si>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</si>
  <si>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</si>
  <si>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</si>
  <si>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</si>
  <si>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</si>
  <si>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</si>
  <si>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</si>
  <si>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</si>
  <si>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</si>
  <si>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</si>
  <si>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</si>
  <si>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</si>
  <si>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</si>
  <si>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</si>
  <si>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</si>
  <si>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</si>
  <si>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</si>
  <si>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</si>
  <si>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</si>
  <si>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</si>
  <si>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</si>
  <si>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</si>
  <si>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</si>
  <si>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</si>
  <si>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</si>
  <si>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</si>
  <si>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</si>
  <si>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</si>
  <si>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</si>
  <si>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</si>
  <si>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</si>
  <si>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</si>
  <si>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</si>
  <si>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</si>
  <si>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</si>
  <si>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</si>
  <si>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</si>
  <si>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</si>
  <si>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</si>
  <si>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</si>
  <si>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</si>
  <si>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</si>
  <si>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</si>
  <si>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</si>
  <si>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</si>
  <si>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</si>
  <si>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</si>
  <si>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</si>
  <si>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</si>
  <si>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</si>
  <si>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</si>
  <si>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</si>
  <si>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</si>
  <si>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</si>
  <si>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</si>
  <si>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</si>
  <si>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</si>
  <si>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</si>
  <si>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</si>
  <si>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</si>
  <si>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</si>
  <si>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</si>
  <si>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</si>
  <si>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</si>
  <si>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</si>
  <si>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</si>
  <si>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</si>
  <si>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</si>
  <si>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</si>
  <si>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</si>
  <si>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</si>
  <si>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</si>
  <si>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</si>
  <si>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</si>
  <si>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</si>
  <si>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</si>
  <si>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</si>
  <si>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</si>
  <si>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</si>
  <si>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</si>
  <si>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</si>
  <si>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</si>
  <si>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</si>
  <si>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</si>
  <si>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</si>
  <si>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</si>
  <si>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</si>
  <si>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</si>
  <si>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</si>
  <si>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</si>
  <si>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</si>
  <si>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</si>
  <si>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</si>
  <si>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</si>
  <si>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</si>
  <si>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</si>
  <si>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</si>
  <si>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</si>
  <si>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</si>
  <si>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</si>
  <si>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</si>
  <si>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</si>
  <si>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</si>
  <si>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</si>
  <si>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</si>
  <si>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</si>
  <si>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</si>
  <si>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</si>
  <si>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</si>
  <si>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</si>
  <si>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</si>
  <si>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</si>
  <si>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</si>
  <si>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</si>
  <si>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</si>
  <si>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</si>
  <si>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</si>
  <si>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</si>
  <si>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</si>
  <si>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</si>
  <si>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</si>
  <si>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</si>
  <si>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</si>
  <si>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</si>
  <si>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</si>
  <si>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</si>
  <si>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</si>
  <si>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</si>
  <si>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</si>
  <si>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</si>
  <si>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</si>
  <si>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</si>
  <si>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</si>
  <si>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</si>
  <si>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</si>
  <si>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</si>
  <si>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</si>
  <si>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</si>
  <si>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</si>
  <si>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</si>
  <si>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</si>
  <si>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</si>
  <si>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</si>
  <si>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</si>
  <si>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</si>
  <si>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</si>
  <si>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</si>
  <si>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</si>
  <si>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</si>
  <si>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</si>
  <si>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</si>
  <si>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</si>
  <si>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</si>
  <si>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</si>
  <si>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</si>
  <si>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</si>
  <si>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</si>
  <si>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</si>
  <si>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</si>
  <si>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</si>
  <si>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</si>
  <si>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</si>
  <si>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</si>
  <si>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</si>
  <si>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</si>
  <si>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</si>
  <si>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</si>
  <si>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</si>
  <si>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</si>
  <si>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</si>
  <si>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</si>
  <si>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</si>
  <si>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</si>
  <si>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</si>
  <si>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</si>
  <si>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</si>
  <si>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</si>
  <si>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</si>
  <si>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</si>
  <si>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</si>
  <si>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</si>
  <si>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</si>
  <si>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</si>
  <si>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</si>
  <si>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</si>
  <si>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</si>
  <si>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</si>
  <si>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</si>
  <si>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</si>
  <si>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</si>
  <si>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</si>
  <si>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</si>
  <si>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</si>
  <si>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</si>
  <si>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</si>
  <si>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</si>
  <si>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</si>
  <si>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</si>
  <si>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</si>
  <si>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</si>
  <si>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</si>
  <si>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</si>
  <si>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</si>
  <si>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</si>
  <si>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</si>
  <si>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</si>
  <si>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</si>
  <si>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</si>
  <si>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</si>
  <si>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</si>
  <si>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</si>
  <si>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</si>
  <si>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</si>
  <si>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</si>
  <si>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</si>
  <si>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</si>
  <si>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</si>
  <si>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</si>
  <si>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</si>
  <si>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</si>
  <si>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</si>
  <si>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</si>
  <si>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</si>
  <si>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</si>
  <si>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</si>
  <si>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</si>
  <si>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</si>
  <si>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</si>
  <si>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</si>
  <si>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</si>
  <si>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</si>
  <si>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</si>
  <si>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</si>
  <si>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</si>
  <si>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</si>
  <si>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</si>
  <si>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</si>
  <si>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</si>
  <si>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</si>
  <si>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</si>
  <si>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</si>
  <si>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</si>
  <si>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</si>
  <si>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</si>
  <si>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</si>
  <si>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</si>
  <si>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</si>
  <si>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</si>
  <si>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</si>
  <si>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</si>
  <si>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</si>
  <si>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</si>
  <si>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</si>
  <si>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</si>
  <si>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</si>
  <si>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</si>
  <si>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</si>
  <si>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</si>
  <si>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</si>
  <si>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</si>
  <si>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</si>
  <si>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</si>
  <si>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</si>
  <si>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</si>
  <si>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</si>
  <si>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</si>
  <si>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</si>
  <si>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</si>
  <si>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</si>
  <si>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</si>
  <si>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</si>
  <si>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</si>
  <si>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</si>
  <si>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</si>
  <si>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</si>
  <si>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</si>
  <si>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</si>
  <si>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</si>
  <si>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</si>
  <si>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</si>
  <si>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</si>
  <si>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</si>
  <si>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</si>
  <si>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</si>
  <si>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</si>
  <si>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</si>
  <si>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</si>
  <si>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</si>
  <si>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</si>
  <si>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</si>
  <si>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</si>
  <si>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</si>
  <si>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</si>
  <si>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</si>
  <si>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</si>
  <si>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</si>
  <si>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</si>
  <si>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</si>
  <si>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</si>
  <si>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</si>
  <si>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</si>
  <si>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</si>
  <si>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</si>
  <si>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</si>
  <si>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</si>
  <si>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</si>
  <si>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</si>
  <si>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</si>
  <si>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</si>
  <si>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</si>
  <si>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</si>
  <si>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</si>
  <si>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</si>
  <si>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</si>
  <si>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</si>
  <si>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</si>
  <si>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</si>
  <si>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</si>
  <si>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</si>
  <si>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</si>
  <si>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</si>
  <si>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</si>
  <si>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</si>
  <si>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</si>
  <si>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</si>
  <si>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</si>
  <si>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</si>
  <si>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</si>
  <si>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</si>
  <si>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</si>
  <si>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</si>
  <si>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</si>
  <si>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</si>
  <si>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</si>
  <si>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</si>
  <si>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</si>
  <si>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</si>
  <si>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</si>
  <si>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</si>
  <si>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</si>
  <si>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</si>
  <si>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</si>
  <si>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</si>
  <si>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</si>
  <si>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</si>
  <si>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</si>
  <si>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</si>
  <si>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</si>
  <si>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</si>
  <si>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</si>
  <si>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</si>
  <si>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</si>
  <si>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</si>
  <si>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</si>
  <si>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</si>
  <si>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</si>
  <si>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</si>
  <si>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</si>
  <si>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</si>
  <si>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</si>
  <si>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</si>
  <si>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</si>
  <si>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</si>
  <si>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</si>
  <si>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</si>
  <si>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</si>
  <si>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</si>
  <si>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</si>
  <si>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</si>
  <si>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</si>
  <si>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</si>
  <si>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</si>
  <si>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</si>
  <si>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</si>
  <si>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</si>
  <si>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</si>
  <si>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</si>
  <si>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</si>
  <si>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</si>
  <si>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</si>
  <si>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</si>
  <si>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</si>
  <si>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</si>
  <si>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</si>
  <si>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</si>
  <si>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</si>
  <si>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</si>
  <si>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</si>
  <si>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</si>
  <si>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</si>
  <si>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</si>
  <si>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</si>
  <si>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</si>
  <si>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</si>
  <si>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</si>
  <si>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</si>
  <si>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</si>
  <si>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</si>
  <si>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</si>
  <si>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</si>
  <si>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</si>
  <si>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</si>
  <si>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</si>
  <si>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</si>
  <si>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</si>
  <si>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</si>
  <si>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</si>
  <si>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</si>
  <si>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</si>
  <si>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</si>
  <si>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</si>
  <si>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</si>
  <si>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</si>
  <si>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</si>
  <si>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</si>
  <si>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</si>
  <si>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</si>
  <si>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</si>
  <si>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</si>
  <si>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</si>
  <si>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</si>
  <si>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</si>
  <si>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</si>
  <si>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</si>
  <si>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</si>
  <si>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</si>
  <si>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</si>
  <si>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</si>
  <si>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</si>
  <si>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</si>
  <si>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</si>
  <si>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</si>
  <si>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</si>
  <si>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</si>
  <si>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</si>
  <si>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</si>
  <si>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</si>
  <si>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</si>
  <si>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</si>
  <si>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</si>
  <si>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</si>
  <si>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</si>
  <si>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</si>
  <si>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</si>
  <si>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</si>
  <si>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</si>
  <si>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</si>
  <si>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</si>
  <si>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</si>
  <si>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</si>
  <si>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</si>
  <si>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</si>
  <si>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</si>
  <si>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</si>
  <si>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</si>
  <si>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</si>
  <si>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</si>
  <si>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</si>
  <si>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</si>
  <si>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</si>
  <si>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</si>
  <si>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</si>
  <si>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</si>
  <si>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</si>
  <si>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</si>
  <si>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</si>
  <si>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</si>
  <si>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</si>
  <si>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</si>
  <si>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</si>
  <si>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</si>
  <si>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</si>
  <si>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</si>
  <si>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</si>
  <si>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</si>
  <si>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</si>
  <si>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</si>
  <si>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</si>
  <si>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</si>
  <si>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</si>
  <si>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</si>
  <si>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</si>
  <si>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</si>
  <si>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</si>
  <si>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</si>
  <si>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</si>
  <si>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</si>
  <si>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</si>
  <si>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</si>
  <si>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</si>
  <si>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</si>
  <si>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</si>
  <si>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</si>
  <si>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</si>
  <si>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</si>
  <si>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</si>
  <si>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</si>
  <si>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</si>
  <si>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</si>
  <si>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</si>
  <si>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</si>
  <si>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</si>
  <si>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</si>
  <si>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</si>
  <si>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</si>
  <si>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</si>
  <si>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</si>
  <si>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</si>
  <si>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</si>
  <si>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</si>
  <si>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</si>
  <si>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</si>
  <si>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</si>
  <si>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</si>
  <si>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</si>
  <si>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</si>
  <si>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</si>
  <si>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</si>
  <si>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</si>
  <si>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</si>
  <si>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</si>
  <si>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</si>
  <si>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</si>
  <si>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</si>
  <si>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</si>
  <si>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</si>
  <si>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</si>
  <si>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</si>
  <si>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</si>
  <si>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</si>
  <si>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</si>
  <si>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</si>
  <si>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</si>
  <si>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</si>
  <si>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</si>
  <si>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</si>
  <si>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</si>
  <si>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</si>
  <si>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</si>
  <si>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</si>
  <si>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</si>
  <si>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</si>
  <si>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</si>
  <si>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</si>
  <si>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</si>
  <si>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</si>
  <si>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</si>
  <si>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</si>
  <si>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</si>
  <si>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</si>
  <si>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</si>
  <si>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</si>
  <si>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</si>
  <si>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</si>
  <si>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</si>
  <si>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</si>
  <si>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</si>
  <si>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</si>
  <si>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</si>
  <si>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</si>
  <si>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</si>
  <si>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</si>
  <si>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</si>
  <si>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</si>
  <si>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</si>
  <si>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</si>
  <si>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</si>
  <si>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</si>
  <si>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</si>
  <si>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</si>
  <si>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</si>
  <si>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</si>
  <si>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</si>
  <si>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</si>
  <si>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</si>
  <si>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</si>
  <si>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</si>
  <si>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</si>
  <si>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</si>
  <si>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</si>
  <si>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</si>
  <si>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</si>
  <si>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</si>
  <si>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</si>
  <si>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</si>
  <si>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</si>
  <si>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</si>
  <si>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</si>
  <si>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</si>
  <si>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</si>
  <si>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</si>
  <si>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</si>
  <si>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</si>
  <si>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</si>
  <si>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</si>
  <si>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</si>
  <si>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</si>
  <si>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</si>
  <si>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</si>
  <si>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</si>
  <si>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</si>
  <si>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</si>
  <si>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</si>
  <si>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</si>
  <si>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</si>
  <si>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</si>
  <si>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</si>
  <si>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</si>
  <si>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</si>
  <si>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</si>
  <si>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</si>
  <si>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</si>
  <si>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</si>
  <si>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</si>
  <si>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</si>
  <si>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</si>
  <si>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</si>
  <si>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</si>
  <si>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</si>
  <si>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</si>
  <si>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</si>
  <si>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</si>
  <si>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</si>
  <si>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</si>
  <si>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</si>
  <si>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</si>
  <si>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</si>
  <si>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</si>
  <si>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</si>
  <si>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</si>
  <si>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</si>
  <si>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</si>
  <si>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</si>
  <si>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</si>
  <si>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</si>
  <si>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</si>
  <si>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</si>
  <si>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</si>
  <si>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</si>
  <si>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</si>
  <si>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</si>
  <si>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</si>
  <si>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</si>
  <si>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</si>
  <si>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</si>
  <si>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</si>
  <si>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</si>
  <si>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</si>
  <si>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</si>
  <si>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</si>
  <si>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</si>
  <si>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</si>
  <si>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</si>
  <si>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</si>
  <si>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</si>
  <si>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</si>
  <si>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</si>
  <si>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</si>
  <si>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</si>
  <si>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</si>
  <si>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</si>
  <si>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</si>
  <si>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</si>
  <si>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</si>
  <si>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</si>
  <si>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</si>
  <si>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</si>
  <si>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</si>
  <si>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</si>
  <si>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</si>
  <si>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</si>
  <si>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</si>
  <si>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</si>
  <si>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</si>
  <si>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</si>
  <si>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</si>
  <si>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</si>
  <si>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</si>
  <si>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</si>
  <si>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</si>
  <si>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</si>
  <si>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</si>
  <si>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</si>
  <si>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</si>
  <si>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</si>
  <si>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</si>
  <si>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</si>
  <si>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</si>
  <si>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</si>
  <si>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</si>
  <si>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</si>
  <si>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</si>
  <si>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</si>
  <si>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</si>
  <si>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</si>
  <si>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</si>
  <si>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</si>
  <si>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</si>
  <si>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</si>
  <si>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</si>
  <si>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</si>
  <si>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</si>
  <si>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</si>
  <si>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</si>
  <si>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</si>
  <si>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</si>
  <si>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</si>
  <si>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</si>
  <si>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</si>
  <si>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</si>
  <si>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</si>
  <si>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</si>
  <si>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</si>
  <si>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</si>
  <si>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</si>
  <si>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</si>
  <si>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</si>
  <si>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</si>
  <si>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</si>
  <si>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</si>
  <si>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</si>
  <si>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</si>
  <si>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</si>
  <si>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</si>
  <si>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</si>
  <si>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</si>
  <si>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</si>
  <si>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</si>
  <si>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</si>
  <si>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</si>
  <si>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</si>
  <si>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</si>
  <si>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</si>
  <si>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</si>
  <si>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</si>
  <si>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</si>
  <si>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</si>
  <si>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</si>
  <si>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</si>
  <si>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</si>
  <si>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</si>
  <si>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</si>
  <si>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</si>
  <si>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</si>
  <si>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</si>
  <si>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</si>
  <si>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</si>
  <si>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</si>
  <si>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</si>
  <si>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</si>
  <si>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</si>
  <si>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</si>
  <si>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</si>
  <si>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</si>
  <si>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</si>
  <si>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</si>
  <si>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</si>
  <si>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</si>
  <si>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</si>
  <si>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</si>
  <si>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</si>
  <si>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</si>
  <si>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</si>
  <si>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</si>
  <si>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</si>
  <si>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</si>
  <si>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</si>
  <si>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</si>
  <si>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</si>
  <si>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</si>
  <si>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</si>
  <si>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</si>
  <si>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</si>
  <si>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</si>
  <si>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</si>
  <si>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</si>
  <si>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</si>
  <si>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</si>
  <si>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</si>
  <si>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</si>
  <si>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</si>
  <si>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</si>
  <si>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</si>
  <si>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</si>
  <si>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</si>
  <si>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</si>
  <si>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</si>
  <si>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</si>
  <si>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</si>
  <si>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</si>
  <si>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</si>
  <si>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</si>
  <si>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</si>
  <si>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</si>
  <si>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</si>
  <si>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</si>
  <si>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</si>
  <si>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</si>
  <si>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</si>
  <si>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</si>
  <si>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</si>
  <si>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</si>
  <si>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</si>
  <si>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</si>
  <si>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</si>
  <si>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</si>
  <si>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</si>
  <si>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</si>
  <si>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</si>
  <si>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</si>
  <si>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</si>
  <si>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</si>
  <si>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</si>
  <si>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</si>
  <si>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</si>
  <si>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</si>
  <si>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</si>
  <si>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</si>
  <si>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</si>
  <si>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</si>
  <si>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</si>
  <si>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</si>
  <si>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</si>
  <si>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</si>
  <si>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</si>
  <si>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</si>
  <si>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</si>
  <si>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</si>
  <si>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</si>
  <si>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</si>
  <si>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</si>
  <si>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</si>
  <si>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</si>
  <si>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</si>
  <si>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</si>
  <si>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</si>
  <si>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</si>
  <si>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</si>
  <si>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</si>
  <si>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</si>
  <si>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</si>
  <si>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</si>
  <si>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</si>
  <si>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</si>
  <si>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</si>
  <si>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</si>
  <si>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</si>
  <si>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</si>
  <si>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</si>
  <si>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</si>
  <si>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</si>
  <si>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</si>
  <si>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</si>
  <si>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</si>
  <si>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</si>
  <si>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</si>
  <si>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</si>
  <si>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</si>
  <si>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</si>
  <si>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</si>
  <si>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</si>
  <si>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</si>
  <si>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</si>
  <si>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</si>
  <si>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</si>
  <si>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</si>
  <si>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</si>
  <si>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</si>
  <si>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</si>
  <si>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</si>
  <si>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</si>
  <si>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</si>
  <si>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</si>
  <si>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</si>
  <si>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</si>
  <si>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</si>
  <si>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</si>
  <si>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</si>
  <si>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</si>
  <si>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</si>
  <si>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</si>
  <si>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</si>
  <si>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</si>
  <si>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</si>
  <si>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</si>
  <si>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</si>
  <si>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</si>
  <si>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</si>
  <si>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</si>
  <si>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</si>
  <si>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</si>
  <si>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</si>
  <si>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</si>
  <si>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</si>
  <si>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</si>
  <si>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</si>
  <si>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</si>
  <si>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</si>
  <si>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</si>
  <si>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</si>
  <si>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</si>
  <si>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</si>
  <si>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</si>
  <si>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</si>
  <si>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</si>
  <si>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</si>
  <si>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</si>
  <si>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</si>
  <si>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</si>
  <si>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</si>
  <si>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</si>
  <si>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</si>
  <si>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</si>
  <si>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</si>
  <si>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</si>
  <si>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</si>
  <si>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</si>
  <si>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</si>
  <si>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</si>
  <si>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</si>
  <si>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</si>
  <si>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</si>
  <si>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</si>
  <si>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</si>
  <si>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</si>
  <si>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</si>
  <si>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</si>
  <si>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</si>
  <si>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</si>
  <si>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</si>
  <si>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</si>
  <si>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</si>
  <si>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</si>
  <si>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</si>
  <si>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</si>
  <si>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</si>
  <si>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</si>
  <si>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</si>
  <si>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</si>
  <si>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</si>
  <si>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</si>
  <si>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</si>
  <si>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</si>
  <si>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</si>
  <si>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</si>
  <si>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</si>
  <si>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</si>
  <si>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</si>
  <si>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</si>
  <si>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</si>
  <si>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</si>
  <si>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</si>
  <si>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</si>
  <si>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</si>
  <si>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</si>
  <si>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</si>
  <si>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</si>
  <si>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</si>
  <si>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</si>
  <si>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</si>
  <si>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</si>
  <si>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</si>
  <si>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</si>
  <si>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</si>
  <si>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</si>
  <si>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</si>
  <si>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</si>
  <si>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</si>
  <si>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</si>
  <si>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</si>
  <si>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</si>
  <si>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</si>
  <si>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</si>
  <si>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</si>
  <si>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</si>
  <si>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</si>
  <si>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</si>
  <si>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</si>
  <si>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</si>
  <si>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</si>
  <si>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</si>
  <si>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</si>
  <si>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</si>
  <si>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</si>
  <si>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</si>
  <si>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</si>
  <si>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</si>
  <si>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</si>
  <si>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</si>
  <si>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</si>
  <si>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</si>
  <si>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</si>
  <si>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</si>
  <si>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</si>
  <si>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</si>
  <si>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</si>
  <si>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</si>
  <si>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</si>
  <si>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</si>
  <si>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</si>
  <si>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</si>
  <si>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</si>
  <si>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</si>
  <si>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</si>
  <si>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</si>
  <si>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</si>
  <si>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</si>
  <si>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</si>
  <si>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</si>
  <si>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</si>
  <si>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</si>
  <si>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</si>
  <si>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</si>
  <si>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</si>
  <si>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</si>
  <si>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</si>
  <si>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</si>
  <si>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</si>
  <si>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</si>
  <si>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</si>
  <si>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</si>
  <si>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</si>
  <si>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</si>
  <si>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</si>
  <si>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</si>
  <si>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</si>
  <si>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</si>
  <si>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</si>
  <si>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</si>
  <si>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</si>
  <si>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</si>
  <si>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</si>
  <si>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</si>
  <si>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</si>
  <si>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</si>
  <si>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</si>
  <si>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</si>
  <si>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</si>
  <si>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</si>
  <si>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</si>
  <si>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</si>
  <si>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</si>
  <si>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</si>
  <si>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</si>
  <si>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</si>
  <si>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</si>
  <si>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</si>
  <si>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</si>
  <si>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</si>
  <si>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</si>
  <si>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</si>
  <si>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</si>
  <si>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</si>
  <si>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</si>
  <si>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</si>
  <si>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</si>
  <si>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</si>
  <si>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</si>
  <si>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</si>
  <si>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</si>
  <si>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</si>
  <si>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</si>
  <si>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</si>
  <si>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</si>
  <si>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</si>
  <si>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</si>
  <si>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</si>
  <si>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</si>
  <si>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</si>
  <si>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</si>
  <si>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</si>
  <si>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</si>
  <si>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</si>
  <si>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</si>
  <si>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</si>
  <si>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</si>
  <si>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</si>
  <si>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</si>
  <si>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</si>
  <si>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</si>
  <si>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</si>
  <si>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</si>
  <si>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</si>
  <si>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</si>
  <si>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</si>
  <si>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</si>
  <si>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</si>
  <si>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</si>
  <si>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</si>
  <si>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</si>
  <si>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</si>
  <si>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</si>
  <si>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</si>
  <si>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</si>
  <si>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</si>
  <si>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</si>
  <si>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</si>
  <si>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</si>
  <si>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</si>
  <si>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</si>
  <si>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</si>
  <si>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</si>
  <si>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</si>
  <si>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</si>
  <si>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</si>
  <si>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</si>
  <si>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</si>
  <si>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</si>
  <si>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</si>
  <si>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</si>
  <si>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</si>
  <si>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</si>
  <si>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</si>
  <si>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</si>
  <si>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</si>
  <si>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</si>
  <si>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</si>
  <si>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</si>
  <si>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</si>
  <si>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</si>
  <si>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</si>
  <si>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</si>
  <si>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</si>
  <si>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</si>
  <si>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</si>
  <si>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</si>
  <si>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</si>
  <si>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</si>
  <si>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</si>
  <si>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</si>
  <si>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</si>
  <si>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</si>
  <si>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</si>
  <si>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</si>
  <si>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</si>
  <si>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</si>
  <si>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</si>
  <si>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</si>
  <si>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</si>
  <si>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</si>
  <si>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</si>
  <si>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</si>
  <si>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</si>
  <si>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</si>
  <si>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</si>
  <si>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</si>
  <si>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</si>
  <si>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</si>
  <si>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</si>
  <si>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</si>
  <si>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</si>
  <si>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</si>
  <si>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</si>
  <si>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</si>
  <si>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</si>
  <si>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</si>
  <si>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</si>
  <si>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</si>
  <si>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</si>
  <si>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</si>
  <si>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</si>
  <si>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</si>
  <si>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</si>
  <si>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</si>
  <si>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</si>
  <si>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</si>
  <si>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</si>
  <si>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</si>
  <si>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</si>
  <si>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</si>
  <si>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</si>
  <si>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</si>
  <si>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</si>
  <si>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</si>
  <si>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</si>
  <si>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</si>
  <si>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</si>
  <si>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</si>
  <si>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</si>
  <si>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</si>
  <si>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</si>
  <si>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</si>
  <si>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</si>
  <si>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</si>
  <si>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</si>
  <si>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</si>
  <si>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</si>
  <si>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</si>
  <si>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</si>
  <si>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</si>
  <si>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</si>
  <si>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</si>
  <si>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</si>
  <si>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</si>
  <si>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</si>
  <si>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</si>
  <si>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</si>
  <si>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</si>
  <si>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</si>
  <si>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</si>
  <si>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</si>
  <si>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</si>
  <si>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</si>
  <si>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</si>
  <si>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</si>
  <si>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</si>
  <si>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</si>
  <si>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</si>
  <si>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</si>
  <si>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</si>
  <si>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</si>
  <si>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</si>
  <si>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</si>
  <si>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</si>
  <si>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</si>
  <si>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</si>
  <si>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</si>
  <si>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</si>
  <si>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</si>
  <si>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</si>
  <si>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</si>
  <si>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</si>
  <si>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</si>
  <si>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</si>
  <si>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</si>
  <si>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</si>
  <si>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</si>
  <si>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</si>
  <si>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</si>
  <si>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</si>
  <si>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</si>
  <si>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</si>
  <si>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</si>
  <si>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</si>
  <si>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</si>
  <si>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</si>
  <si>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</si>
  <si>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</si>
  <si>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</si>
  <si>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</si>
  <si>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</si>
  <si>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</si>
  <si>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</si>
  <si>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</si>
  <si>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</si>
  <si>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</si>
  <si>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</si>
  <si>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</si>
  <si>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</si>
  <si>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</si>
  <si>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</si>
  <si>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</si>
  <si>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</si>
  <si>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</si>
  <si>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</si>
  <si>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</si>
  <si>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</si>
  <si>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</si>
  <si>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</si>
  <si>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</si>
  <si>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</si>
  <si>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</si>
  <si>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</si>
  <si>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</si>
  <si>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</si>
  <si>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</si>
  <si>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</si>
  <si>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</si>
  <si>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</si>
  <si>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</si>
  <si>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</si>
  <si>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</si>
  <si>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</si>
  <si>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</si>
  <si>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</si>
  <si>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</si>
  <si>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</si>
  <si>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</si>
  <si>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</si>
  <si>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</si>
  <si>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</si>
  <si>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</si>
  <si>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</si>
  <si>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</si>
  <si>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</si>
  <si>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</si>
  <si>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</si>
  <si>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</si>
  <si>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</si>
  <si>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</si>
  <si>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</si>
  <si>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</si>
  <si>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</si>
  <si>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</si>
  <si>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</si>
  <si>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</si>
  <si>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</si>
  <si>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</si>
  <si>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</si>
  <si>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</si>
  <si>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</si>
  <si>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</si>
  <si>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</si>
  <si>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</si>
  <si>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</si>
  <si>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</si>
  <si>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</si>
  <si>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</si>
  <si>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</si>
  <si>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</si>
  <si>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</si>
  <si>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</si>
  <si>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</si>
  <si>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</si>
  <si>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</si>
  <si>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</si>
  <si>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</si>
  <si>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</si>
  <si>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</si>
  <si>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</si>
  <si>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</si>
  <si>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</si>
  <si>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</si>
  <si>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</si>
  <si>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</si>
  <si>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</si>
  <si>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</si>
  <si>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</si>
  <si>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</si>
  <si>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</si>
  <si>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</si>
  <si>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</si>
  <si>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</si>
  <si>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</si>
  <si>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</si>
  <si>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</si>
  <si>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</si>
  <si>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</si>
  <si>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</si>
  <si>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</si>
  <si>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</si>
  <si>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</si>
  <si>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</si>
  <si>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</si>
  <si>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</si>
  <si>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</si>
  <si>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</si>
  <si>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</si>
  <si>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</si>
  <si>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</si>
  <si>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</si>
  <si>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</si>
  <si>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</si>
  <si>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</si>
  <si>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</si>
  <si>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</si>
  <si>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</si>
  <si>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</si>
  <si>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</si>
  <si>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</si>
  <si>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</si>
  <si>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</si>
  <si>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</si>
  <si>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</si>
  <si>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</si>
  <si>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</si>
  <si>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</si>
  <si>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</si>
  <si>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</si>
  <si>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</si>
  <si>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</si>
  <si>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</si>
  <si>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</si>
  <si>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</si>
  <si>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</si>
  <si>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</si>
  <si>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</si>
  <si>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</si>
  <si>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</si>
  <si>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</si>
  <si>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</si>
  <si>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</si>
  <si>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</si>
  <si>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</si>
  <si>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</si>
  <si>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</si>
  <si>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</si>
  <si>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</si>
  <si>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</si>
  <si>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</si>
  <si>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</si>
  <si>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</si>
  <si>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</si>
  <si>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</si>
  <si>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</si>
  <si>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</si>
  <si>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</si>
  <si>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</si>
  <si>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</si>
  <si>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</si>
  <si>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</si>
  <si>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</si>
  <si>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</si>
  <si>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</si>
  <si>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</si>
  <si>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</si>
  <si>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</si>
  <si>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</si>
  <si>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</si>
  <si>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</si>
  <si>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</si>
  <si>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</si>
  <si>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</si>
  <si>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</si>
  <si>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</si>
  <si>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</si>
  <si>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</si>
  <si>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</si>
  <si>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</si>
  <si>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</si>
  <si>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</si>
  <si>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</si>
  <si>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</si>
  <si>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</si>
  <si>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</si>
  <si>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</si>
  <si>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</si>
  <si>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</si>
  <si>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</si>
  <si>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</si>
  <si>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</si>
  <si>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</si>
  <si>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</si>
  <si>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</si>
  <si>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</si>
  <si>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</si>
  <si>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</si>
  <si>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</si>
  <si>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</si>
  <si>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</si>
  <si>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</si>
  <si>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</si>
  <si>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</si>
  <si>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</si>
  <si>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</si>
  <si>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</si>
  <si>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</si>
  <si>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</si>
  <si>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</si>
  <si>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</si>
  <si>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</si>
  <si>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</si>
  <si>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</si>
  <si>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</si>
  <si>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</si>
  <si>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</si>
  <si>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</si>
  <si>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</si>
  <si>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</si>
  <si>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</si>
  <si>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</si>
  <si>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</si>
  <si>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</si>
  <si>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</si>
  <si>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</si>
  <si>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</si>
  <si>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</si>
  <si>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</si>
  <si>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</si>
  <si>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</si>
  <si>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</si>
  <si>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</si>
  <si>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</si>
  <si>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</si>
  <si>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</si>
  <si>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</si>
  <si>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</si>
  <si>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</si>
  <si>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</si>
  <si>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</si>
  <si>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</si>
  <si>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</si>
  <si>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</si>
  <si>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</si>
  <si>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</si>
  <si>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</si>
  <si>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</si>
  <si>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</si>
  <si>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</si>
  <si>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</si>
  <si>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</si>
  <si>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</si>
  <si>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</si>
  <si>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</si>
  <si>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</si>
  <si>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</si>
  <si>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</si>
  <si>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</si>
  <si>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</si>
  <si>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</si>
  <si>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</si>
  <si>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</si>
  <si>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</si>
  <si>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</si>
  <si>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</si>
  <si>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</si>
  <si>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</si>
  <si>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</si>
  <si>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</si>
  <si>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</si>
  <si>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</si>
  <si>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</si>
  <si>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</si>
  <si>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</si>
  <si>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</si>
  <si>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</si>
  <si>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</si>
  <si>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</si>
  <si>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</si>
  <si>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</si>
  <si>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</si>
  <si>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</si>
  <si>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</si>
  <si>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</si>
  <si>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</si>
  <si>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</si>
  <si>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</si>
  <si>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</si>
  <si>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</si>
  <si>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</si>
  <si>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</si>
  <si>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</si>
  <si>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</si>
  <si>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</si>
  <si>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</si>
  <si>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</si>
  <si>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</si>
  <si>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</si>
  <si>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</si>
  <si>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</si>
  <si>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</si>
  <si>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</si>
  <si>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</si>
  <si>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</si>
  <si>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</si>
  <si>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</si>
  <si>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</si>
  <si>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</si>
  <si>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</si>
  <si>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</si>
  <si>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</si>
  <si>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</si>
  <si>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</si>
  <si>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</si>
  <si>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</si>
  <si>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</si>
  <si>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</si>
  <si>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</si>
  <si>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</si>
  <si>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</si>
  <si>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</si>
  <si>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</si>
  <si>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</si>
  <si>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</si>
  <si>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</si>
  <si>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</si>
  <si>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</si>
  <si>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</si>
  <si>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</si>
  <si>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</si>
  <si>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</si>
  <si>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</si>
  <si>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</si>
  <si>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</si>
  <si>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</si>
  <si>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</si>
  <si>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</si>
  <si>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</si>
  <si>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</si>
  <si>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</si>
  <si>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</si>
  <si>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</si>
  <si>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</si>
  <si>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</si>
  <si>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</si>
  <si>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</si>
  <si>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</si>
  <si>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</si>
  <si>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</si>
  <si>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</si>
  <si>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</si>
  <si>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</si>
  <si>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</si>
  <si>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</si>
  <si>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</si>
  <si>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</si>
  <si>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</si>
  <si>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</si>
  <si>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</si>
  <si>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</si>
  <si>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</si>
  <si>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</si>
  <si>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</si>
  <si>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</si>
  <si>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</si>
  <si>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</si>
  <si>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</si>
  <si>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</si>
  <si>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</si>
  <si>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</si>
  <si>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</si>
  <si>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</si>
  <si>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</si>
  <si>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</si>
  <si>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</si>
  <si>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</si>
  <si>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</si>
  <si>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</si>
  <si>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</si>
  <si>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</si>
  <si>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</si>
  <si>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</si>
  <si>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</si>
  <si>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</si>
  <si>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</si>
  <si>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</si>
  <si>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</si>
  <si>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</si>
  <si>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</si>
  <si>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</si>
  <si>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</si>
  <si>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</si>
  <si>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</si>
  <si>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</si>
  <si>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</si>
  <si>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</si>
  <si>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</si>
  <si>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</si>
  <si>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</si>
  <si>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</si>
  <si>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</si>
  <si>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</si>
  <si>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</si>
  <si>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</si>
  <si>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</si>
  <si>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</si>
  <si>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</si>
  <si>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</si>
  <si>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</si>
  <si>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</si>
  <si>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</si>
  <si>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</si>
  <si>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</si>
  <si>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</si>
  <si>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</si>
  <si>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</si>
  <si>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</si>
  <si>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</si>
  <si>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</si>
  <si>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</si>
  <si>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</si>
  <si>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</si>
  <si>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</si>
  <si>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</si>
  <si>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</si>
  <si>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</si>
  <si>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</si>
  <si>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</si>
  <si>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</si>
  <si>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</si>
  <si>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</si>
  <si>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</si>
  <si>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</si>
  <si>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</si>
  <si>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</si>
  <si>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</si>
  <si>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</si>
  <si>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</si>
  <si>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</si>
  <si>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</si>
  <si>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</si>
  <si>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</si>
  <si>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</si>
  <si>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</si>
  <si>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</si>
  <si>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</si>
  <si>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</si>
  <si>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</si>
  <si>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</si>
  <si>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</si>
  <si>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</si>
  <si>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</si>
  <si>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</si>
  <si>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</si>
  <si>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</si>
  <si>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</si>
  <si>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</si>
  <si>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</si>
  <si>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</si>
  <si>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</si>
  <si>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</si>
  <si>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</si>
  <si>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</si>
  <si>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</si>
  <si>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</si>
  <si>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</si>
  <si>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</si>
  <si>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</si>
  <si>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</si>
  <si>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</si>
  <si>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</si>
  <si>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</si>
  <si>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</si>
  <si>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</si>
  <si>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</si>
  <si>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</si>
  <si>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</si>
  <si>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</si>
  <si>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</si>
  <si>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</si>
  <si>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</si>
  <si>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</si>
  <si>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</si>
  <si>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</si>
  <si>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</si>
  <si>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</si>
  <si>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</si>
  <si>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</si>
  <si>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</si>
  <si>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</si>
  <si>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</si>
  <si>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</si>
  <si>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</si>
  <si>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</si>
  <si>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</si>
  <si>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</si>
  <si>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</si>
  <si>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</si>
  <si>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</si>
  <si>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</si>
  <si>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</si>
  <si>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</si>
  <si>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</si>
  <si>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</si>
  <si>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</si>
  <si>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</si>
  <si>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</si>
  <si>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</si>
  <si>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</si>
  <si>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</si>
  <si>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</si>
  <si>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</si>
  <si>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</si>
  <si>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</si>
  <si>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</si>
  <si>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</si>
  <si>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</si>
  <si>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</si>
  <si>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</si>
  <si>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</si>
  <si>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</si>
  <si>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</si>
  <si>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</si>
  <si>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</si>
  <si>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</si>
  <si>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</si>
  <si>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</si>
  <si>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</si>
  <si>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</si>
  <si>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</si>
  <si>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</si>
  <si>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</si>
  <si>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</si>
  <si>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</si>
  <si>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</si>
  <si>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</si>
  <si>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</si>
  <si>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</si>
  <si>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</si>
  <si>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</si>
  <si>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</si>
  <si>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</si>
  <si>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</si>
  <si>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</si>
  <si>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</si>
  <si>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</si>
  <si>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</si>
  <si>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</si>
  <si>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</si>
  <si>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</si>
  <si>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</si>
  <si>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</si>
  <si>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</si>
  <si>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</si>
  <si>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</si>
  <si>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</si>
  <si>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</si>
  <si>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</si>
  <si>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</si>
  <si>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</si>
  <si>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</si>
  <si>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Subcategory</t>
  </si>
  <si>
    <t>Category</t>
  </si>
  <si>
    <t>Date Created Converted</t>
  </si>
  <si>
    <t>Deadline Converted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</si>
  <si>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</si>
  <si>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</si>
  <si>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</si>
  <si>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</si>
  <si>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</si>
  <si>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</si>
  <si>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</si>
  <si>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</si>
  <si>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</si>
  <si>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</si>
  <si>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</si>
  <si>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</si>
  <si>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</si>
  <si>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</si>
  <si>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</si>
  <si>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</si>
  <si>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</si>
  <si>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</si>
  <si>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</si>
  <si>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</si>
  <si>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</si>
  <si>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</si>
  <si>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</si>
  <si>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Date Created 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</si>
  <si>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</si>
  <si>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</si>
  <si>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</si>
  <si>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</si>
  <si>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</si>
  <si>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</si>
  <si>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</si>
  <si>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</si>
  <si>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</si>
  <si>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</si>
  <si>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</si>
  <si>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</si>
  <si>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</si>
  <si>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</si>
  <si>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</si>
  <si>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</si>
  <si>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</si>
  <si>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</si>
  <si>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Total</t>
  </si>
  <si>
    <t>10000 to 14999</t>
  </si>
  <si>
    <t>35000 to 39999</t>
  </si>
  <si>
    <t>Percentages of Each Column</t>
  </si>
  <si>
    <t>Percentages of Each Row</t>
  </si>
  <si>
    <t>WINNER!!!!!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</si>
</sst>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  <xf numFmtId="16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noFill/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5-4684-947E-CD727E5C1DD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noFill/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5-4684-947E-CD727E5C1DD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5-4684-947E-CD727E5C1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1743679"/>
        <c:axId val="921754079"/>
      </c:lineChart>
      <c:catAx>
        <c:axId val="92174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754079"/>
        <c:crosses val="autoZero"/>
        <c:auto val="1"/>
        <c:lblAlgn val="ctr"/>
        <c:lblOffset val="100"/>
        <c:noMultiLvlLbl val="0"/>
      </c:catAx>
      <c:valAx>
        <c:axId val="92175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74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Goals'!$B$36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Goals'!$A$37:$A$48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Goals'!$B$37:$B$48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0-4408-A602-04AA4DB3F057}"/>
            </c:ext>
          </c:extLst>
        </c:ser>
        <c:ser>
          <c:idx val="1"/>
          <c:order val="1"/>
          <c:tx>
            <c:strRef>
              <c:f>'Outcomes Based on Goals'!$C$36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Goals'!$A$37:$A$48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Goals'!$C$37:$C$48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0-4408-A602-04AA4DB3F057}"/>
            </c:ext>
          </c:extLst>
        </c:ser>
        <c:ser>
          <c:idx val="2"/>
          <c:order val="2"/>
          <c:tx>
            <c:strRef>
              <c:f>'Outcomes Based on Goals'!$D$36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Goals'!$A$37:$A$48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Goals'!$D$37:$D$48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A0-4408-A602-04AA4DB3F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8516720"/>
        <c:axId val="1619705104"/>
      </c:lineChart>
      <c:catAx>
        <c:axId val="161851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705104"/>
        <c:crosses val="autoZero"/>
        <c:auto val="1"/>
        <c:lblAlgn val="ctr"/>
        <c:lblOffset val="100"/>
        <c:noMultiLvlLbl val="0"/>
      </c:catAx>
      <c:valAx>
        <c:axId val="16197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51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C-4DF4-A72E-BE2BE56711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C-4DF4-A72E-BE2BE56711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EC-4DF4-A72E-BE2BE56711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EC-4DF4-A72E-BE2BE5671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2853567"/>
        <c:axId val="812854399"/>
      </c:barChart>
      <c:catAx>
        <c:axId val="8128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54399"/>
        <c:crosses val="autoZero"/>
        <c:auto val="1"/>
        <c:lblAlgn val="ctr"/>
        <c:lblOffset val="100"/>
        <c:noMultiLvlLbl val="0"/>
      </c:catAx>
      <c:valAx>
        <c:axId val="81285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2-4D29-B26B-0BCE958E9C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2-4D29-B26B-0BCE958E9C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2-4D29-B26B-0BCE958E9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862255"/>
        <c:axId val="362221455"/>
      </c:barChart>
      <c:catAx>
        <c:axId val="36086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21455"/>
        <c:crosses val="autoZero"/>
        <c:auto val="1"/>
        <c:lblAlgn val="ctr"/>
        <c:lblOffset val="100"/>
        <c:noMultiLvlLbl val="0"/>
      </c:catAx>
      <c:valAx>
        <c:axId val="36222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D-4CC9-8007-9166921370A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D-4CC9-8007-9166921370A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AD-4CC9-8007-9166921370A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AD-4CC9-8007-91669213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538719"/>
        <c:axId val="293540799"/>
      </c:lineChart>
      <c:catAx>
        <c:axId val="29353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40799"/>
        <c:crosses val="autoZero"/>
        <c:auto val="1"/>
        <c:lblAlgn val="ctr"/>
        <c:lblOffset val="100"/>
        <c:noMultiLvlLbl val="0"/>
      </c:catAx>
      <c:valAx>
        <c:axId val="29354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123824</xdr:colOff>
      <xdr:row>0</xdr:row>
      <xdr:rowOff>157161</xdr:rowOff>
    </xdr:from>
    <xdr:to>
      <xdr:col>21</xdr:col>
      <xdr:colOff>28574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0F74E7-C7F1-4FDF-AD0B-8E77B256C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49</xdr:row>
      <xdr:rowOff>95250</xdr:rowOff>
    </xdr:from>
    <xdr:to>
      <xdr:col>13</xdr:col>
      <xdr:colOff>600074</xdr:colOff>
      <xdr:row>81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D027026-EDA6-D5C3-E52B-F94EEC88E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166686</xdr:rowOff>
    </xdr:from>
    <xdr:to>
      <xdr:col>19</xdr:col>
      <xdr:colOff>238125</xdr:colOff>
      <xdr:row>35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8DCB7-610D-4C5C-8524-DA8A7698C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0</xdr:row>
      <xdr:rowOff>180975</xdr:rowOff>
    </xdr:from>
    <xdr:to>
      <xdr:col>23</xdr:col>
      <xdr:colOff>304799</xdr:colOff>
      <xdr:row>38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3338E-4105-3F56-721E-7D1D9809D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500061</xdr:colOff>
      <xdr:row>4</xdr:row>
      <xdr:rowOff>123825</xdr:rowOff>
    </xdr:from>
    <xdr:to>
      <xdr:col>19</xdr:col>
      <xdr:colOff>276224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48CB1-3C53-6125-6D82-CE579EBB9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easles" refreshedDate="44867.480912384257" createdVersion="8" refreshedVersion="8" minRefreshableVersion="3" recordCount="4114" xr:uid="{9C3C1382-1E24-44C6-9935-727E7819517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easles" refreshedDate="44867.489841782408" createdVersion="8" refreshedVersion="8" minRefreshableVersion="3" recordCount="4114" xr:uid="{C88A48C9-E66C-4E20-B70F-84CED4094C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easles" refreshedDate="44867.502720138888" createdVersion="8" refreshedVersion="8" minRefreshableVersion="3" recordCount="4115" xr:uid="{2CA818BE-3DB3-4293-9106-35CFE5E95F9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d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easles" refreshedDate="44870.762929976852" createdVersion="8" refreshedVersion="8" minRefreshableVersion="3" recordCount="4114" xr:uid="{D48DA091-E864-437F-BB97-41706B176AE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Date Created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2EDD9-08EB-4658-9FFF-2BC9C4605BE3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7397A-0354-4A20-9354-27B3AA957C06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26E03-03C3-4EEC-8137-9E5989BDB215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16FC4-E261-4EAA-9CA9-CEEE7033EA46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115"/>
  <sheetViews>
    <sheetView zoomScale="85" zoomScaleNormal="85" workbookViewId="0">
      <pane ySplit="1" topLeftCell="A3168" activePane="bottomLeft" state="frozen"/>
      <selection activeCell="G1" sqref="G1"/>
      <selection pane="bottomLeft" activeCell="W1" sqref="W1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6.28515625" style="4" bestFit="1" customWidth="1"/>
    <col min="5" max="5" width="12.7109375" style="5" bestFit="1" customWidth="1"/>
    <col min="6" max="6" width="10" bestFit="1" customWidth="1"/>
    <col min="7" max="7" width="7.7109375" bestFit="1" customWidth="1"/>
    <col min="8" max="8" width="8.5703125" bestFit="1" customWidth="1"/>
    <col min="9" max="9" width="14.140625" bestFit="1" customWidth="1"/>
    <col min="10" max="10" width="17.28515625" bestFit="1" customWidth="1"/>
    <col min="11" max="11" width="14.7109375" bestFit="1" customWidth="1"/>
    <col min="12" max="12" width="19.140625" bestFit="1" customWidth="1"/>
    <col min="13" max="13" width="14.28515625" bestFit="1" customWidth="1"/>
    <col min="14" max="14" width="28" bestFit="1" customWidth="1"/>
    <col min="15" max="15" width="8" customWidth="1"/>
    <col min="16" max="16" width="17.85546875" customWidth="1"/>
    <col min="17" max="17" width="19.85546875" customWidth="1"/>
    <col min="18" max="18" width="24.7109375" bestFit="1" customWidth="1"/>
    <col min="19" max="19" width="25.140625" style="11" bestFit="1" customWidth="1"/>
    <col min="20" max="20" width="17.42578125" style="11" customWidth="1"/>
    <col min="21" max="21" width="13.140625" customWidth="1"/>
  </cols>
  <sheetData>
    <row r="1" spans="1:24" s="2" customFormat="1" ht="81" customHeight="1" x14ac:dyDescent="0.2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8391</v>
      </c>
      <c r="R1" s="1" t="s">
        <v>8363</v>
      </c>
      <c r="S1" s="16" t="s">
        <v>8365</v>
      </c>
      <c r="T1" s="16" t="s">
        <v>8366</v>
      </c>
      <c r="U1" s="17" t="s">
        <v>8390</v>
      </c>
      <c r="W1" s="2">
        <f>COUNTA(F:F)</f>
        <v>4115</v>
      </c>
      <c r="X1">
        <f>COUNTA($F:$F)</f>
        <v>4115</v>
      </c>
    </row>
    <row r="2" spans="1:24" ht="60" hidden="1" x14ac:dyDescent="0.2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6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4" ht="30" hidden="1" x14ac:dyDescent="0.2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6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>YEAR(S3)</f>
        <v>2017</v>
      </c>
    </row>
    <row r="4" spans="1:24" ht="45" hidden="1" x14ac:dyDescent="0.2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6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ref="U4:U67" si="4">YEAR(S4)</f>
        <v>2016</v>
      </c>
    </row>
    <row r="5" spans="1:24" ht="30" hidden="1" x14ac:dyDescent="0.2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6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4" ht="60" hidden="1" x14ac:dyDescent="0.2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4" ht="45" hidden="1" x14ac:dyDescent="0.2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6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4" ht="60" hidden="1" x14ac:dyDescent="0.2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6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4" ht="60" hidden="1" x14ac:dyDescent="0.2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6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4" ht="30" hidden="1" x14ac:dyDescent="0.2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6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4" ht="45" hidden="1" x14ac:dyDescent="0.2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6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4" ht="60" hidden="1" x14ac:dyDescent="0.2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6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4" ht="60" hidden="1" x14ac:dyDescent="0.2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6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4" ht="60" hidden="1" x14ac:dyDescent="0.2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6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4" ht="45" hidden="1" x14ac:dyDescent="0.2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6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4" ht="30" hidden="1" x14ac:dyDescent="0.2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6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6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6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6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6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6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6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6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6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6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6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6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6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6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6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6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6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6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6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6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6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6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6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6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6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6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6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6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6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6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6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6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6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6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6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6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6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6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6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6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6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6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6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6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6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6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si="4"/>
        <v>2014</v>
      </c>
    </row>
    <row r="68" spans="1:21" ht="30" hidden="1" x14ac:dyDescent="0.2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6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ref="U68:U131" si="9">YEAR(S68)</f>
        <v>2016</v>
      </c>
    </row>
    <row r="69" spans="1:21" ht="45" hidden="1" x14ac:dyDescent="0.2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6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6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6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6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6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6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6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6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6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6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6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6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6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6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6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6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6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6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6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6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6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6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6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6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6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6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6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6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6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6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6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6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6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6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6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6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6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6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6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6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6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6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6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6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6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6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6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6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6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6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6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6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6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6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6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6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6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6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6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6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6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6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6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si="9"/>
        <v>2014</v>
      </c>
    </row>
    <row r="132" spans="1:21" ht="60" hidden="1" x14ac:dyDescent="0.2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6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ref="U132:U195" si="14">YEAR(S132)</f>
        <v>2014</v>
      </c>
    </row>
    <row r="133" spans="1:21" hidden="1" x14ac:dyDescent="0.2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6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6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6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6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6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6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6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6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6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6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6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6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6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6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6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6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6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6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6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6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6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6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6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6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6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6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6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6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6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6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6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6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6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6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6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6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6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6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6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6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6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6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6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6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6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6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6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6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6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6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6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6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6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6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6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6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6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6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6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6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6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6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6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si="14"/>
        <v>2014</v>
      </c>
    </row>
    <row r="196" spans="1:21" ht="45" hidden="1" x14ac:dyDescent="0.2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6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ref="U196:U259" si="19">YEAR(S196)</f>
        <v>2016</v>
      </c>
    </row>
    <row r="197" spans="1:21" ht="45" hidden="1" x14ac:dyDescent="0.2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6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6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6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6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6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6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6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6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6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6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6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6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6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6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6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6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6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6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6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6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6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6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6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6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6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6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6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6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6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6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6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6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6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6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6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6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6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6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6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6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6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6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6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6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6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6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6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6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6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6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6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6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6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6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6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6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6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6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6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6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6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6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6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si="19"/>
        <v>2016</v>
      </c>
    </row>
    <row r="260" spans="1:21" ht="60" hidden="1" x14ac:dyDescent="0.2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6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ref="U260:U323" si="24">YEAR(S260)</f>
        <v>2011</v>
      </c>
    </row>
    <row r="261" spans="1:21" ht="60" hidden="1" x14ac:dyDescent="0.2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6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6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6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6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6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6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6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6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6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6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6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6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6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6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6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6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6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6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6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6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6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6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6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6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6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6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6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6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6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6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6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6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6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6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6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6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6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6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6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6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6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6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6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6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6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6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6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6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6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6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6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6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6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6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6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6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6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6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6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6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6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6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6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si="24"/>
        <v>2016</v>
      </c>
    </row>
    <row r="324" spans="1:21" ht="45" hidden="1" x14ac:dyDescent="0.2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6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ref="U324:U387" si="29">YEAR(S324)</f>
        <v>2016</v>
      </c>
    </row>
    <row r="325" spans="1:21" ht="60" hidden="1" x14ac:dyDescent="0.2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6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6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6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6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6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6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6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6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6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6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6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6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6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6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6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6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6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6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6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6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6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6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6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6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6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6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6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6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6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6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6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6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6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6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6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6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6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6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6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6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6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6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6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6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6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6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6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6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6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6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6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6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6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6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6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6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6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6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6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6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6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6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6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si="29"/>
        <v>2014</v>
      </c>
    </row>
    <row r="388" spans="1:21" ht="60" hidden="1" x14ac:dyDescent="0.2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6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ref="U388:U451" si="34">YEAR(S388)</f>
        <v>2015</v>
      </c>
    </row>
    <row r="389" spans="1:21" ht="60" hidden="1" x14ac:dyDescent="0.2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6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6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6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6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6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6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6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6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6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6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6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6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6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6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6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6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6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6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6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6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6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6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6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6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6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6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6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6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6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6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6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6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6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6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6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6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6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6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6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6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6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6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6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6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6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6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6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6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6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6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6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6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6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6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6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6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6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6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6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6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6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6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6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si="34"/>
        <v>2013</v>
      </c>
    </row>
    <row r="452" spans="1:21" ht="60" hidden="1" x14ac:dyDescent="0.2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6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ref="U452:U515" si="39">YEAR(S452)</f>
        <v>2014</v>
      </c>
    </row>
    <row r="453" spans="1:21" ht="60" hidden="1" x14ac:dyDescent="0.2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6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6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6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6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6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6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6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6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6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6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6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6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6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6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6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6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6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6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6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6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6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6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6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6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6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6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6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6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6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6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6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6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6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6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6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6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6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6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6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6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6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6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6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6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6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6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6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6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6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6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6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6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6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6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6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6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6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6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6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6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6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6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6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si="39"/>
        <v>2016</v>
      </c>
    </row>
    <row r="516" spans="1:21" ht="45" hidden="1" x14ac:dyDescent="0.2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6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ref="U516:U579" si="44">YEAR(S516)</f>
        <v>2014</v>
      </c>
    </row>
    <row r="517" spans="1:21" ht="45" hidden="1" x14ac:dyDescent="0.2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6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6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6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6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6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6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6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6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6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6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6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6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6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6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6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6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6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6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6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6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6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6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6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6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6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6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6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6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6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6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6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6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6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6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6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6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6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6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6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6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6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6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6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6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6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6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6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6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6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6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6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6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6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6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6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6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6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6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6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6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6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6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6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si="44"/>
        <v>2016</v>
      </c>
    </row>
    <row r="580" spans="1:21" ht="30" hidden="1" x14ac:dyDescent="0.2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6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ref="U580:U643" si="49">YEAR(S580)</f>
        <v>2015</v>
      </c>
    </row>
    <row r="581" spans="1:21" ht="45" hidden="1" x14ac:dyDescent="0.2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6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6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6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6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6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6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6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6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6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6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6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6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6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6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6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6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6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6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6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6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6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6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6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6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6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6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6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6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6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6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6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6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6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6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6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6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6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6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6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6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6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6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6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6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6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6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6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6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6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6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6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6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6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6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6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6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6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6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6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6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6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6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6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si="49"/>
        <v>2015</v>
      </c>
    </row>
    <row r="644" spans="1:21" ht="60" hidden="1" x14ac:dyDescent="0.2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6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ref="U644:U707" si="54">YEAR(S644)</f>
        <v>2015</v>
      </c>
    </row>
    <row r="645" spans="1:21" ht="45" hidden="1" x14ac:dyDescent="0.2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6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6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6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6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6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6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6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6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6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6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6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6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6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6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6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6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6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6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6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6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6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6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6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6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6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6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6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6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6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6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6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6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6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6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6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6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6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6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6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6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6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6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6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6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6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6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6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6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6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6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6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6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6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6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6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6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6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6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6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6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6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6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6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si="54"/>
        <v>2016</v>
      </c>
    </row>
    <row r="708" spans="1:21" ht="60" hidden="1" x14ac:dyDescent="0.2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6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ref="U708:U771" si="59">YEAR(S708)</f>
        <v>2016</v>
      </c>
    </row>
    <row r="709" spans="1:21" ht="60" hidden="1" x14ac:dyDescent="0.2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6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6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6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6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6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6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6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6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6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6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6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6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6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6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6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6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6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6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6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6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6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6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6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6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6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6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6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6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6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6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6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6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6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6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6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6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6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6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6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6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6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6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6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6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6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6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6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6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6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6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6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6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6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6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6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6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6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6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6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6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6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6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6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si="59"/>
        <v>2013</v>
      </c>
    </row>
    <row r="772" spans="1:21" ht="60" hidden="1" x14ac:dyDescent="0.2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6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ref="U772:U835" si="64">YEAR(S772)</f>
        <v>2013</v>
      </c>
    </row>
    <row r="773" spans="1:21" ht="45" hidden="1" x14ac:dyDescent="0.2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6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6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6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6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6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6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6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6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6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6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6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6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6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6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6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6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6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6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6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6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6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6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6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6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6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6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6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6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6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6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6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6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6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6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6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6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6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6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6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6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6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6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6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6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6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6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6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6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6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6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6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6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6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6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6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6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6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6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6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6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6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6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6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si="64"/>
        <v>2014</v>
      </c>
    </row>
    <row r="836" spans="1:21" ht="60" hidden="1" x14ac:dyDescent="0.2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6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ref="U836:U899" si="69">YEAR(S836)</f>
        <v>2013</v>
      </c>
    </row>
    <row r="837" spans="1:21" ht="60" hidden="1" x14ac:dyDescent="0.2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6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6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6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6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6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6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6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6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6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6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6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6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6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6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6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6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6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6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6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6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6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6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6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6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6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6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6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6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6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6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6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6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6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6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6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6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6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6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6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6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6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6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6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6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6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6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6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6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6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6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6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6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6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6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6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6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6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6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6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6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6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6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6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si="69"/>
        <v>2012</v>
      </c>
    </row>
    <row r="900" spans="1:21" ht="60" hidden="1" x14ac:dyDescent="0.2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6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ref="U900:U963" si="74">YEAR(S900)</f>
        <v>2011</v>
      </c>
    </row>
    <row r="901" spans="1:21" ht="45" hidden="1" x14ac:dyDescent="0.2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6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6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6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6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6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6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6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6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6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6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6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6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6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6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6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6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6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6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6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6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6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6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6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6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6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6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6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6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6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6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6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6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6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6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6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6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6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6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6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6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6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6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6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6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6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6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6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6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6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6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6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6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6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6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6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6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6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6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6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6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6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6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6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si="74"/>
        <v>2017</v>
      </c>
    </row>
    <row r="964" spans="1:21" ht="60" hidden="1" x14ac:dyDescent="0.2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6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ref="U964:U1027" si="79">YEAR(S964)</f>
        <v>2016</v>
      </c>
    </row>
    <row r="965" spans="1:21" ht="30" hidden="1" x14ac:dyDescent="0.2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6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6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6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6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6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6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6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6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6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6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6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6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6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6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6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6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6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6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6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6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6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6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6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6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6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6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6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6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6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6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6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6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6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6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6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6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6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6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6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6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6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6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6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6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6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6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6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6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6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6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6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6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6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6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6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6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6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6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6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6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6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6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6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si="79"/>
        <v>2015</v>
      </c>
    </row>
    <row r="1028" spans="1:21" ht="60" hidden="1" x14ac:dyDescent="0.2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6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ref="U1028:U1091" si="84">YEAR(S1028)</f>
        <v>2016</v>
      </c>
    </row>
    <row r="1029" spans="1:21" ht="60" hidden="1" x14ac:dyDescent="0.2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6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6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6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6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6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6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6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6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6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6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6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6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6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6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6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6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6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6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6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6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6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6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6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6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6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6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6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6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6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6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6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6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6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6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6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6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6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6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6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6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6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6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6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6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6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6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6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6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6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6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6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6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6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6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6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6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6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6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6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6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6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6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6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si="84"/>
        <v>2015</v>
      </c>
    </row>
    <row r="1092" spans="1:21" ht="60" hidden="1" x14ac:dyDescent="0.2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6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ref="U1092:U1155" si="89">YEAR(S1092)</f>
        <v>2015</v>
      </c>
    </row>
    <row r="1093" spans="1:21" ht="60" hidden="1" x14ac:dyDescent="0.2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6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6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6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6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6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6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6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6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6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6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6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6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6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6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6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6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6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6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6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6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6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6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6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6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6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6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6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6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6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6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6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6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6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6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6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6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6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6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6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6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6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6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6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6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6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6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6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6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6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6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6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6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6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6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6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6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6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6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6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6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6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6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6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si="89"/>
        <v>2015</v>
      </c>
    </row>
    <row r="1156" spans="1:21" ht="45" hidden="1" x14ac:dyDescent="0.2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6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ref="U1156:U1219" si="94">YEAR(S1156)</f>
        <v>2015</v>
      </c>
    </row>
    <row r="1157" spans="1:21" ht="60" hidden="1" x14ac:dyDescent="0.2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6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6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6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6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6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6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6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6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6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6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6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6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6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6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6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6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6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6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6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6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6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6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6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6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6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6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6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6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6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6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6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6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6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6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6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6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6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6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6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6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6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6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6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6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6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6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6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6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6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6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6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6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6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6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6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6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6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6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6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6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6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6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6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si="94"/>
        <v>2016</v>
      </c>
    </row>
    <row r="1220" spans="1:21" ht="60" hidden="1" x14ac:dyDescent="0.2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6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ref="U1220:U1283" si="99">YEAR(S1220)</f>
        <v>2015</v>
      </c>
    </row>
    <row r="1221" spans="1:21" ht="45" hidden="1" x14ac:dyDescent="0.2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6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6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6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6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6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6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6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6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6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6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6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6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6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6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6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6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6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6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6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6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6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6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6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6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6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6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6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6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6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6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6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6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6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6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6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6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6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6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6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6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6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6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6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6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6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6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6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6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6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6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6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6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6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6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6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6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6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6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6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6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6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6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6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si="99"/>
        <v>2013</v>
      </c>
    </row>
    <row r="1284" spans="1:21" ht="60" hidden="1" x14ac:dyDescent="0.2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6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ref="U1284:U1347" si="104">YEAR(S1284)</f>
        <v>2013</v>
      </c>
    </row>
    <row r="1285" spans="1:21" ht="45" hidden="1" x14ac:dyDescent="0.2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6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6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6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6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6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6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6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6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6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6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6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6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6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6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6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6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6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6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6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6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6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6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6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6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6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6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6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6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6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6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6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6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6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6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6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6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6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6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6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6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6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6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6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6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6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6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6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6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6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6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6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6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6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6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6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6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6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6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6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6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6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6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6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si="104"/>
        <v>2014</v>
      </c>
    </row>
    <row r="1348" spans="1:21" ht="45" hidden="1" x14ac:dyDescent="0.2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6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ref="U1348:U1411" si="109">YEAR(S1348)</f>
        <v>2013</v>
      </c>
    </row>
    <row r="1349" spans="1:21" ht="60" hidden="1" x14ac:dyDescent="0.2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6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6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6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6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6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6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6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6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6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6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6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6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6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6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6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6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6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6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6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6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6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6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6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6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6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6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6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6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6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6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6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6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6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6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6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6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6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6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6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6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6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6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6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6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6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6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6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6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6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6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6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6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6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6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6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6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6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6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6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6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6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6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6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si="109"/>
        <v>2014</v>
      </c>
    </row>
    <row r="1412" spans="1:21" ht="60" hidden="1" x14ac:dyDescent="0.2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6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ref="U1412:U1475" si="114">YEAR(S1412)</f>
        <v>2016</v>
      </c>
    </row>
    <row r="1413" spans="1:21" ht="60" hidden="1" x14ac:dyDescent="0.2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6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6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6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6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6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6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6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6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6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6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6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6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6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6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6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6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6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6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6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6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6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6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6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6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6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6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6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6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6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6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6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6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6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6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6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6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6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6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6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6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6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6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6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6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6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6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6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6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6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6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6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6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6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6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6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6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6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6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6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6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6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6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6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si="114"/>
        <v>2012</v>
      </c>
    </row>
    <row r="1476" spans="1:21" ht="60" hidden="1" x14ac:dyDescent="0.2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6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ref="U1476:U1539" si="119">YEAR(S1476)</f>
        <v>2013</v>
      </c>
    </row>
    <row r="1477" spans="1:21" ht="45" hidden="1" x14ac:dyDescent="0.2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6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6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6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6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6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6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6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6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6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6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6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6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6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6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6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6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6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6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6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6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6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6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6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6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6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6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6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6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6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6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6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6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6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6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6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6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6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6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6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6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6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6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6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6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6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6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6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6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6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6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6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6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6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6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6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6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6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6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6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6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6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6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6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si="119"/>
        <v>2016</v>
      </c>
    </row>
    <row r="1540" spans="1:21" ht="45" hidden="1" x14ac:dyDescent="0.2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6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ref="U1540:U1603" si="124">YEAR(S1540)</f>
        <v>2014</v>
      </c>
    </row>
    <row r="1541" spans="1:21" ht="60" hidden="1" x14ac:dyDescent="0.2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6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6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6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6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6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6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6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6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6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6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6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6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6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6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6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6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6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6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6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6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6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6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6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6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6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6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6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6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6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6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6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6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6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6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6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6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6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6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6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6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6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6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6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6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6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6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6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6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6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6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6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6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6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6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6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6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6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6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6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6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6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6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6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si="124"/>
        <v>2011</v>
      </c>
    </row>
    <row r="1604" spans="1:21" ht="45" hidden="1" x14ac:dyDescent="0.2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6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ref="U1604:U1667" si="129">YEAR(S1604)</f>
        <v>2011</v>
      </c>
    </row>
    <row r="1605" spans="1:21" ht="45" hidden="1" x14ac:dyDescent="0.2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6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6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6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6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6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6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6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6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6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6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6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6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6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6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6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6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6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6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6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6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6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6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6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6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6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6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6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6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6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6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6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6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6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6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6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6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6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6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6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6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6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6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6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6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6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6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6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6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6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6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6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6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6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6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6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6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6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6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6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6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6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6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6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si="129"/>
        <v>2011</v>
      </c>
    </row>
    <row r="1668" spans="1:21" ht="45" hidden="1" x14ac:dyDescent="0.2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6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ref="U1668:U1731" si="134">YEAR(S1668)</f>
        <v>2013</v>
      </c>
    </row>
    <row r="1669" spans="1:21" ht="45" hidden="1" x14ac:dyDescent="0.2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6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6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6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6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6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6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6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6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6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6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6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6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6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6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6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6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6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6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6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6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6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6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6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6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6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6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6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6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6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6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6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6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6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6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6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6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6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6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6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6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6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6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6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6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6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6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6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6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6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6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6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6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6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6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6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6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6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6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6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6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6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6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6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si="134"/>
        <v>2016</v>
      </c>
    </row>
    <row r="1732" spans="1:21" ht="45" hidden="1" x14ac:dyDescent="0.2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6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ref="U1732:U1795" si="139">YEAR(S1732)</f>
        <v>2015</v>
      </c>
    </row>
    <row r="1733" spans="1:21" ht="30" hidden="1" x14ac:dyDescent="0.2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6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6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6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6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6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6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6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6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6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6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6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6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6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6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6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6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6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6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6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6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6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6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6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6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6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6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6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6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6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6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6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6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6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6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6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6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6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6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6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6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6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6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6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6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6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6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6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6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6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6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6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6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6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6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6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6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6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6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6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6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6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6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6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si="139"/>
        <v>2014</v>
      </c>
    </row>
    <row r="1796" spans="1:21" ht="60" hidden="1" x14ac:dyDescent="0.2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6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ref="U1796:U1859" si="144">YEAR(S1796)</f>
        <v>2015</v>
      </c>
    </row>
    <row r="1797" spans="1:21" ht="45" hidden="1" x14ac:dyDescent="0.2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6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6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6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6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6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6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6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6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6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6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6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6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6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6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6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6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6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6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6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6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6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6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6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6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6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6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6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6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6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6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6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6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6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6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6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6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6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6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6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6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6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6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6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6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6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6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6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6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6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6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6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6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6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6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6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6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6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6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6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6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6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6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6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si="144"/>
        <v>2014</v>
      </c>
    </row>
    <row r="1860" spans="1:21" ht="60" hidden="1" x14ac:dyDescent="0.2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6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ref="U1860:U1923" si="149">YEAR(S1860)</f>
        <v>2011</v>
      </c>
    </row>
    <row r="1861" spans="1:21" ht="30" hidden="1" x14ac:dyDescent="0.2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6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6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6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6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6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6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6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6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6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6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6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6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6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6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6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6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6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6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6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6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6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6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6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6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6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6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6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6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6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6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6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6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6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6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6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6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6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6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6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6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6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6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6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6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6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6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6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6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6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6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6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6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6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6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6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6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6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6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6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6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6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6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6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si="149"/>
        <v>2012</v>
      </c>
    </row>
    <row r="1924" spans="1:21" ht="45" hidden="1" x14ac:dyDescent="0.2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6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ref="U1924:U1987" si="154">YEAR(S1924)</f>
        <v>2013</v>
      </c>
    </row>
    <row r="1925" spans="1:21" ht="45" hidden="1" x14ac:dyDescent="0.2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6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6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6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6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6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6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6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6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6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6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6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6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6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6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6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6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6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6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6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6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6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6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6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6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6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6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6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6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6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6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6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6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6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6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6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6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6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6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6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6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6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6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6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6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6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6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6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6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6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6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6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6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6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6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6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6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6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6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6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6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6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6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6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si="154"/>
        <v>2016</v>
      </c>
    </row>
    <row r="1988" spans="1:21" ht="60" hidden="1" x14ac:dyDescent="0.2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6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ref="U1988:U2051" si="159">YEAR(S1988)</f>
        <v>2016</v>
      </c>
    </row>
    <row r="1989" spans="1:21" ht="30" hidden="1" x14ac:dyDescent="0.2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6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6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6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6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6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6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6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6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6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6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6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6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6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6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6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6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6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6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6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6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6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6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6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6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6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6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6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6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6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6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6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6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6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6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6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6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6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6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6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6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6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6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6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6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6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6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6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6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6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6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6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6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6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6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6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6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6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6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6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6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6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6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6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si="159"/>
        <v>2013</v>
      </c>
    </row>
    <row r="2052" spans="1:21" ht="60" hidden="1" x14ac:dyDescent="0.2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6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ref="U2052:U2115" si="164">YEAR(S2052)</f>
        <v>2015</v>
      </c>
    </row>
    <row r="2053" spans="1:21" ht="60" hidden="1" x14ac:dyDescent="0.2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6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6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6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6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6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6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6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6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6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6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6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6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6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6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6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6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6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6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6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6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6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6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6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6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6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6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6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6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6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6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6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6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6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6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6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6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6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6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6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6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6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6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6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6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6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6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6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6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6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6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6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6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6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6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6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6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6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6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6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6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6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6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6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si="164"/>
        <v>2014</v>
      </c>
    </row>
    <row r="2116" spans="1:21" ht="60" hidden="1" x14ac:dyDescent="0.2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6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ref="U2116:U2179" si="169">YEAR(S2116)</f>
        <v>2010</v>
      </c>
    </row>
    <row r="2117" spans="1:21" ht="45" hidden="1" x14ac:dyDescent="0.2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6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6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6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6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6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6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6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6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6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6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6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6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6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6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6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6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6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6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6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6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6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6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6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6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6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6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6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6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6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6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6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6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6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6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6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6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6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6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6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6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6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6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6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6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6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6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6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6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6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6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6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6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6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6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6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6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6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6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6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6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6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6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6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si="169"/>
        <v>2016</v>
      </c>
    </row>
    <row r="2180" spans="1:21" ht="45" hidden="1" x14ac:dyDescent="0.2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6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ref="U2180:U2243" si="174">YEAR(S2180)</f>
        <v>2016</v>
      </c>
    </row>
    <row r="2181" spans="1:21" ht="45" hidden="1" x14ac:dyDescent="0.2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6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6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6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6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6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6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6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6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6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6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6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6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6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6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6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6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6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6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6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6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6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6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6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6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6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6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6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6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6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6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6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6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6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6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6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6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6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6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6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6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6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6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6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6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6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6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6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6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6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6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6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6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6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6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6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6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6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6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6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6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6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6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6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si="174"/>
        <v>2017</v>
      </c>
    </row>
    <row r="2244" spans="1:21" ht="30" hidden="1" x14ac:dyDescent="0.2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6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ref="U2244:U2307" si="179">YEAR(S2244)</f>
        <v>2013</v>
      </c>
    </row>
    <row r="2245" spans="1:21" ht="60" hidden="1" x14ac:dyDescent="0.2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6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6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6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6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6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6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6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6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6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6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6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6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6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6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6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6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6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6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6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6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6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6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6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6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6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6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6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6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6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6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6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6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6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6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6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6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6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6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6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6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6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6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6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6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6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6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6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6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6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6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6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6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6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6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6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6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6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6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6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6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6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6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6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si="179"/>
        <v>2014</v>
      </c>
    </row>
    <row r="2308" spans="1:21" ht="45" hidden="1" x14ac:dyDescent="0.2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6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ref="U2308:U2371" si="184">YEAR(S2308)</f>
        <v>2012</v>
      </c>
    </row>
    <row r="2309" spans="1:21" ht="45" hidden="1" x14ac:dyDescent="0.2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6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6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6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6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6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6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6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6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6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6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6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6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6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6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6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6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6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6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6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6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6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6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6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6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6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6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6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6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6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6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6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6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6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6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6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6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6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6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6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6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6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6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6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6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6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6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6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6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6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6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6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6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6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6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6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6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6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6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6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6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6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6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6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si="184"/>
        <v>2016</v>
      </c>
    </row>
    <row r="2372" spans="1:21" ht="60" hidden="1" x14ac:dyDescent="0.2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6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ref="U2372:U2435" si="189">YEAR(S2372)</f>
        <v>2014</v>
      </c>
    </row>
    <row r="2373" spans="1:21" ht="60" hidden="1" x14ac:dyDescent="0.2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6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6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6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6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6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6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6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6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6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6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6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6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6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6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6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6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6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6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6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6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6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6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6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6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6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6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6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6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6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6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6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6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6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6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6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6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6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6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6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6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6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6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6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6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6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6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6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6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6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6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6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6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6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6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6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6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6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6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6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6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6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6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6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si="189"/>
        <v>2016</v>
      </c>
    </row>
    <row r="2436" spans="1:21" ht="60" hidden="1" x14ac:dyDescent="0.2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6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ref="U2436:U2499" si="194">YEAR(S2436)</f>
        <v>2015</v>
      </c>
    </row>
    <row r="2437" spans="1:21" ht="45" hidden="1" x14ac:dyDescent="0.2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6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6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6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6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6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6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6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6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6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6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6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6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6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6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6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6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6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6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6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6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6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6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6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6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6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6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6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6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6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6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6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6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6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6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6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6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6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6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6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6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6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6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6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6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6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6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6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6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6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6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6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6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6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6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6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6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6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6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6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6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6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6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6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si="194"/>
        <v>2011</v>
      </c>
    </row>
    <row r="2500" spans="1:21" ht="45" hidden="1" x14ac:dyDescent="0.2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6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ref="U2500:U2563" si="199">YEAR(S2500)</f>
        <v>2015</v>
      </c>
    </row>
    <row r="2501" spans="1:21" ht="60" hidden="1" x14ac:dyDescent="0.2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6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6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6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6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6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6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6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6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6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6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6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6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6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6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6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6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6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6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6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6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6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6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6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6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6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6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6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6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6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6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6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6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6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6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6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6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6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6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6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6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6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6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6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6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6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6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6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6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6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6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6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6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6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6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6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6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6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6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6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6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6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6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6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si="199"/>
        <v>2015</v>
      </c>
    </row>
    <row r="2564" spans="1:21" ht="60" hidden="1" x14ac:dyDescent="0.2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6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ref="U2564:U2627" si="204">YEAR(S2564)</f>
        <v>2016</v>
      </c>
    </row>
    <row r="2565" spans="1:21" ht="30" hidden="1" x14ac:dyDescent="0.2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6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6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6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6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6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6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6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6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6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6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6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6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6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6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6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6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6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6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6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6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6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6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6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6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6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6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6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6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6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6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6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6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6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6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6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6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6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6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6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6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6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6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6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6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6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6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6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6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6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6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6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6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6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6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6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6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6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6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6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6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6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6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6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si="204"/>
        <v>2016</v>
      </c>
    </row>
    <row r="2628" spans="1:21" ht="45" hidden="1" x14ac:dyDescent="0.2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6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ref="U2628:U2691" si="209">YEAR(S2628)</f>
        <v>2015</v>
      </c>
    </row>
    <row r="2629" spans="1:21" ht="60" hidden="1" x14ac:dyDescent="0.2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6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6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6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6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6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6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6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6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6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6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6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6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6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6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6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6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6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6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6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6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6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6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6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6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6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6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6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6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6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6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6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6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6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6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6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6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6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6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6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6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6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6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6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6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6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6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6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6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6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6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6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6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6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6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6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6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6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6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6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6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6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6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6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si="209"/>
        <v>2016</v>
      </c>
    </row>
    <row r="2692" spans="1:21" ht="60" hidden="1" x14ac:dyDescent="0.2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6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ref="U2692:U2755" si="214">YEAR(S2692)</f>
        <v>2015</v>
      </c>
    </row>
    <row r="2693" spans="1:21" ht="30" hidden="1" x14ac:dyDescent="0.2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6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6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6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6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6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6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6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6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6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6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6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6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6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6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6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6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6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6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6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6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6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6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6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6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6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6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6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6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6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6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6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6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6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6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6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6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6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6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6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6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6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6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6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6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6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6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6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6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6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6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6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6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6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6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6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6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6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6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6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6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6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6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6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si="214"/>
        <v>2012</v>
      </c>
    </row>
    <row r="2756" spans="1:21" ht="45" hidden="1" x14ac:dyDescent="0.2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6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ref="U2756:U2819" si="219">YEAR(S2756)</f>
        <v>2014</v>
      </c>
    </row>
    <row r="2757" spans="1:21" ht="45" hidden="1" x14ac:dyDescent="0.2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6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6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6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6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6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6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6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6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6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6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6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6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6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6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6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6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6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6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6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6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6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6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6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6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6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6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6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6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6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6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6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6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6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6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6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6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6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6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6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6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6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6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6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6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6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6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6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6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6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6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6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6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6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6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6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6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6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6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6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6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6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6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6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si="219"/>
        <v>2015</v>
      </c>
    </row>
    <row r="2820" spans="1:21" ht="45" hidden="1" x14ac:dyDescent="0.2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6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ref="U2820:U2883" si="224">YEAR(S2820)</f>
        <v>2015</v>
      </c>
    </row>
    <row r="2821" spans="1:21" ht="60" hidden="1" x14ac:dyDescent="0.2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6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6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6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6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6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6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6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6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6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6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6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6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6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6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6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6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6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6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6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6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6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6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6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6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6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6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6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6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6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6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6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6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6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6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6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6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6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6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6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6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6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6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6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6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6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6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6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6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6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6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6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6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6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6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6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6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6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6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6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6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6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6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6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si="224"/>
        <v>2014</v>
      </c>
    </row>
    <row r="2884" spans="1:21" ht="60" hidden="1" x14ac:dyDescent="0.2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6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ref="U2884:U2947" si="229">YEAR(S2884)</f>
        <v>2016</v>
      </c>
    </row>
    <row r="2885" spans="1:21" ht="60" hidden="1" x14ac:dyDescent="0.2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6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6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6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6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6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6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6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6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6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6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6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6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6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6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6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6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6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6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6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6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6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6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6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6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6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6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6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6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6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6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6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6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6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6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6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6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6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6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6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6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6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6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6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6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6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6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6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6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6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6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6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6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6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6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6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6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6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6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6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6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6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6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6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si="229"/>
        <v>2015</v>
      </c>
    </row>
    <row r="2948" spans="1:21" ht="60" hidden="1" x14ac:dyDescent="0.2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6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ref="U2948:U3011" si="234">YEAR(S2948)</f>
        <v>2016</v>
      </c>
    </row>
    <row r="2949" spans="1:21" ht="60" hidden="1" x14ac:dyDescent="0.2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6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6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6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6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6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6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6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6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6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6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6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6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6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6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6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6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6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6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6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6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6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6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6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6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6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6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6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6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6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6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6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6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6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6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6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6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6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6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6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6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6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6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6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6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6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6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6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6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6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6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6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6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6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6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6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6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6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6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6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6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6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6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6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si="234"/>
        <v>2014</v>
      </c>
    </row>
    <row r="3012" spans="1:21" ht="60" hidden="1" x14ac:dyDescent="0.2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6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ref="U3012:U3075" si="239">YEAR(S3012)</f>
        <v>2014</v>
      </c>
    </row>
    <row r="3013" spans="1:21" ht="45" hidden="1" x14ac:dyDescent="0.2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6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6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6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6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6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6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6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6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6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6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6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6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6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6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6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6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6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6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6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6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6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6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6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6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6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6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6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6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6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6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6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6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6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6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6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6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6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6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6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6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6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6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6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6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6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6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6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6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6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6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6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6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6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6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6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6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6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6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6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6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6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6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6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si="239"/>
        <v>2015</v>
      </c>
    </row>
    <row r="3076" spans="1:21" ht="75" hidden="1" x14ac:dyDescent="0.2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6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ref="U3076:U3139" si="244">YEAR(S3076)</f>
        <v>2016</v>
      </c>
    </row>
    <row r="3077" spans="1:21" ht="45" hidden="1" x14ac:dyDescent="0.2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6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6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6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6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6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6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6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6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6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6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6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6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6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6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6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6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6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6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6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6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6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6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6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6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6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6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6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6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6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6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6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6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6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6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6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6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6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6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6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6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6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6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6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6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6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6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6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6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6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6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6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6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6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6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6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6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6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6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6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6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6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6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6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si="244"/>
        <v>2017</v>
      </c>
    </row>
    <row r="3140" spans="1:21" ht="60" hidden="1" x14ac:dyDescent="0.2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6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ref="U3140:U3203" si="249">YEAR(S3140)</f>
        <v>2017</v>
      </c>
    </row>
    <row r="3141" spans="1:21" ht="60" hidden="1" x14ac:dyDescent="0.2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6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6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6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6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6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6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6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6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6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6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6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6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6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6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6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6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6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6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6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6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6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6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6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6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6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6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6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6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6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6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6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6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6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6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6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6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6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6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6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6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6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6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6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6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6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6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6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6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6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6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6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6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6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6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6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6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6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6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6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6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6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6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6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si="249"/>
        <v>2014</v>
      </c>
    </row>
    <row r="3204" spans="1:21" ht="45" hidden="1" x14ac:dyDescent="0.2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6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ref="U3204:U3267" si="254">YEAR(S3204)</f>
        <v>2015</v>
      </c>
    </row>
    <row r="3205" spans="1:21" ht="45" hidden="1" x14ac:dyDescent="0.2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6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6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6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6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6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6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6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6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6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6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6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6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6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6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6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6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6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6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6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6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6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6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6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6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6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6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6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6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6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6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6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6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6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6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6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6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6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6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6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6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6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6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6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6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6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6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6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6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6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6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6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6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6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6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6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6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6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6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6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6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6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6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6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si="254"/>
        <v>2015</v>
      </c>
    </row>
    <row r="3268" spans="1:21" ht="45" hidden="1" x14ac:dyDescent="0.2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6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ref="U3268:U3331" si="259">YEAR(S3268)</f>
        <v>2015</v>
      </c>
    </row>
    <row r="3269" spans="1:21" ht="60" hidden="1" x14ac:dyDescent="0.2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6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6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6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6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6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6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6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6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6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6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6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6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6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6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6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6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6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6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6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6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6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6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6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6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6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6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6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6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6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6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6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6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6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6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6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6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6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6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6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6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6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6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6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6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6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6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6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6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6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6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6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6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6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6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6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6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6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6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6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6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6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6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6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si="259"/>
        <v>2014</v>
      </c>
    </row>
    <row r="3332" spans="1:21" ht="45" hidden="1" x14ac:dyDescent="0.2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6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ref="U3332:U3395" si="264">YEAR(S3332)</f>
        <v>2015</v>
      </c>
    </row>
    <row r="3333" spans="1:21" ht="60" hidden="1" x14ac:dyDescent="0.2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6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6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6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6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6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6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6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6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6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6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6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6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6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6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6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6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6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6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6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6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6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6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6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6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6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6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6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6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6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6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6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6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6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6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6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6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6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6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6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6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6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6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6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6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6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6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6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6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6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6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6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6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6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6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6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6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6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6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6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6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6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6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6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si="264"/>
        <v>2014</v>
      </c>
    </row>
    <row r="3396" spans="1:21" ht="60" hidden="1" x14ac:dyDescent="0.2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6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ref="U3396:U3459" si="269">YEAR(S3396)</f>
        <v>2014</v>
      </c>
    </row>
    <row r="3397" spans="1:21" ht="30" hidden="1" x14ac:dyDescent="0.2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6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6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6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6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6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6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6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6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6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6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6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6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6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6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6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6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6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6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6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6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6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6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6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6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6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6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6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6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6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6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6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6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6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6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6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6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6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6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6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6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6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6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6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6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6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6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6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6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6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6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6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6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6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6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6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6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6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6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6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6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6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6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6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si="269"/>
        <v>2015</v>
      </c>
    </row>
    <row r="3460" spans="1:21" ht="60" hidden="1" x14ac:dyDescent="0.2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6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ref="U3460:U3523" si="274">YEAR(S3460)</f>
        <v>2015</v>
      </c>
    </row>
    <row r="3461" spans="1:21" ht="60" hidden="1" x14ac:dyDescent="0.2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6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6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6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6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6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6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6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6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6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6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6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6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6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6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6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6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6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6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6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6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6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6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6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6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6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6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6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6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6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6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6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6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6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6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6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6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6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6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6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6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6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6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6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6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6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6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6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6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6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6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6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6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6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6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6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6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6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6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6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6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6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6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6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si="274"/>
        <v>2014</v>
      </c>
    </row>
    <row r="3524" spans="1:21" ht="60" hidden="1" x14ac:dyDescent="0.2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6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ref="U3524:U3587" si="279">YEAR(S3524)</f>
        <v>2015</v>
      </c>
    </row>
    <row r="3525" spans="1:21" ht="45" hidden="1" x14ac:dyDescent="0.2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6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6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6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6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6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6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6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6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6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6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6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6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6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6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6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6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6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6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6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6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6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6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6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6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6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6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6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6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6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6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6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6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6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6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6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6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6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6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6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6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6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6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6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6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6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6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6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6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6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6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6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6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6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6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6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6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6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6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6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6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6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6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6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si="279"/>
        <v>2014</v>
      </c>
    </row>
    <row r="3588" spans="1:21" ht="30" hidden="1" x14ac:dyDescent="0.2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6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ref="U3588:U3651" si="284">YEAR(S3588)</f>
        <v>2016</v>
      </c>
    </row>
    <row r="3589" spans="1:21" ht="45" hidden="1" x14ac:dyDescent="0.2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6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6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6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6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6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6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6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6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6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6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6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6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6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6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6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6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6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6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6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6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6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6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6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6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6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6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6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6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6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6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6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6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6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6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6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6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6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6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6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6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6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6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6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6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6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6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6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6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6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6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6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6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6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6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6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6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6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6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6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6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6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6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6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si="284"/>
        <v>2014</v>
      </c>
    </row>
    <row r="3652" spans="1:21" ht="60" hidden="1" x14ac:dyDescent="0.2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6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ref="U3652:U3715" si="289">YEAR(S3652)</f>
        <v>2016</v>
      </c>
    </row>
    <row r="3653" spans="1:21" ht="45" hidden="1" x14ac:dyDescent="0.2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6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6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6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6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6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6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6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6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6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6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6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6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6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6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6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6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6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6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6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6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6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6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6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6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6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6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6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6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6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6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6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6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6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6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6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6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6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6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6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6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6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6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6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6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6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6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6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6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6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6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6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6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6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6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6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6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6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6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6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6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6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6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6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si="289"/>
        <v>2016</v>
      </c>
    </row>
    <row r="3716" spans="1:21" ht="60" hidden="1" x14ac:dyDescent="0.2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6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ref="U3716:U3779" si="294">YEAR(S3716)</f>
        <v>2015</v>
      </c>
    </row>
    <row r="3717" spans="1:21" ht="60" hidden="1" x14ac:dyDescent="0.2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6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6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6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6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6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6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6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6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6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6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6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6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6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6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6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6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6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6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6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6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6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6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6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6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6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6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6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6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6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6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6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6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6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6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6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6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6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6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6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6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6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6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6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6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6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6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6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6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6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6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6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6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6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6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6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6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6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6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6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6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6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6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6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si="294"/>
        <v>2014</v>
      </c>
    </row>
    <row r="3780" spans="1:21" ht="30" hidden="1" x14ac:dyDescent="0.2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6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ref="U3780:U3843" si="299">YEAR(S3780)</f>
        <v>2014</v>
      </c>
    </row>
    <row r="3781" spans="1:21" ht="30" hidden="1" x14ac:dyDescent="0.2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6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6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6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6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6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6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6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6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6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6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6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6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6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6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6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6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6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6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6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6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6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6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6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6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6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6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6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6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6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6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6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6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6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6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6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6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6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6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6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6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6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6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6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6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6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6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6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6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6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6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6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6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6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6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6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6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6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6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6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6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6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6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6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si="299"/>
        <v>2014</v>
      </c>
    </row>
    <row r="3844" spans="1:21" ht="60" hidden="1" x14ac:dyDescent="0.2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6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ref="U3844:U3907" si="304">YEAR(S3844)</f>
        <v>2014</v>
      </c>
    </row>
    <row r="3845" spans="1:21" ht="60" hidden="1" x14ac:dyDescent="0.2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6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6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6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6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6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6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6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6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6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6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6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6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6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6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6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6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6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6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6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6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6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6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6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6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6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6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6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6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6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6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6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6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6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6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6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6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6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6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6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6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6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6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6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6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6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6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6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6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6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6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6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6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6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6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6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6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6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6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6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6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6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6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6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si="304"/>
        <v>2015</v>
      </c>
    </row>
    <row r="3908" spans="1:21" ht="45" hidden="1" x14ac:dyDescent="0.2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6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ref="U3908:U3971" si="309">YEAR(S3908)</f>
        <v>2015</v>
      </c>
    </row>
    <row r="3909" spans="1:21" ht="45" hidden="1" x14ac:dyDescent="0.2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6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6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6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6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6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6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6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6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6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6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6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6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6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6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6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6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6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6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6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6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6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6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6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6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6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6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6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6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6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6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6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6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6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6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6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6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6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6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6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6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6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6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6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6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6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6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6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6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6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6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6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6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6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6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6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6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6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6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6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6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6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6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6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si="309"/>
        <v>2016</v>
      </c>
    </row>
    <row r="3972" spans="1:21" ht="60" hidden="1" x14ac:dyDescent="0.2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6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ref="U3972:U4035" si="314">YEAR(S3972)</f>
        <v>2016</v>
      </c>
    </row>
    <row r="3973" spans="1:21" ht="60" hidden="1" x14ac:dyDescent="0.2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6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6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6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6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6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6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6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6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6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6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6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6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6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6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6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6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6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6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6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6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6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6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6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6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6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6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6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6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6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6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6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6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6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6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6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6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6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6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6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6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6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6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6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6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6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6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6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6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6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6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6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6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6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6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6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6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6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6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6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6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6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6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6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si="314"/>
        <v>2016</v>
      </c>
    </row>
    <row r="4036" spans="1:21" ht="60" hidden="1" x14ac:dyDescent="0.2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6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ref="U4036:U4099" si="319">YEAR(S4036)</f>
        <v>2015</v>
      </c>
    </row>
    <row r="4037" spans="1:21" ht="30" hidden="1" x14ac:dyDescent="0.2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6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6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6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6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6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6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6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6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6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6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6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6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6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6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6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6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6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6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6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6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6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6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6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6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6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6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6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6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6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6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6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6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6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6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6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6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6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6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6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6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6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6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6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6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6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6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6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6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6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6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6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6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6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6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6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6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6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6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6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6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6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6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6" t="s">
        <v>8315</v>
      </c>
      <c r="R4099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si="319"/>
        <v>2015</v>
      </c>
    </row>
    <row r="4100" spans="1:21" ht="45" hidden="1" x14ac:dyDescent="0.2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6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ref="U4100:U4115" si="324">YEAR(S4100)</f>
        <v>2016</v>
      </c>
    </row>
    <row r="4101" spans="1:21" ht="60" hidden="1" x14ac:dyDescent="0.2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6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6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6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6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6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6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6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6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6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6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6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6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6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6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6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3">
      <filters>
        <filter val="$35,000.00"/>
        <filter val="$36,400.00"/>
        <filter val="$37,500.00"/>
        <filter val="$38,000.00"/>
        <filter val="$40,000.00"/>
      </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55966-B789-49D4-9431-E2CCDD25DC5D}">
  <dimension ref="A1:E18"/>
  <sheetViews>
    <sheetView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8390</v>
      </c>
      <c r="B1" t="s">
        <v>8362</v>
      </c>
    </row>
    <row r="2" spans="1:5" x14ac:dyDescent="0.25">
      <c r="A2" s="7" t="s">
        <v>8391</v>
      </c>
      <c r="B2" t="s">
        <v>8315</v>
      </c>
    </row>
    <row r="4" spans="1:5" x14ac:dyDescent="0.25">
      <c r="A4" s="7" t="s">
        <v>8361</v>
      </c>
      <c r="B4" s="7" t="s">
        <v>8358</v>
      </c>
    </row>
    <row r="5" spans="1:5" x14ac:dyDescent="0.25">
      <c r="A5" s="7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8" t="s">
        <v>8377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8" t="s">
        <v>8378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8" t="s">
        <v>8379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8" t="s">
        <v>8380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8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8" t="s">
        <v>8381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8" t="s">
        <v>8370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8" t="s">
        <v>8371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8" t="s">
        <v>8372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8" t="s">
        <v>8374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8" t="s">
        <v>8375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8" t="s">
        <v>8382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8" t="s">
        <v>8359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C00E-EE94-42FD-B3FB-69FA8FB6FA1D}">
  <dimension ref="A1:H49"/>
  <sheetViews>
    <sheetView tabSelected="1" topLeftCell="A49" zoomScaleNormal="100" workbookViewId="0">
      <selection activeCell="M30" sqref="M30"/>
    </sheetView>
  </sheetViews>
  <sheetFormatPr defaultRowHeight="15" x14ac:dyDescent="0.25"/>
  <cols>
    <col min="1" max="1" width="26.42578125" bestFit="1" customWidth="1"/>
    <col min="2" max="2" width="20.85546875" style="20" bestFit="1" customWidth="1"/>
    <col min="3" max="3" width="17" style="20" bestFit="1" customWidth="1"/>
    <col min="4" max="4" width="19.85546875" style="20" bestFit="1" customWidth="1"/>
    <col min="5" max="5" width="18.140625" bestFit="1" customWidth="1"/>
    <col min="6" max="6" width="14.28515625" bestFit="1" customWidth="1"/>
    <col min="7" max="7" width="17" bestFit="1" customWidth="1"/>
    <col min="8" max="8" width="13.140625" bestFit="1" customWidth="1"/>
    <col min="13" max="20" width="24" bestFit="1" customWidth="1"/>
    <col min="21" max="21" width="15" bestFit="1" customWidth="1"/>
    <col min="22" max="22" width="9.5703125" bestFit="1" customWidth="1"/>
    <col min="23" max="23" width="6" bestFit="1" customWidth="1"/>
    <col min="24" max="24" width="10.5703125" bestFit="1" customWidth="1"/>
    <col min="25" max="25" width="6" bestFit="1" customWidth="1"/>
    <col min="26" max="26" width="11" bestFit="1" customWidth="1"/>
    <col min="27" max="27" width="6" bestFit="1" customWidth="1"/>
    <col min="28" max="28" width="11" bestFit="1" customWidth="1"/>
    <col min="29" max="29" width="7.42578125" bestFit="1" customWidth="1"/>
    <col min="30" max="30" width="11.5703125" bestFit="1" customWidth="1"/>
    <col min="31" max="31" width="7.42578125" bestFit="1" customWidth="1"/>
    <col min="32" max="32" width="12.42578125" bestFit="1" customWidth="1"/>
    <col min="33" max="34" width="15" bestFit="1" customWidth="1"/>
    <col min="35" max="35" width="39.28515625" bestFit="1" customWidth="1"/>
    <col min="36" max="36" width="33.42578125" bestFit="1" customWidth="1"/>
  </cols>
  <sheetData>
    <row r="1" spans="1:8" s="12" customFormat="1" x14ac:dyDescent="0.25">
      <c r="A1" s="12" t="s">
        <v>8386</v>
      </c>
      <c r="B1" s="19" t="s">
        <v>8396</v>
      </c>
      <c r="C1" s="19" t="s">
        <v>8397</v>
      </c>
      <c r="D1" s="19" t="s">
        <v>8398</v>
      </c>
      <c r="E1" s="12" t="s">
        <v>8392</v>
      </c>
      <c r="F1" s="12" t="s">
        <v>8393</v>
      </c>
      <c r="G1" s="12" t="s">
        <v>8394</v>
      </c>
      <c r="H1" s="12" t="s">
        <v>8395</v>
      </c>
    </row>
    <row r="2" spans="1:8" x14ac:dyDescent="0.25">
      <c r="A2" t="s">
        <v>8399</v>
      </c>
      <c r="B2" s="21">
        <f t="shared" ref="B2:B13" si="0">(E2/$H$14)</f>
        <v>0.1346704871060172</v>
      </c>
      <c r="C2" s="21">
        <f t="shared" ref="C2:C13" si="1">(F2/$H$14)</f>
        <v>4.2979942693409739E-2</v>
      </c>
      <c r="D2" s="22">
        <v>0</v>
      </c>
      <c r="E2">
        <f>COUNTIFS(Kickstarter!$F:$F, "successful", Kickstarter!$R:$R, "plays", Kickstarter!$D:$D, "&lt;1000")</f>
        <v>141</v>
      </c>
      <c r="F2">
        <f>COUNTIFS(Kickstarter!$F:$F, "failed", Kickstarter!$R:$R, "plays", Kickstarter!$D:$D, "&lt;1000")</f>
        <v>45</v>
      </c>
      <c r="G2">
        <f>COUNTIFS(Kickstarter!$F:$F, "canceled", Kickstarter!$R:$R, "plays", Kickstarter!$D:$D, "&lt;1000")</f>
        <v>0</v>
      </c>
      <c r="H2">
        <f>SUM(E2:G2)</f>
        <v>186</v>
      </c>
    </row>
    <row r="3" spans="1:8" x14ac:dyDescent="0.25">
      <c r="A3" t="s">
        <v>8400</v>
      </c>
      <c r="B3" s="21">
        <f t="shared" si="0"/>
        <v>0.37058261700095513</v>
      </c>
      <c r="C3" s="21">
        <f t="shared" si="1"/>
        <v>0.13944603629417382</v>
      </c>
      <c r="D3" s="22">
        <v>0</v>
      </c>
      <c r="E3">
        <f>COUNTIFS(Kickstarter!$F:$F,"successful",Kickstarter!$D:$D,"&gt;=1000",Kickstarter!$D:$D,"&lt;=4999",Kickstarter!$R:$R,"plays")</f>
        <v>388</v>
      </c>
      <c r="F3">
        <f>COUNTIFS(Kickstarter!$F:$F,"failed",Kickstarter!$R:$R,"plays",Kickstarter!$D:$D,"&gt;=1000",Kickstarter!$D:$D,"&lt;=4999")</f>
        <v>146</v>
      </c>
      <c r="G3">
        <f>COUNTIFS(Kickstarter!$F:$F,"canceled",Kickstarter!$R:$R,"plays",Kickstarter!$D:$D,"&gt;=1000",Kickstarter!$D:$D,"&lt;=4999")</f>
        <v>0</v>
      </c>
      <c r="H3">
        <f>SUM(E3:G3)</f>
        <v>534</v>
      </c>
    </row>
    <row r="4" spans="1:8" x14ac:dyDescent="0.25">
      <c r="A4" t="s">
        <v>8401</v>
      </c>
      <c r="B4" s="21">
        <f t="shared" si="0"/>
        <v>8.882521489971347E-2</v>
      </c>
      <c r="C4" s="21">
        <f t="shared" si="1"/>
        <v>7.2588347659980901E-2</v>
      </c>
      <c r="D4" s="22">
        <v>0</v>
      </c>
      <c r="E4">
        <f>COUNTIFS(Kickstarter!$F:$F,"successful",Kickstarter!$D:$D,"&gt;=5000",Kickstarter!$D:$D,"&lt;=9999",Kickstarter!$R:$R,"plays")</f>
        <v>93</v>
      </c>
      <c r="F4">
        <f>COUNTIFS(Kickstarter!$F:$F, "failed",Kickstarter!$R:$R,"plays",Kickstarter!$D:$D,"&gt;=5000",Kickstarter!$D:$D,"&lt;=9999")</f>
        <v>76</v>
      </c>
      <c r="G4">
        <f>COUNTIFS(Kickstarter!$F:$F,"canceled",Kickstarter!$R:$R,"plays",Kickstarter!$D:$D,"&gt;=5000",Kickstarter!$D:$D,"&lt;=9999")</f>
        <v>0</v>
      </c>
      <c r="H4">
        <f t="shared" ref="H4:H5" si="2">SUM(E4:G4)</f>
        <v>169</v>
      </c>
    </row>
    <row r="5" spans="1:8" x14ac:dyDescent="0.25">
      <c r="A5" t="s">
        <v>8410</v>
      </c>
      <c r="B5" s="21">
        <f t="shared" si="0"/>
        <v>3.7249283667621778E-2</v>
      </c>
      <c r="C5" s="21">
        <f t="shared" si="1"/>
        <v>3.151862464183381E-2</v>
      </c>
      <c r="D5" s="22">
        <v>0</v>
      </c>
      <c r="E5">
        <f>COUNTIFS(Kickstarter!$F:$F,"successful",Kickstarter!$R:$R,"plays",Kickstarter!$D:$D,"&gt;=10000",Kickstarter!$D:$D,"&lt;=14999")</f>
        <v>39</v>
      </c>
      <c r="F5">
        <f>COUNTIFS(Kickstarter!$F:$F,"failed",Kickstarter!$R:$R,"plays",Kickstarter!$D:$D,"&gt;=10000",Kickstarter!$D:$D,"&lt;=14999")</f>
        <v>33</v>
      </c>
      <c r="G5">
        <f>COUNTIFS(Kickstarter!$F:$F,"canceled",Kickstarter!$R:$R,"plays",Kickstarter!$D:$D,"&gt;=10000",Kickstarter!$D:$D,"&lt;=14999")</f>
        <v>0</v>
      </c>
      <c r="H5">
        <f t="shared" si="2"/>
        <v>72</v>
      </c>
    </row>
    <row r="6" spans="1:8" x14ac:dyDescent="0.25">
      <c r="A6" t="s">
        <v>8402</v>
      </c>
      <c r="B6" s="21">
        <f t="shared" si="0"/>
        <v>1.1461318051575931E-2</v>
      </c>
      <c r="C6" s="21">
        <f t="shared" si="1"/>
        <v>1.1461318051575931E-2</v>
      </c>
      <c r="D6" s="22">
        <v>0</v>
      </c>
      <c r="E6">
        <f>COUNTIFS(Kickstarter!$F:$F,"successful",Kickstarter!$R:$R,"plays",Kickstarter!$D:$D,"&gt;=15000",Kickstarter!$D:$D,"&lt;=19999")</f>
        <v>12</v>
      </c>
      <c r="F6">
        <f>COUNTIFS(Kickstarter!$F:$F, "failed",Kickstarter!$R:$R,"plays",Kickstarter!$D:$D,"&gt;=15000",Kickstarter!$D:$D,"&lt;=19999")</f>
        <v>12</v>
      </c>
      <c r="G6">
        <f>COUNTIFS(Kickstarter!$F:$F,"canceled",Kickstarter!$R:$R,"plays",Kickstarter!$D:$D,"&gt;=15000",Kickstarter!$D:$D,"&lt;=19999")</f>
        <v>0</v>
      </c>
      <c r="H6">
        <f t="shared" ref="H6:H13" si="3">SUM(E6:G6)</f>
        <v>24</v>
      </c>
    </row>
    <row r="7" spans="1:8" x14ac:dyDescent="0.25">
      <c r="A7" t="s">
        <v>8403</v>
      </c>
      <c r="B7" s="21">
        <f t="shared" si="0"/>
        <v>8.5959885386819486E-3</v>
      </c>
      <c r="C7" s="21">
        <f t="shared" si="1"/>
        <v>1.0506208213944603E-2</v>
      </c>
      <c r="D7" s="22">
        <v>0</v>
      </c>
      <c r="E7">
        <f>COUNTIFS(Kickstarter!$F:$F,"successful",Kickstarter!$R:$R,"plays",Kickstarter!$D:$D,"&gt;=20000",Kickstarter!$D:$D,"&lt;=24999")</f>
        <v>9</v>
      </c>
      <c r="F7">
        <f>COUNTIFS(Kickstarter!$F:$F, "failed",Kickstarter!$R:$R,"plays",Kickstarter!$D:$D,"&gt;=20000",Kickstarter!$D:$D,"&lt;=24999")</f>
        <v>11</v>
      </c>
      <c r="G7">
        <f>COUNTIFS(Kickstarter!$F:$F,"canceled",Kickstarter!$R:$R,"plays",Kickstarter!$D:$D,"&gt;=20000",Kickstarter!$D:$D,"&lt;=24999")</f>
        <v>0</v>
      </c>
      <c r="H7">
        <f t="shared" si="3"/>
        <v>20</v>
      </c>
    </row>
    <row r="8" spans="1:8" x14ac:dyDescent="0.25">
      <c r="A8" t="s">
        <v>8404</v>
      </c>
      <c r="B8" s="21">
        <f t="shared" si="0"/>
        <v>9.5510983763132757E-4</v>
      </c>
      <c r="C8" s="21">
        <f t="shared" si="1"/>
        <v>3.8204393505253103E-3</v>
      </c>
      <c r="D8" s="22">
        <v>0</v>
      </c>
      <c r="E8">
        <f>COUNTIFS(Kickstarter!$F:$F,"successful",Kickstarter!$R:$R,"plays",Kickstarter!$D:$D,"&gt;=25000",Kickstarter!$D:$D,"&lt;=29999")</f>
        <v>1</v>
      </c>
      <c r="F8">
        <f>COUNTIFS(Kickstarter!$F:$F,"failed",Kickstarter!$R:$R,"plays",Kickstarter!$D:$D,"&gt;=25000",Kickstarter!$D:$D,"&lt;=29999")</f>
        <v>4</v>
      </c>
      <c r="G8">
        <f>COUNTIFS(Kickstarter!$F:$F,"canceld",Kickstarter!$R:$R,"plays",Kickstarter!$D:$D,"&gt;=25000",Kickstarter!$D:$D,"&lt;=29999")</f>
        <v>0</v>
      </c>
      <c r="H8">
        <f t="shared" si="3"/>
        <v>5</v>
      </c>
    </row>
    <row r="9" spans="1:8" x14ac:dyDescent="0.25">
      <c r="A9" t="s">
        <v>8405</v>
      </c>
      <c r="B9" s="21">
        <f t="shared" si="0"/>
        <v>2.8653295128939827E-3</v>
      </c>
      <c r="C9" s="21">
        <f t="shared" si="1"/>
        <v>7.6408787010506206E-3</v>
      </c>
      <c r="D9" s="22">
        <v>0</v>
      </c>
      <c r="E9">
        <f>COUNTIFS(Kickstarter!$F:$F,"successful",Kickstarter!$R:$R,"plays",Kickstarter!$D:$D,"&gt;=30000",Kickstarter!$D:$D,"&lt;=34999")</f>
        <v>3</v>
      </c>
      <c r="F9">
        <f>COUNTIFS(Kickstarter!$F:$F,"failed",Kickstarter!$R:$R,"plays",Kickstarter!$D:$D,"&gt;=30000",Kickstarter!$D:$D,"&lt;=34999")</f>
        <v>8</v>
      </c>
      <c r="G9">
        <f>COUNTIFS(Kickstarter!$F:$F,"canceled",Kickstarter!$R:$R,"plays",Kickstarter!$D:$D,"&gt;=30000",Kickstarter!$D:$D,"&lt;=34999")</f>
        <v>0</v>
      </c>
      <c r="H9">
        <f t="shared" si="3"/>
        <v>11</v>
      </c>
    </row>
    <row r="10" spans="1:8" x14ac:dyDescent="0.25">
      <c r="A10" t="s">
        <v>8411</v>
      </c>
      <c r="B10" s="21">
        <f t="shared" si="0"/>
        <v>3.8204393505253103E-3</v>
      </c>
      <c r="C10" s="21">
        <f t="shared" si="1"/>
        <v>1.9102196752626551E-3</v>
      </c>
      <c r="D10" s="22">
        <v>0</v>
      </c>
      <c r="E10">
        <f>COUNTIFS(Kickstarter!$F:$F,"successful",Kickstarter!$R:$R,"plays",Kickstarter!$D:$D,"&gt;=34999",Kickstarter!$D:$D,"&lt;=39999")</f>
        <v>4</v>
      </c>
      <c r="F10">
        <f>COUNTIFS(Kickstarter!$F:$F,"failed",Kickstarter!$R:$R,"plays",Kickstarter!$D:$D,"&gt;=34999",Kickstarter!$D:$D,"&lt;=39999")</f>
        <v>2</v>
      </c>
      <c r="G10">
        <f>COUNTIFS(Kickstarter!$F:$F,"canceled",Kickstarter!$R:$R,"plays",Kickstarter!$D:$D,"&gt;=34999",Kickstarter!$D:$D,"&lt;=39999")</f>
        <v>0</v>
      </c>
      <c r="H10">
        <f t="shared" si="3"/>
        <v>6</v>
      </c>
    </row>
    <row r="11" spans="1:8" x14ac:dyDescent="0.25">
      <c r="A11" t="s">
        <v>8406</v>
      </c>
      <c r="B11" s="21">
        <f t="shared" si="0"/>
        <v>1.9102196752626551E-3</v>
      </c>
      <c r="C11" s="21">
        <f t="shared" si="1"/>
        <v>9.5510983763132757E-4</v>
      </c>
      <c r="D11" s="22">
        <v>0</v>
      </c>
      <c r="E11">
        <f>COUNTIFS(Kickstarter!$F:$F,"successful",Kickstarter!$R:$R,"plays",Kickstarter!$D:$D,"&gt;=40000",Kickstarter!$D:$D,"&lt;=44999")</f>
        <v>2</v>
      </c>
      <c r="F11">
        <f>COUNTIFS(Kickstarter!$F:$F,"failed",Kickstarter!$R:$R,"plays",Kickstarter!$D:$D,"&gt;=40000",Kickstarter!$D:$D,"&lt;=44999")</f>
        <v>1</v>
      </c>
      <c r="G11">
        <f>COUNTIFS(Kickstarter!$F:$F,"canceled",Kickstarter!$R:$R,"plays",Kickstarter!$D:$D,"&gt;=40000",Kickstarter!$D:$D,"&lt;=44999")</f>
        <v>0</v>
      </c>
      <c r="H11">
        <f t="shared" si="3"/>
        <v>3</v>
      </c>
    </row>
    <row r="12" spans="1:8" x14ac:dyDescent="0.25">
      <c r="A12" t="s">
        <v>8407</v>
      </c>
      <c r="B12" s="21">
        <f t="shared" si="0"/>
        <v>0</v>
      </c>
      <c r="C12" s="21">
        <f t="shared" si="1"/>
        <v>9.5510983763132757E-4</v>
      </c>
      <c r="D12" s="22">
        <v>0</v>
      </c>
      <c r="E12">
        <f>COUNTIFS(Kickstarter!$F:$F,"successful",Kickstarter!$R:$R,"plays",Kickstarter!$D:$D,"&gt;=45000",Kickstarter!$D:$D,"&lt;=49999")</f>
        <v>0</v>
      </c>
      <c r="F12">
        <f>COUNTIFS(Kickstarter!$F:$F,"failed",Kickstarter!$R:$R,"plays",Kickstarter!$D:$D,"&gt;=45000",Kickstarter!$D:$D,"&lt;=49999")</f>
        <v>1</v>
      </c>
      <c r="G12">
        <f>COUNTIFS(Kickstarter!$F:$F,"canceled",Kickstarter!$R:$R,"plays",Kickstarter!$D:$D,"&gt;=45000",Kickstarter!$D:$D,"&lt;=49999")</f>
        <v>0</v>
      </c>
      <c r="H12">
        <f t="shared" si="3"/>
        <v>1</v>
      </c>
    </row>
    <row r="13" spans="1:8" x14ac:dyDescent="0.25">
      <c r="A13" t="s">
        <v>8408</v>
      </c>
      <c r="B13" s="21">
        <f t="shared" si="0"/>
        <v>1.9102196752626551E-3</v>
      </c>
      <c r="C13" s="21">
        <f t="shared" si="1"/>
        <v>1.3371537726838587E-2</v>
      </c>
      <c r="D13" s="22">
        <v>0</v>
      </c>
      <c r="E13">
        <f>COUNTIFS(Kickstarter!$F:$F,"successful",Kickstarter!$R:$R,"plays",Kickstarter!$D:$D,"&gt;=50000")</f>
        <v>2</v>
      </c>
      <c r="F13">
        <f>COUNTIFS(Kickstarter!$F:$F,"failed",Kickstarter!$R:$R,"plays",Kickstarter!$D:$D,"&gt;=50000")</f>
        <v>14</v>
      </c>
      <c r="G13">
        <f>COUNTIFS(Kickstarter!$F:$F,"canceled",Kickstarter!$R:$R,"plays",Kickstarter!$D:$D,"&gt;=50000")</f>
        <v>0</v>
      </c>
      <c r="H13">
        <f t="shared" si="3"/>
        <v>16</v>
      </c>
    </row>
    <row r="14" spans="1:8" x14ac:dyDescent="0.25">
      <c r="A14" t="s">
        <v>8409</v>
      </c>
      <c r="B14" s="20">
        <f>SUM(B2:B13)</f>
        <v>0.6628462273161414</v>
      </c>
      <c r="C14" s="20">
        <f>SUM(C2:C13)</f>
        <v>0.33715377268385854</v>
      </c>
      <c r="E14">
        <f>COUNTIFS(Kickstarter!F:F, "successful", Kickstarter!R:R, "plays")</f>
        <v>694</v>
      </c>
      <c r="F14">
        <f>COUNTIFS(Kickstarter!F:F, "failed", Kickstarter!R:R, "plays")</f>
        <v>353</v>
      </c>
      <c r="G14">
        <v>0</v>
      </c>
      <c r="H14">
        <f>SUM(H2:H13)</f>
        <v>1047</v>
      </c>
    </row>
    <row r="15" spans="1:8" x14ac:dyDescent="0.25">
      <c r="F15">
        <f>SUM(E14:F14)</f>
        <v>1047</v>
      </c>
    </row>
    <row r="16" spans="1:8" x14ac:dyDescent="0.25">
      <c r="B16"/>
      <c r="C16"/>
      <c r="D16"/>
    </row>
    <row r="17" spans="1:8" x14ac:dyDescent="0.25">
      <c r="B17"/>
      <c r="C17"/>
      <c r="D17"/>
    </row>
    <row r="18" spans="1:8" x14ac:dyDescent="0.25">
      <c r="B18"/>
      <c r="C18"/>
      <c r="D18"/>
    </row>
    <row r="19" spans="1:8" x14ac:dyDescent="0.25">
      <c r="A19" s="12" t="s">
        <v>8412</v>
      </c>
      <c r="B19"/>
      <c r="C19"/>
      <c r="D19"/>
    </row>
    <row r="20" spans="1:8" x14ac:dyDescent="0.25">
      <c r="A20" s="12" t="s">
        <v>8386</v>
      </c>
      <c r="B20" s="19" t="s">
        <v>8396</v>
      </c>
      <c r="C20" s="19" t="s">
        <v>8397</v>
      </c>
      <c r="D20" s="19" t="s">
        <v>8398</v>
      </c>
      <c r="E20" s="12" t="s">
        <v>8392</v>
      </c>
      <c r="F20" s="12" t="s">
        <v>8393</v>
      </c>
      <c r="G20" s="12" t="s">
        <v>8394</v>
      </c>
      <c r="H20" s="12" t="s">
        <v>8395</v>
      </c>
    </row>
    <row r="21" spans="1:8" x14ac:dyDescent="0.25">
      <c r="A21" t="s">
        <v>8399</v>
      </c>
      <c r="B21" s="21">
        <f>(E21/$E$33)</f>
        <v>0.20317002881844382</v>
      </c>
      <c r="C21" s="21">
        <f>(F21/$F$33)</f>
        <v>0.12747875354107649</v>
      </c>
      <c r="D21" s="22">
        <v>0</v>
      </c>
      <c r="E21">
        <f>COUNTIFS(Kickstarter!$F:$F, "successful", Kickstarter!$R:$R, "plays", Kickstarter!$D:$D, "&lt;1000")</f>
        <v>141</v>
      </c>
      <c r="F21">
        <f>COUNTIFS(Kickstarter!$F:$F, "failed", Kickstarter!$R:$R, "plays", Kickstarter!$D:$D, "&lt;1000")</f>
        <v>45</v>
      </c>
      <c r="G21">
        <f>COUNTIFS(Kickstarter!$F:$F, "canceled", Kickstarter!$R:$R, "plays", Kickstarter!$D:$D, "&lt;1000")</f>
        <v>0</v>
      </c>
      <c r="H21">
        <f>SUM(E21:G21)</f>
        <v>186</v>
      </c>
    </row>
    <row r="22" spans="1:8" x14ac:dyDescent="0.25">
      <c r="A22" t="s">
        <v>8400</v>
      </c>
      <c r="B22" s="21">
        <f t="shared" ref="B22:B32" si="4">(E22/$E$33)</f>
        <v>0.55907780979827093</v>
      </c>
      <c r="C22" s="21">
        <f t="shared" ref="C22:C32" si="5">(F22/$F$33)</f>
        <v>0.41359773371104813</v>
      </c>
      <c r="D22" s="22">
        <v>0</v>
      </c>
      <c r="E22">
        <f>COUNTIFS(Kickstarter!$F:$F,"successful",Kickstarter!$D:$D,"&gt;=1000",Kickstarter!$D:$D,"&lt;=4999",Kickstarter!$R:$R,"plays")</f>
        <v>388</v>
      </c>
      <c r="F22">
        <f>COUNTIFS(Kickstarter!$F:$F,"failed",Kickstarter!$R:$R,"plays",Kickstarter!$D:$D,"&gt;=1000",Kickstarter!$D:$D,"&lt;=4999")</f>
        <v>146</v>
      </c>
      <c r="G22">
        <f>COUNTIFS(Kickstarter!$F:$F,"canceled",Kickstarter!$R:$R,"plays",Kickstarter!$D:$D,"&gt;=1000",Kickstarter!$D:$D,"&lt;=4999")</f>
        <v>0</v>
      </c>
      <c r="H22">
        <f>SUM(E22:G22)</f>
        <v>534</v>
      </c>
    </row>
    <row r="23" spans="1:8" x14ac:dyDescent="0.25">
      <c r="A23" t="s">
        <v>8401</v>
      </c>
      <c r="B23" s="21">
        <f t="shared" si="4"/>
        <v>0.1340057636887608</v>
      </c>
      <c r="C23" s="21">
        <f t="shared" si="5"/>
        <v>0.21529745042492918</v>
      </c>
      <c r="D23" s="22">
        <v>0</v>
      </c>
      <c r="E23">
        <f>COUNTIFS(Kickstarter!$F:$F,"successful",Kickstarter!$D:$D,"&gt;=5000",Kickstarter!$D:$D,"&lt;=9999",Kickstarter!$R:$R,"plays")</f>
        <v>93</v>
      </c>
      <c r="F23">
        <f>COUNTIFS(Kickstarter!$F:$F, "failed",Kickstarter!$R:$R,"plays",Kickstarter!$D:$D,"&gt;=5000",Kickstarter!$D:$D,"&lt;=9999")</f>
        <v>76</v>
      </c>
      <c r="G23">
        <f>COUNTIFS(Kickstarter!$F:$F,"canceled",Kickstarter!$R:$R,"plays",Kickstarter!$D:$D,"&gt;=5000",Kickstarter!$D:$D,"&lt;=9999")</f>
        <v>0</v>
      </c>
      <c r="H23">
        <f t="shared" ref="H23:H24" si="6">SUM(E23:G23)</f>
        <v>169</v>
      </c>
    </row>
    <row r="24" spans="1:8" x14ac:dyDescent="0.25">
      <c r="A24" t="s">
        <v>8410</v>
      </c>
      <c r="B24" s="21">
        <f t="shared" si="4"/>
        <v>5.6195965417867436E-2</v>
      </c>
      <c r="C24" s="21">
        <f t="shared" si="5"/>
        <v>9.3484419263456089E-2</v>
      </c>
      <c r="D24" s="22">
        <v>0</v>
      </c>
      <c r="E24">
        <f>COUNTIFS(Kickstarter!$F:$F,"successful",Kickstarter!$R:$R,"plays",Kickstarter!$D:$D,"&gt;=10000",Kickstarter!$D:$D,"&lt;=14999")</f>
        <v>39</v>
      </c>
      <c r="F24">
        <f>COUNTIFS(Kickstarter!$F:$F,"failed",Kickstarter!$R:$R,"plays",Kickstarter!$D:$D,"&gt;=10000",Kickstarter!$D:$D,"&lt;=14999")</f>
        <v>33</v>
      </c>
      <c r="G24">
        <f>COUNTIFS(Kickstarter!$F:$F,"canceled",Kickstarter!$R:$R,"plays",Kickstarter!$D:$D,"&gt;=10000",Kickstarter!$D:$D,"&lt;=14999")</f>
        <v>0</v>
      </c>
      <c r="H24">
        <f t="shared" si="6"/>
        <v>72</v>
      </c>
    </row>
    <row r="25" spans="1:8" x14ac:dyDescent="0.25">
      <c r="A25" t="s">
        <v>8402</v>
      </c>
      <c r="B25" s="21">
        <f t="shared" si="4"/>
        <v>1.7291066282420751E-2</v>
      </c>
      <c r="C25" s="21">
        <f t="shared" si="5"/>
        <v>3.39943342776204E-2</v>
      </c>
      <c r="D25" s="22">
        <v>0</v>
      </c>
      <c r="E25">
        <f>COUNTIFS(Kickstarter!$F:$F,"successful",Kickstarter!$R:$R,"plays",Kickstarter!$D:$D,"&gt;=15000",Kickstarter!$D:$D,"&lt;=19999")</f>
        <v>12</v>
      </c>
      <c r="F25">
        <f>COUNTIFS(Kickstarter!$F:$F, "failed",Kickstarter!$R:$R,"plays",Kickstarter!$D:$D,"&gt;=15000",Kickstarter!$D:$D,"&lt;=19999")</f>
        <v>12</v>
      </c>
      <c r="G25">
        <f>COUNTIFS(Kickstarter!$F:$F,"canceled",Kickstarter!$R:$R,"plays",Kickstarter!$D:$D,"&gt;=15000",Kickstarter!$D:$D,"&lt;=19999")</f>
        <v>0</v>
      </c>
      <c r="H25">
        <f t="shared" ref="H25:H32" si="7">SUM(E25:G25)</f>
        <v>24</v>
      </c>
    </row>
    <row r="26" spans="1:8" x14ac:dyDescent="0.25">
      <c r="A26" t="s">
        <v>8403</v>
      </c>
      <c r="B26" s="21">
        <f t="shared" si="4"/>
        <v>1.2968299711815562E-2</v>
      </c>
      <c r="C26" s="21">
        <f t="shared" si="5"/>
        <v>3.1161473087818695E-2</v>
      </c>
      <c r="D26" s="22">
        <v>0</v>
      </c>
      <c r="E26">
        <f>COUNTIFS(Kickstarter!$F:$F,"successful",Kickstarter!$R:$R,"plays",Kickstarter!$D:$D,"&gt;=20000",Kickstarter!$D:$D,"&lt;=24999")</f>
        <v>9</v>
      </c>
      <c r="F26">
        <f>COUNTIFS(Kickstarter!$F:$F, "failed",Kickstarter!$R:$R,"plays",Kickstarter!$D:$D,"&gt;=20000",Kickstarter!$D:$D,"&lt;=24999")</f>
        <v>11</v>
      </c>
      <c r="G26">
        <f>COUNTIFS(Kickstarter!$F:$F,"canceled",Kickstarter!$R:$R,"plays",Kickstarter!$D:$D,"&gt;=20000",Kickstarter!$D:$D,"&lt;=24999")</f>
        <v>0</v>
      </c>
      <c r="H26">
        <f t="shared" si="7"/>
        <v>20</v>
      </c>
    </row>
    <row r="27" spans="1:8" x14ac:dyDescent="0.25">
      <c r="A27" t="s">
        <v>8404</v>
      </c>
      <c r="B27" s="21">
        <f t="shared" si="4"/>
        <v>1.440922190201729E-3</v>
      </c>
      <c r="C27" s="21">
        <f t="shared" si="5"/>
        <v>1.1331444759206799E-2</v>
      </c>
      <c r="D27" s="22">
        <v>0</v>
      </c>
      <c r="E27">
        <f>COUNTIFS(Kickstarter!$F:$F,"successful",Kickstarter!$R:$R,"plays",Kickstarter!$D:$D,"&gt;=25000",Kickstarter!$D:$D,"&lt;=29999")</f>
        <v>1</v>
      </c>
      <c r="F27">
        <f>COUNTIFS(Kickstarter!$F:$F,"failed",Kickstarter!$R:$R,"plays",Kickstarter!$D:$D,"&gt;=25000",Kickstarter!$D:$D,"&lt;=29999")</f>
        <v>4</v>
      </c>
      <c r="G27">
        <f>COUNTIFS(Kickstarter!$F:$F,"canceld",Kickstarter!$R:$R,"plays",Kickstarter!$D:$D,"&gt;=25000",Kickstarter!$D:$D,"&lt;=29999")</f>
        <v>0</v>
      </c>
      <c r="H27">
        <f t="shared" si="7"/>
        <v>5</v>
      </c>
    </row>
    <row r="28" spans="1:8" x14ac:dyDescent="0.25">
      <c r="A28" t="s">
        <v>8405</v>
      </c>
      <c r="B28" s="21">
        <f t="shared" si="4"/>
        <v>4.3227665706051877E-3</v>
      </c>
      <c r="C28" s="21">
        <f t="shared" si="5"/>
        <v>2.2662889518413599E-2</v>
      </c>
      <c r="D28" s="22">
        <v>0</v>
      </c>
      <c r="E28">
        <f>COUNTIFS(Kickstarter!$F:$F,"successful",Kickstarter!$R:$R,"plays",Kickstarter!$D:$D,"&gt;=30000",Kickstarter!$D:$D,"&lt;=34999")</f>
        <v>3</v>
      </c>
      <c r="F28">
        <f>COUNTIFS(Kickstarter!$F:$F,"failed",Kickstarter!$R:$R,"plays",Kickstarter!$D:$D,"&gt;=30000",Kickstarter!$D:$D,"&lt;=34999")</f>
        <v>8</v>
      </c>
      <c r="G28">
        <f>COUNTIFS(Kickstarter!$F:$F,"canceled",Kickstarter!$R:$R,"plays",Kickstarter!$D:$D,"&gt;=30000",Kickstarter!$D:$D,"&lt;=34999")</f>
        <v>0</v>
      </c>
      <c r="H28">
        <f t="shared" si="7"/>
        <v>11</v>
      </c>
    </row>
    <row r="29" spans="1:8" x14ac:dyDescent="0.25">
      <c r="A29" t="s">
        <v>8411</v>
      </c>
      <c r="B29" s="21">
        <f t="shared" si="4"/>
        <v>5.763688760806916E-3</v>
      </c>
      <c r="C29" s="21">
        <f t="shared" si="5"/>
        <v>5.6657223796033997E-3</v>
      </c>
      <c r="D29" s="22">
        <v>0</v>
      </c>
      <c r="E29">
        <f>COUNTIFS(Kickstarter!$F:$F,"successful",Kickstarter!$R:$R,"plays",Kickstarter!$D:$D,"&gt;=34999",Kickstarter!$D:$D,"&lt;=39999")</f>
        <v>4</v>
      </c>
      <c r="F29">
        <f>COUNTIFS(Kickstarter!$F:$F,"failed",Kickstarter!$R:$R,"plays",Kickstarter!$D:$D,"&gt;=34999",Kickstarter!$D:$D,"&lt;=39999")</f>
        <v>2</v>
      </c>
      <c r="G29">
        <f>COUNTIFS(Kickstarter!$F:$F,"canceled",Kickstarter!$R:$R,"plays",Kickstarter!$D:$D,"&gt;=34999",Kickstarter!$D:$D,"&lt;=39999")</f>
        <v>0</v>
      </c>
      <c r="H29">
        <f t="shared" si="7"/>
        <v>6</v>
      </c>
    </row>
    <row r="30" spans="1:8" x14ac:dyDescent="0.25">
      <c r="A30" t="s">
        <v>8406</v>
      </c>
      <c r="B30" s="21">
        <f t="shared" si="4"/>
        <v>2.881844380403458E-3</v>
      </c>
      <c r="C30" s="21">
        <f t="shared" si="5"/>
        <v>2.8328611898016999E-3</v>
      </c>
      <c r="D30" s="22">
        <v>0</v>
      </c>
      <c r="E30">
        <f>COUNTIFS(Kickstarter!$F:$F,"successful",Kickstarter!$R:$R,"plays",Kickstarter!$D:$D,"&gt;=40000",Kickstarter!$D:$D,"&lt;=44999")</f>
        <v>2</v>
      </c>
      <c r="F30">
        <f>COUNTIFS(Kickstarter!$F:$F,"failed",Kickstarter!$R:$R,"plays",Kickstarter!$D:$D,"&gt;=40000",Kickstarter!$D:$D,"&lt;=44999")</f>
        <v>1</v>
      </c>
      <c r="G30">
        <f>COUNTIFS(Kickstarter!$F:$F,"canceled",Kickstarter!$R:$R,"plays",Kickstarter!$D:$D,"&gt;=40000",Kickstarter!$D:$D,"&lt;=44999")</f>
        <v>0</v>
      </c>
      <c r="H30">
        <f t="shared" si="7"/>
        <v>3</v>
      </c>
    </row>
    <row r="31" spans="1:8" x14ac:dyDescent="0.25">
      <c r="A31" t="s">
        <v>8407</v>
      </c>
      <c r="B31" s="21">
        <f t="shared" si="4"/>
        <v>0</v>
      </c>
      <c r="C31" s="21">
        <f t="shared" si="5"/>
        <v>2.8328611898016999E-3</v>
      </c>
      <c r="D31" s="22">
        <v>0</v>
      </c>
      <c r="E31">
        <f>COUNTIFS(Kickstarter!$F:$F,"successful",Kickstarter!$R:$R,"plays",Kickstarter!$D:$D,"&gt;=45000",Kickstarter!$D:$D,"&lt;=49999")</f>
        <v>0</v>
      </c>
      <c r="F31">
        <f>COUNTIFS(Kickstarter!$F:$F,"failed",Kickstarter!$R:$R,"plays",Kickstarter!$D:$D,"&gt;=45000",Kickstarter!$D:$D,"&lt;=49999")</f>
        <v>1</v>
      </c>
      <c r="G31">
        <f>COUNTIFS(Kickstarter!$F:$F,"canceled",Kickstarter!$R:$R,"plays",Kickstarter!$D:$D,"&gt;=45000",Kickstarter!$D:$D,"&lt;=49999")</f>
        <v>0</v>
      </c>
      <c r="H31">
        <f t="shared" si="7"/>
        <v>1</v>
      </c>
    </row>
    <row r="32" spans="1:8" x14ac:dyDescent="0.25">
      <c r="A32" t="s">
        <v>8408</v>
      </c>
      <c r="B32" s="21">
        <f t="shared" si="4"/>
        <v>2.881844380403458E-3</v>
      </c>
      <c r="C32" s="21">
        <f t="shared" si="5"/>
        <v>3.9660056657223795E-2</v>
      </c>
      <c r="D32" s="22">
        <v>0</v>
      </c>
      <c r="E32">
        <f>COUNTIFS(Kickstarter!$F:$F,"successful",Kickstarter!$R:$R,"plays",Kickstarter!$D:$D,"&gt;=50000")</f>
        <v>2</v>
      </c>
      <c r="F32">
        <f>COUNTIFS(Kickstarter!$F:$F,"failed",Kickstarter!$R:$R,"plays",Kickstarter!$D:$D,"&gt;=50000")</f>
        <v>14</v>
      </c>
      <c r="G32">
        <f>COUNTIFS(Kickstarter!$F:$F,"canceled",Kickstarter!$R:$R,"plays",Kickstarter!$D:$D,"&gt;=50000")</f>
        <v>0</v>
      </c>
      <c r="H32">
        <f t="shared" si="7"/>
        <v>16</v>
      </c>
    </row>
    <row r="33" spans="1:8" x14ac:dyDescent="0.25">
      <c r="A33" t="s">
        <v>8409</v>
      </c>
      <c r="B33" s="20">
        <f>SUM(B21:B32)</f>
        <v>1</v>
      </c>
      <c r="C33" s="20">
        <f>SUM(C21:C32)</f>
        <v>1</v>
      </c>
      <c r="E33">
        <f>COUNTIFS(Kickstarter!F:F, "successful", Kickstarter!R:R, "plays")</f>
        <v>694</v>
      </c>
      <c r="F33">
        <f>COUNTIFS(Kickstarter!F:F, "failed", Kickstarter!R:R, "plays")</f>
        <v>353</v>
      </c>
      <c r="G33">
        <v>0</v>
      </c>
      <c r="H33">
        <f>SUM(H21:H32)</f>
        <v>1047</v>
      </c>
    </row>
    <row r="34" spans="1:8" x14ac:dyDescent="0.25">
      <c r="B34"/>
      <c r="C34"/>
      <c r="D34"/>
    </row>
    <row r="35" spans="1:8" x14ac:dyDescent="0.25">
      <c r="A35" s="12" t="s">
        <v>8413</v>
      </c>
      <c r="B35" s="12" t="s">
        <v>8414</v>
      </c>
      <c r="C35"/>
      <c r="D35"/>
    </row>
    <row r="36" spans="1:8" x14ac:dyDescent="0.25">
      <c r="A36" s="12" t="s">
        <v>8386</v>
      </c>
      <c r="B36" s="19" t="s">
        <v>8396</v>
      </c>
      <c r="C36" s="19" t="s">
        <v>8397</v>
      </c>
      <c r="D36" s="19" t="s">
        <v>8398</v>
      </c>
      <c r="E36" s="12" t="s">
        <v>8392</v>
      </c>
      <c r="F36" s="12" t="s">
        <v>8393</v>
      </c>
      <c r="G36" s="12" t="s">
        <v>8394</v>
      </c>
      <c r="H36" s="12" t="s">
        <v>8395</v>
      </c>
    </row>
    <row r="37" spans="1:8" x14ac:dyDescent="0.25">
      <c r="A37" t="s">
        <v>8399</v>
      </c>
      <c r="B37" s="21">
        <f>(E37/H37)</f>
        <v>0.75806451612903225</v>
      </c>
      <c r="C37" s="21">
        <f>(F37/H37)</f>
        <v>0.24193548387096775</v>
      </c>
      <c r="D37" s="22">
        <v>0</v>
      </c>
      <c r="E37">
        <f>COUNTIFS(Kickstarter!$F:$F, "successful", Kickstarter!$R:$R, "plays", Kickstarter!$D:$D, "&lt;1000")</f>
        <v>141</v>
      </c>
      <c r="F37">
        <f>COUNTIFS(Kickstarter!$F:$F, "failed", Kickstarter!$R:$R, "plays", Kickstarter!$D:$D, "&lt;1000")</f>
        <v>45</v>
      </c>
      <c r="G37">
        <f>COUNTIFS(Kickstarter!$F:$F, "canceled", Kickstarter!$R:$R, "plays", Kickstarter!$D:$D, "&lt;1000")</f>
        <v>0</v>
      </c>
      <c r="H37">
        <f>SUM(E37:G37)</f>
        <v>186</v>
      </c>
    </row>
    <row r="38" spans="1:8" x14ac:dyDescent="0.25">
      <c r="A38" t="s">
        <v>8400</v>
      </c>
      <c r="B38" s="21">
        <f t="shared" ref="B38:B48" si="8">(E38/H38)</f>
        <v>0.72659176029962547</v>
      </c>
      <c r="C38" s="21">
        <f t="shared" ref="C38:C48" si="9">(F38/H38)</f>
        <v>0.27340823970037453</v>
      </c>
      <c r="D38" s="22">
        <v>0</v>
      </c>
      <c r="E38">
        <f>COUNTIFS(Kickstarter!$F:$F,"successful",Kickstarter!$D:$D,"&gt;=1000",Kickstarter!$D:$D,"&lt;=4999",Kickstarter!$R:$R,"plays")</f>
        <v>388</v>
      </c>
      <c r="F38">
        <f>COUNTIFS(Kickstarter!$F:$F,"failed",Kickstarter!$R:$R,"plays",Kickstarter!$D:$D,"&gt;=1000",Kickstarter!$D:$D,"&lt;=4999")</f>
        <v>146</v>
      </c>
      <c r="G38">
        <f>COUNTIFS(Kickstarter!$F:$F,"canceled",Kickstarter!$R:$R,"plays",Kickstarter!$D:$D,"&gt;=1000",Kickstarter!$D:$D,"&lt;=4999")</f>
        <v>0</v>
      </c>
      <c r="H38">
        <f>SUM(E38:G38)</f>
        <v>534</v>
      </c>
    </row>
    <row r="39" spans="1:8" x14ac:dyDescent="0.25">
      <c r="A39" t="s">
        <v>8401</v>
      </c>
      <c r="B39" s="21">
        <f t="shared" si="8"/>
        <v>0.55029585798816572</v>
      </c>
      <c r="C39" s="21">
        <f t="shared" si="9"/>
        <v>0.44970414201183434</v>
      </c>
      <c r="D39" s="22">
        <v>0</v>
      </c>
      <c r="E39">
        <f>COUNTIFS(Kickstarter!$F:$F,"successful",Kickstarter!$D:$D,"&gt;=5000",Kickstarter!$D:$D,"&lt;=9999",Kickstarter!$R:$R,"plays")</f>
        <v>93</v>
      </c>
      <c r="F39">
        <f>COUNTIFS(Kickstarter!$F:$F, "failed",Kickstarter!$R:$R,"plays",Kickstarter!$D:$D,"&gt;=5000",Kickstarter!$D:$D,"&lt;=9999")</f>
        <v>76</v>
      </c>
      <c r="G39">
        <f>COUNTIFS(Kickstarter!$F:$F,"canceled",Kickstarter!$R:$R,"plays",Kickstarter!$D:$D,"&gt;=5000",Kickstarter!$D:$D,"&lt;=9999")</f>
        <v>0</v>
      </c>
      <c r="H39">
        <f t="shared" ref="H39:H40" si="10">SUM(E39:G39)</f>
        <v>169</v>
      </c>
    </row>
    <row r="40" spans="1:8" x14ac:dyDescent="0.25">
      <c r="A40" t="s">
        <v>8410</v>
      </c>
      <c r="B40" s="21">
        <f t="shared" si="8"/>
        <v>0.54166666666666663</v>
      </c>
      <c r="C40" s="21">
        <f t="shared" si="9"/>
        <v>0.45833333333333331</v>
      </c>
      <c r="D40" s="22">
        <v>0</v>
      </c>
      <c r="E40">
        <f>COUNTIFS(Kickstarter!$F:$F,"successful",Kickstarter!$R:$R,"plays",Kickstarter!$D:$D,"&gt;=10000",Kickstarter!$D:$D,"&lt;=14999")</f>
        <v>39</v>
      </c>
      <c r="F40">
        <f>COUNTIFS(Kickstarter!$F:$F,"failed",Kickstarter!$R:$R,"plays",Kickstarter!$D:$D,"&gt;=10000",Kickstarter!$D:$D,"&lt;=14999")</f>
        <v>33</v>
      </c>
      <c r="G40">
        <f>COUNTIFS(Kickstarter!$F:$F,"canceled",Kickstarter!$R:$R,"plays",Kickstarter!$D:$D,"&gt;=10000",Kickstarter!$D:$D,"&lt;=14999")</f>
        <v>0</v>
      </c>
      <c r="H40">
        <f t="shared" si="10"/>
        <v>72</v>
      </c>
    </row>
    <row r="41" spans="1:8" x14ac:dyDescent="0.25">
      <c r="A41" t="s">
        <v>8402</v>
      </c>
      <c r="B41" s="21">
        <f t="shared" si="8"/>
        <v>0.5</v>
      </c>
      <c r="C41" s="21">
        <f t="shared" si="9"/>
        <v>0.5</v>
      </c>
      <c r="D41" s="22">
        <v>0</v>
      </c>
      <c r="E41">
        <f>COUNTIFS(Kickstarter!$F:$F,"successful",Kickstarter!$R:$R,"plays",Kickstarter!$D:$D,"&gt;=15000",Kickstarter!$D:$D,"&lt;=19999")</f>
        <v>12</v>
      </c>
      <c r="F41">
        <f>COUNTIFS(Kickstarter!$F:$F, "failed",Kickstarter!$R:$R,"plays",Kickstarter!$D:$D,"&gt;=15000",Kickstarter!$D:$D,"&lt;=19999")</f>
        <v>12</v>
      </c>
      <c r="G41">
        <f>COUNTIFS(Kickstarter!$F:$F,"canceled",Kickstarter!$R:$R,"plays",Kickstarter!$D:$D,"&gt;=15000",Kickstarter!$D:$D,"&lt;=19999")</f>
        <v>0</v>
      </c>
      <c r="H41">
        <f t="shared" ref="H41:H48" si="11">SUM(E41:G41)</f>
        <v>24</v>
      </c>
    </row>
    <row r="42" spans="1:8" x14ac:dyDescent="0.25">
      <c r="A42" t="s">
        <v>8403</v>
      </c>
      <c r="B42" s="21">
        <f t="shared" si="8"/>
        <v>0.45</v>
      </c>
      <c r="C42" s="21">
        <f t="shared" si="9"/>
        <v>0.55000000000000004</v>
      </c>
      <c r="D42" s="22">
        <v>0</v>
      </c>
      <c r="E42">
        <f>COUNTIFS(Kickstarter!$F:$F,"successful",Kickstarter!$R:$R,"plays",Kickstarter!$D:$D,"&gt;=20000",Kickstarter!$D:$D,"&lt;=24999")</f>
        <v>9</v>
      </c>
      <c r="F42">
        <f>COUNTIFS(Kickstarter!$F:$F, "failed",Kickstarter!$R:$R,"plays",Kickstarter!$D:$D,"&gt;=20000",Kickstarter!$D:$D,"&lt;=24999")</f>
        <v>11</v>
      </c>
      <c r="G42">
        <f>COUNTIFS(Kickstarter!$F:$F,"canceled",Kickstarter!$R:$R,"plays",Kickstarter!$D:$D,"&gt;=20000",Kickstarter!$D:$D,"&lt;=24999")</f>
        <v>0</v>
      </c>
      <c r="H42">
        <f t="shared" si="11"/>
        <v>20</v>
      </c>
    </row>
    <row r="43" spans="1:8" x14ac:dyDescent="0.25">
      <c r="A43" t="s">
        <v>8404</v>
      </c>
      <c r="B43" s="21">
        <f t="shared" si="8"/>
        <v>0.2</v>
      </c>
      <c r="C43" s="21">
        <f t="shared" si="9"/>
        <v>0.8</v>
      </c>
      <c r="D43" s="22">
        <v>0</v>
      </c>
      <c r="E43">
        <f>COUNTIFS(Kickstarter!$F:$F,"successful",Kickstarter!$R:$R,"plays",Kickstarter!$D:$D,"&gt;=25000",Kickstarter!$D:$D,"&lt;=29999")</f>
        <v>1</v>
      </c>
      <c r="F43">
        <f>COUNTIFS(Kickstarter!$F:$F,"failed",Kickstarter!$R:$R,"plays",Kickstarter!$D:$D,"&gt;=25000",Kickstarter!$D:$D,"&lt;=29999")</f>
        <v>4</v>
      </c>
      <c r="G43">
        <f>COUNTIFS(Kickstarter!$F:$F,"canceld",Kickstarter!$R:$R,"plays",Kickstarter!$D:$D,"&gt;=25000",Kickstarter!$D:$D,"&lt;=29999")</f>
        <v>0</v>
      </c>
      <c r="H43">
        <f t="shared" si="11"/>
        <v>5</v>
      </c>
    </row>
    <row r="44" spans="1:8" x14ac:dyDescent="0.25">
      <c r="A44" t="s">
        <v>8405</v>
      </c>
      <c r="B44" s="21">
        <f t="shared" si="8"/>
        <v>0.27272727272727271</v>
      </c>
      <c r="C44" s="21">
        <f t="shared" si="9"/>
        <v>0.72727272727272729</v>
      </c>
      <c r="D44" s="22">
        <v>0</v>
      </c>
      <c r="E44">
        <f>COUNTIFS(Kickstarter!$F:$F,"successful",Kickstarter!$R:$R,"plays",Kickstarter!$D:$D,"&gt;=30000",Kickstarter!$D:$D,"&lt;=34999")</f>
        <v>3</v>
      </c>
      <c r="F44">
        <f>COUNTIFS(Kickstarter!$F:$F,"failed",Kickstarter!$R:$R,"plays",Kickstarter!$D:$D,"&gt;=30000",Kickstarter!$D:$D,"&lt;=34999")</f>
        <v>8</v>
      </c>
      <c r="G44">
        <f>COUNTIFS(Kickstarter!$F:$F,"canceled",Kickstarter!$R:$R,"plays",Kickstarter!$D:$D,"&gt;=30000",Kickstarter!$D:$D,"&lt;=34999")</f>
        <v>0</v>
      </c>
      <c r="H44">
        <f t="shared" si="11"/>
        <v>11</v>
      </c>
    </row>
    <row r="45" spans="1:8" x14ac:dyDescent="0.25">
      <c r="A45" t="s">
        <v>8411</v>
      </c>
      <c r="B45" s="21">
        <f t="shared" si="8"/>
        <v>0.66666666666666663</v>
      </c>
      <c r="C45" s="21">
        <f t="shared" si="9"/>
        <v>0.33333333333333331</v>
      </c>
      <c r="D45" s="22">
        <v>0</v>
      </c>
      <c r="E45">
        <f>COUNTIFS(Kickstarter!$F:$F,"successful",Kickstarter!$R:$R,"plays",Kickstarter!$D:$D,"&gt;=34999",Kickstarter!$D:$D,"&lt;=39999")</f>
        <v>4</v>
      </c>
      <c r="F45">
        <f>COUNTIFS(Kickstarter!$F:$F,"failed",Kickstarter!$R:$R,"plays",Kickstarter!$D:$D,"&gt;=34999",Kickstarter!$D:$D,"&lt;=39999")</f>
        <v>2</v>
      </c>
      <c r="G45">
        <f>COUNTIFS(Kickstarter!$F:$F,"canceled",Kickstarter!$R:$R,"plays",Kickstarter!$D:$D,"&gt;=34999",Kickstarter!$D:$D,"&lt;=39999")</f>
        <v>0</v>
      </c>
      <c r="H45">
        <f t="shared" si="11"/>
        <v>6</v>
      </c>
    </row>
    <row r="46" spans="1:8" x14ac:dyDescent="0.25">
      <c r="A46" t="s">
        <v>8406</v>
      </c>
      <c r="B46" s="21">
        <f t="shared" si="8"/>
        <v>0.66666666666666663</v>
      </c>
      <c r="C46" s="21">
        <f t="shared" si="9"/>
        <v>0.33333333333333331</v>
      </c>
      <c r="D46" s="22">
        <v>0</v>
      </c>
      <c r="E46">
        <f>COUNTIFS(Kickstarter!$F:$F,"successful",Kickstarter!$R:$R,"plays",Kickstarter!$D:$D,"&gt;=40000",Kickstarter!$D:$D,"&lt;=44999")</f>
        <v>2</v>
      </c>
      <c r="F46">
        <f>COUNTIFS(Kickstarter!$F:$F,"failed",Kickstarter!$R:$R,"plays",Kickstarter!$D:$D,"&gt;=40000",Kickstarter!$D:$D,"&lt;=44999")</f>
        <v>1</v>
      </c>
      <c r="G46">
        <f>COUNTIFS(Kickstarter!$F:$F,"canceled",Kickstarter!$R:$R,"plays",Kickstarter!$D:$D,"&gt;=40000",Kickstarter!$D:$D,"&lt;=44999")</f>
        <v>0</v>
      </c>
      <c r="H46">
        <f t="shared" si="11"/>
        <v>3</v>
      </c>
    </row>
    <row r="47" spans="1:8" x14ac:dyDescent="0.25">
      <c r="A47" t="s">
        <v>8407</v>
      </c>
      <c r="B47" s="21">
        <f t="shared" si="8"/>
        <v>0</v>
      </c>
      <c r="C47" s="21">
        <f t="shared" si="9"/>
        <v>1</v>
      </c>
      <c r="D47" s="22">
        <v>0</v>
      </c>
      <c r="E47">
        <f>COUNTIFS(Kickstarter!$F:$F,"successful",Kickstarter!$R:$R,"plays",Kickstarter!$D:$D,"&gt;=45000",Kickstarter!$D:$D,"&lt;=49999")</f>
        <v>0</v>
      </c>
      <c r="F47">
        <f>COUNTIFS(Kickstarter!$F:$F,"failed",Kickstarter!$R:$R,"plays",Kickstarter!$D:$D,"&gt;=45000",Kickstarter!$D:$D,"&lt;=49999")</f>
        <v>1</v>
      </c>
      <c r="G47">
        <f>COUNTIFS(Kickstarter!$F:$F,"canceled",Kickstarter!$R:$R,"plays",Kickstarter!$D:$D,"&gt;=45000",Kickstarter!$D:$D,"&lt;=49999")</f>
        <v>0</v>
      </c>
      <c r="H47">
        <f t="shared" si="11"/>
        <v>1</v>
      </c>
    </row>
    <row r="48" spans="1:8" x14ac:dyDescent="0.25">
      <c r="A48" t="s">
        <v>8408</v>
      </c>
      <c r="B48" s="21">
        <f t="shared" si="8"/>
        <v>0.125</v>
      </c>
      <c r="C48" s="21">
        <f t="shared" si="9"/>
        <v>0.875</v>
      </c>
      <c r="D48" s="22">
        <v>0</v>
      </c>
      <c r="E48">
        <f>COUNTIFS(Kickstarter!$F:$F,"successful",Kickstarter!$R:$R,"plays",Kickstarter!$D:$D,"&gt;=50000")</f>
        <v>2</v>
      </c>
      <c r="F48">
        <f>COUNTIFS(Kickstarter!$F:$F,"failed",Kickstarter!$R:$R,"plays",Kickstarter!$D:$D,"&gt;=50000")</f>
        <v>14</v>
      </c>
      <c r="G48">
        <f>COUNTIFS(Kickstarter!$F:$F,"canceled",Kickstarter!$R:$R,"plays",Kickstarter!$D:$D,"&gt;=50000")</f>
        <v>0</v>
      </c>
      <c r="H48">
        <f t="shared" si="11"/>
        <v>16</v>
      </c>
    </row>
    <row r="49" spans="1:8" x14ac:dyDescent="0.25">
      <c r="A49" t="s">
        <v>8409</v>
      </c>
      <c r="B49" s="20">
        <f>SUM(B37:B48)</f>
        <v>5.4576794071440968</v>
      </c>
      <c r="C49" s="20">
        <f>SUM(C37:C48)</f>
        <v>6.5423205928559032</v>
      </c>
      <c r="E49">
        <f>COUNTIFS(Kickstarter!F:F, "successful", Kickstarter!R:R, "plays")</f>
        <v>694</v>
      </c>
      <c r="F49">
        <f>COUNTIFS(Kickstarter!F:F, "failed", Kickstarter!R:R, "plays")</f>
        <v>353</v>
      </c>
      <c r="G49">
        <v>0</v>
      </c>
      <c r="H49">
        <f>SUM(H37:H48)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68B75-D114-47F0-8BDC-CF16BAE67368}">
  <dimension ref="A1:F6"/>
  <sheetViews>
    <sheetView workbookViewId="0">
      <selection activeCell="R11" sqref="R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8361</v>
      </c>
      <c r="B3" s="7" t="s">
        <v>8358</v>
      </c>
    </row>
    <row r="4" spans="1:6" x14ac:dyDescent="0.2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8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8" t="s">
        <v>8359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AD729-3274-4B0E-B431-BAF700F685BF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8364</v>
      </c>
      <c r="B1" t="s">
        <v>8362</v>
      </c>
    </row>
    <row r="2" spans="1:5" x14ac:dyDescent="0.25">
      <c r="A2" s="7" t="s">
        <v>8222</v>
      </c>
      <c r="B2" t="s">
        <v>8224</v>
      </c>
    </row>
    <row r="4" spans="1:5" x14ac:dyDescent="0.25">
      <c r="A4" s="7" t="s">
        <v>8361</v>
      </c>
      <c r="B4" s="7" t="s">
        <v>8358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8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8" t="s">
        <v>8359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5784-F459-4EFD-8A47-892B41B52A87}">
  <dimension ref="A1:F22"/>
  <sheetViews>
    <sheetView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8364</v>
      </c>
      <c r="B1" t="s">
        <v>8315</v>
      </c>
    </row>
    <row r="2" spans="1:6" x14ac:dyDescent="0.25">
      <c r="A2" s="7" t="s">
        <v>8383</v>
      </c>
      <c r="B2" t="s">
        <v>8362</v>
      </c>
    </row>
    <row r="4" spans="1:6" x14ac:dyDescent="0.25">
      <c r="A4" s="7" t="s">
        <v>8361</v>
      </c>
      <c r="B4" s="7" t="s">
        <v>8358</v>
      </c>
    </row>
    <row r="5" spans="1:6" x14ac:dyDescent="0.25">
      <c r="A5" s="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8" t="s">
        <v>8376</v>
      </c>
      <c r="B6" s="10">
        <v>13</v>
      </c>
      <c r="C6" s="10">
        <v>105</v>
      </c>
      <c r="D6" s="10">
        <v>24</v>
      </c>
      <c r="E6" s="10">
        <v>183</v>
      </c>
      <c r="F6" s="10">
        <v>325</v>
      </c>
    </row>
    <row r="7" spans="1:6" x14ac:dyDescent="0.25">
      <c r="A7" s="9" t="s">
        <v>8377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25">
      <c r="A8" s="9" t="s">
        <v>8378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25">
      <c r="A9" s="9" t="s">
        <v>8379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25">
      <c r="A10" s="8" t="s">
        <v>8367</v>
      </c>
      <c r="B10" s="10">
        <v>9</v>
      </c>
      <c r="C10" s="10">
        <v>141</v>
      </c>
      <c r="D10" s="10"/>
      <c r="E10" s="10">
        <v>282</v>
      </c>
      <c r="F10" s="10">
        <v>432</v>
      </c>
    </row>
    <row r="11" spans="1:6" x14ac:dyDescent="0.25">
      <c r="A11" s="9" t="s">
        <v>8380</v>
      </c>
      <c r="B11" s="10">
        <v>2</v>
      </c>
      <c r="C11" s="10">
        <v>40</v>
      </c>
      <c r="D11" s="10"/>
      <c r="E11" s="10">
        <v>71</v>
      </c>
      <c r="F11" s="10">
        <v>113</v>
      </c>
    </row>
    <row r="12" spans="1:6" x14ac:dyDescent="0.25">
      <c r="A12" s="9" t="s">
        <v>8368</v>
      </c>
      <c r="B12" s="10">
        <v>3</v>
      </c>
      <c r="C12" s="10">
        <v>52</v>
      </c>
      <c r="D12" s="10"/>
      <c r="E12" s="10">
        <v>111</v>
      </c>
      <c r="F12" s="10">
        <v>166</v>
      </c>
    </row>
    <row r="13" spans="1:6" x14ac:dyDescent="0.25">
      <c r="A13" s="9" t="s">
        <v>8381</v>
      </c>
      <c r="B13" s="10">
        <v>4</v>
      </c>
      <c r="C13" s="10">
        <v>49</v>
      </c>
      <c r="D13" s="10"/>
      <c r="E13" s="10">
        <v>100</v>
      </c>
      <c r="F13" s="10">
        <v>153</v>
      </c>
    </row>
    <row r="14" spans="1:6" x14ac:dyDescent="0.25">
      <c r="A14" s="8" t="s">
        <v>8369</v>
      </c>
      <c r="B14" s="10">
        <v>9</v>
      </c>
      <c r="C14" s="10">
        <v>131</v>
      </c>
      <c r="D14" s="10"/>
      <c r="E14" s="10">
        <v>218</v>
      </c>
      <c r="F14" s="10">
        <v>358</v>
      </c>
    </row>
    <row r="15" spans="1:6" x14ac:dyDescent="0.25">
      <c r="A15" s="9" t="s">
        <v>8370</v>
      </c>
      <c r="B15" s="10">
        <v>1</v>
      </c>
      <c r="C15" s="10">
        <v>50</v>
      </c>
      <c r="D15" s="10"/>
      <c r="E15" s="10">
        <v>87</v>
      </c>
      <c r="F15" s="10">
        <v>138</v>
      </c>
    </row>
    <row r="16" spans="1:6" x14ac:dyDescent="0.25">
      <c r="A16" s="9" t="s">
        <v>8371</v>
      </c>
      <c r="B16" s="10">
        <v>4</v>
      </c>
      <c r="C16" s="10">
        <v>47</v>
      </c>
      <c r="D16" s="10"/>
      <c r="E16" s="10">
        <v>72</v>
      </c>
      <c r="F16" s="10">
        <v>123</v>
      </c>
    </row>
    <row r="17" spans="1:6" x14ac:dyDescent="0.25">
      <c r="A17" s="9" t="s">
        <v>8372</v>
      </c>
      <c r="B17" s="10">
        <v>4</v>
      </c>
      <c r="C17" s="10">
        <v>34</v>
      </c>
      <c r="D17" s="10"/>
      <c r="E17" s="10">
        <v>59</v>
      </c>
      <c r="F17" s="10">
        <v>97</v>
      </c>
    </row>
    <row r="18" spans="1:6" x14ac:dyDescent="0.25">
      <c r="A18" s="8" t="s">
        <v>8373</v>
      </c>
      <c r="B18" s="10">
        <v>6</v>
      </c>
      <c r="C18" s="10">
        <v>116</v>
      </c>
      <c r="D18" s="10"/>
      <c r="E18" s="10">
        <v>156</v>
      </c>
      <c r="F18" s="10">
        <v>278</v>
      </c>
    </row>
    <row r="19" spans="1:6" x14ac:dyDescent="0.25">
      <c r="A19" s="9" t="s">
        <v>8374</v>
      </c>
      <c r="B19" s="10"/>
      <c r="C19" s="10">
        <v>50</v>
      </c>
      <c r="D19" s="10"/>
      <c r="E19" s="10">
        <v>65</v>
      </c>
      <c r="F19" s="10">
        <v>115</v>
      </c>
    </row>
    <row r="20" spans="1:6" x14ac:dyDescent="0.25">
      <c r="A20" s="9" t="s">
        <v>8375</v>
      </c>
      <c r="B20" s="10">
        <v>3</v>
      </c>
      <c r="C20" s="10">
        <v>31</v>
      </c>
      <c r="D20" s="10"/>
      <c r="E20" s="10">
        <v>54</v>
      </c>
      <c r="F20" s="10">
        <v>88</v>
      </c>
    </row>
    <row r="21" spans="1:6" x14ac:dyDescent="0.25">
      <c r="A21" s="9" t="s">
        <v>8382</v>
      </c>
      <c r="B21" s="10">
        <v>3</v>
      </c>
      <c r="C21" s="10">
        <v>35</v>
      </c>
      <c r="D21" s="10"/>
      <c r="E21" s="10">
        <v>37</v>
      </c>
      <c r="F21" s="10">
        <v>75</v>
      </c>
    </row>
    <row r="22" spans="1:6" x14ac:dyDescent="0.25">
      <c r="A22" s="8" t="s">
        <v>8359</v>
      </c>
      <c r="B22" s="10">
        <v>37</v>
      </c>
      <c r="C22" s="10">
        <v>493</v>
      </c>
      <c r="D22" s="10">
        <v>24</v>
      </c>
      <c r="E22" s="10">
        <v>839</v>
      </c>
      <c r="F22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0DDF3-E10A-44B9-BD97-3C3E8AAB322F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8.85546875" customWidth="1"/>
    <col min="5" max="5" width="17" bestFit="1" customWidth="1"/>
    <col min="6" max="6" width="18" bestFit="1" customWidth="1"/>
  </cols>
  <sheetData>
    <row r="1" spans="1:6" s="12" customFormat="1" x14ac:dyDescent="0.25">
      <c r="A1" s="12" t="s">
        <v>8384</v>
      </c>
      <c r="B1" s="12" t="s">
        <v>8385</v>
      </c>
      <c r="C1" s="12" t="s">
        <v>8386</v>
      </c>
      <c r="D1" s="12" t="s">
        <v>8387</v>
      </c>
      <c r="E1" s="12" t="s">
        <v>8388</v>
      </c>
      <c r="F1" s="12" t="s">
        <v>8389</v>
      </c>
    </row>
    <row r="2" spans="1:6" ht="45" x14ac:dyDescent="0.25">
      <c r="A2" t="s">
        <v>3473</v>
      </c>
      <c r="B2" s="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Kickstarter!B:M, 11, FALSE)</f>
        <v>39</v>
      </c>
    </row>
    <row r="3" spans="1:6" ht="45" x14ac:dyDescent="0.25">
      <c r="A3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Kickstarter!B:M, 11, FALSE)</f>
        <v>56</v>
      </c>
    </row>
    <row r="4" spans="1:6" ht="45" x14ac:dyDescent="0.25">
      <c r="A4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Kickstarter!B:M, 11, FALSE)</f>
        <v>78</v>
      </c>
    </row>
    <row r="5" spans="1:6" ht="45" x14ac:dyDescent="0.25">
      <c r="A5" t="s">
        <v>3329</v>
      </c>
      <c r="B5" s="2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Kickstarter!B:M, 11, FALSE)</f>
        <v>26</v>
      </c>
    </row>
    <row r="6" spans="1:6" ht="45" x14ac:dyDescent="0.25">
      <c r="A6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B.T. Measles</cp:lastModifiedBy>
  <dcterms:created xsi:type="dcterms:W3CDTF">2017-04-20T15:17:24Z</dcterms:created>
  <dcterms:modified xsi:type="dcterms:W3CDTF">2022-11-10T04:53:06Z</dcterms:modified>
</cp:coreProperties>
</file>