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70060\Documents\SRFN_Config_Tool\customer_wkst\ExcelTool\"/>
    </mc:Choice>
  </mc:AlternateContent>
  <xr:revisionPtr revIDLastSave="0" documentId="13_ncr:1_{2D75C5E0-1A87-45A8-BD78-B97F9CE5794C}" xr6:coauthVersionLast="47" xr6:coauthVersionMax="47" xr10:uidLastSave="{00000000-0000-0000-0000-000000000000}"/>
  <bookViews>
    <workbookView xWindow="675" yWindow="1200" windowWidth="24720" windowHeight="14205" tabRatio="947" activeTab="2" xr2:uid="{00000000-000D-0000-FFFF-FFFF00000000}"/>
  </bookViews>
  <sheets>
    <sheet name="CustomerWorksheet" sheetId="1" r:id="rId1"/>
    <sheet name="DTLS" sheetId="2" r:id="rId2"/>
    <sheet name="TimeZone" sheetId="3" r:id="rId3"/>
    <sheet name="CustomerFreqs" sheetId="4" r:id="rId4"/>
    <sheet name="DCU2+XLS" sheetId="5" r:id="rId5"/>
    <sheet name="LocationLi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A13" i="1"/>
  <c r="A16" i="1"/>
  <c r="A17" i="1"/>
  <c r="A18" i="1"/>
  <c r="A24" i="1"/>
  <c r="B28" i="1"/>
  <c r="C30" i="1"/>
  <c r="B32" i="1"/>
  <c r="A34" i="1"/>
  <c r="B34" i="1"/>
  <c r="B37" i="1"/>
  <c r="B41" i="1"/>
  <c r="A41" i="1" s="1"/>
  <c r="A43" i="1"/>
  <c r="B43" i="1"/>
  <c r="B6" i="2" s="1"/>
  <c r="A44" i="1"/>
  <c r="B44" i="1"/>
  <c r="B46" i="1"/>
  <c r="C46" i="1"/>
  <c r="B47" i="1"/>
  <c r="B153" i="1" s="1"/>
  <c r="B156" i="1" s="1"/>
  <c r="A12" i="5" s="1"/>
  <c r="C47" i="1"/>
  <c r="B48" i="1"/>
  <c r="C48" i="1"/>
  <c r="C49" i="1"/>
  <c r="C50" i="1" s="1"/>
  <c r="C51" i="1" s="1"/>
  <c r="C52" i="1" s="1"/>
  <c r="B65" i="1"/>
  <c r="B67" i="1"/>
  <c r="B73" i="1"/>
  <c r="B80" i="1"/>
  <c r="A88" i="1"/>
  <c r="A105" i="1"/>
  <c r="B155" i="1"/>
  <c r="A11" i="5" s="1"/>
  <c r="B170" i="1"/>
  <c r="B171" i="1"/>
  <c r="B172" i="1"/>
  <c r="B173" i="1"/>
  <c r="B174" i="1"/>
  <c r="B176" i="1"/>
  <c r="B177" i="1"/>
  <c r="B178" i="1"/>
  <c r="B179" i="1"/>
  <c r="A5" i="5"/>
  <c r="A6" i="5"/>
  <c r="A7" i="5"/>
  <c r="A13" i="5"/>
  <c r="A15" i="5"/>
  <c r="A16" i="5"/>
  <c r="A18" i="5"/>
  <c r="A20" i="5"/>
  <c r="A21" i="5"/>
  <c r="A23" i="5"/>
  <c r="A25" i="5"/>
  <c r="A31" i="5"/>
  <c r="A33" i="5"/>
  <c r="A42" i="5"/>
  <c r="A44" i="5"/>
  <c r="A49" i="5"/>
  <c r="A51" i="5"/>
  <c r="A54" i="5"/>
  <c r="A1" i="2"/>
  <c r="I3" i="2"/>
  <c r="I8" i="2" s="1"/>
  <c r="J3" i="2"/>
  <c r="K3" i="2" s="1"/>
  <c r="B4" i="2"/>
  <c r="B7" i="2"/>
  <c r="C7" i="2"/>
  <c r="C8" i="2"/>
  <c r="H8" i="2" s="1"/>
  <c r="C9" i="2"/>
  <c r="H9" i="2"/>
  <c r="I9" i="2"/>
  <c r="F2" i="6"/>
  <c r="G2" i="6"/>
  <c r="H2" i="6"/>
  <c r="I2" i="6"/>
  <c r="K2" i="6" s="1"/>
  <c r="H3" i="6"/>
  <c r="N2" i="3"/>
  <c r="N3" i="3"/>
  <c r="N4" i="3"/>
  <c r="N5" i="3"/>
  <c r="N6" i="3"/>
  <c r="N7" i="3"/>
  <c r="B175" i="1" s="1"/>
  <c r="N8" i="3"/>
  <c r="N9" i="3"/>
  <c r="N10" i="3"/>
  <c r="N11" i="3"/>
  <c r="N12" i="3"/>
  <c r="N13" i="3"/>
  <c r="N14" i="3"/>
  <c r="N15" i="3"/>
  <c r="F3" i="6" a="1"/>
  <c r="K7" i="2" l="1"/>
  <c r="L3" i="2"/>
  <c r="M3" i="2" s="1"/>
  <c r="M8" i="2" s="1"/>
  <c r="F3" i="6"/>
  <c r="G3" i="6" s="1"/>
  <c r="A4" i="5"/>
  <c r="B30" i="1"/>
  <c r="N3" i="2"/>
  <c r="M7" i="2"/>
  <c r="M4" i="2"/>
  <c r="M9" i="2"/>
  <c r="C4" i="2"/>
  <c r="J4" i="2" s="1"/>
  <c r="B10" i="2"/>
  <c r="L8" i="2"/>
  <c r="L7" i="2"/>
  <c r="L9" i="2"/>
  <c r="C53" i="1"/>
  <c r="C6" i="2"/>
  <c r="M6" i="2" s="1"/>
  <c r="J9" i="2"/>
  <c r="A42" i="1"/>
  <c r="B42" i="1"/>
  <c r="B5" i="2" s="1"/>
  <c r="B11" i="2" s="1"/>
  <c r="J7" i="2"/>
  <c r="J2" i="6"/>
  <c r="B38" i="1" s="1"/>
  <c r="B39" i="1" s="1"/>
  <c r="I3" i="6"/>
  <c r="K8" i="2"/>
  <c r="K9" i="2"/>
  <c r="J8" i="2"/>
  <c r="I7" i="2"/>
  <c r="H7" i="2"/>
  <c r="B132" i="1"/>
  <c r="A28" i="5" s="1"/>
  <c r="B124" i="1"/>
  <c r="A36" i="5" s="1"/>
  <c r="K4" i="2" l="1"/>
  <c r="H6" i="2"/>
  <c r="I6" i="2"/>
  <c r="C54" i="1"/>
  <c r="O3" i="2"/>
  <c r="N6" i="2"/>
  <c r="N9" i="2"/>
  <c r="N7" i="2"/>
  <c r="N4" i="2"/>
  <c r="N8" i="2"/>
  <c r="I4" i="2"/>
  <c r="H4" i="2"/>
  <c r="K6" i="2"/>
  <c r="L4" i="2"/>
  <c r="C5" i="2"/>
  <c r="K3" i="6"/>
  <c r="J3" i="6"/>
  <c r="I4" i="6"/>
  <c r="J6" i="2"/>
  <c r="L6" i="2"/>
  <c r="F4" i="6" a="1"/>
  <c r="F4" i="6" l="1"/>
  <c r="G4" i="6" s="1"/>
  <c r="C55" i="1"/>
  <c r="O4" i="2"/>
  <c r="O9" i="2"/>
  <c r="P3" i="2"/>
  <c r="O6" i="2"/>
  <c r="O7" i="2"/>
  <c r="O8" i="2"/>
  <c r="O5" i="2"/>
  <c r="H5" i="2"/>
  <c r="I5" i="2"/>
  <c r="M5" i="2"/>
  <c r="J5" i="2"/>
  <c r="K5" i="2"/>
  <c r="L5" i="2"/>
  <c r="J4" i="6"/>
  <c r="K4" i="6"/>
  <c r="I5" i="6"/>
  <c r="N5" i="2"/>
  <c r="I6" i="6" l="1"/>
  <c r="K5" i="6"/>
  <c r="J5" i="6"/>
  <c r="Q3" i="2"/>
  <c r="P8" i="2"/>
  <c r="P7" i="2"/>
  <c r="P9" i="2"/>
  <c r="P6" i="2"/>
  <c r="P4" i="2"/>
  <c r="P5" i="2"/>
  <c r="C56" i="1"/>
  <c r="F5" i="6" a="1"/>
  <c r="F5" i="6" l="1"/>
  <c r="G5" i="6" s="1"/>
  <c r="Q7" i="2"/>
  <c r="Q4" i="2"/>
  <c r="Q8" i="2"/>
  <c r="R3" i="2"/>
  <c r="Q6" i="2"/>
  <c r="Q9" i="2"/>
  <c r="Q5" i="2"/>
  <c r="C57" i="1"/>
  <c r="C58" i="1" s="1"/>
  <c r="C59" i="1" s="1"/>
  <c r="C60" i="1" s="1"/>
  <c r="C61" i="1" s="1"/>
  <c r="C62" i="1" s="1"/>
  <c r="C63" i="1" s="1"/>
  <c r="C64" i="1" s="1"/>
  <c r="I7" i="6"/>
  <c r="K6" i="6"/>
  <c r="J6" i="6"/>
  <c r="B50" i="1" l="1"/>
  <c r="B64" i="1"/>
  <c r="B60" i="1"/>
  <c r="B49" i="1"/>
  <c r="B63" i="1"/>
  <c r="B62" i="1"/>
  <c r="B52" i="1"/>
  <c r="B58" i="1"/>
  <c r="B61" i="1"/>
  <c r="B59" i="1"/>
  <c r="B53" i="1"/>
  <c r="B55" i="1"/>
  <c r="K7" i="6"/>
  <c r="J7" i="6"/>
  <c r="I8" i="6"/>
  <c r="B54" i="1"/>
  <c r="B51" i="1"/>
  <c r="B56" i="1"/>
  <c r="B57" i="1"/>
  <c r="R4" i="2"/>
  <c r="R7" i="2"/>
  <c r="R8" i="2"/>
  <c r="S3" i="2"/>
  <c r="R6" i="2"/>
  <c r="R9" i="2"/>
  <c r="R5" i="2"/>
  <c r="F6" i="6" a="1"/>
  <c r="F6" i="6" l="1"/>
  <c r="G6" i="6" s="1"/>
  <c r="B66" i="1"/>
  <c r="B74" i="1" s="1"/>
  <c r="B149" i="1"/>
  <c r="B152" i="1" s="1"/>
  <c r="A14" i="5" s="1"/>
  <c r="B68" i="1"/>
  <c r="B150" i="1"/>
  <c r="I9" i="6"/>
  <c r="J8" i="6"/>
  <c r="K8" i="6"/>
  <c r="S6" i="2"/>
  <c r="S4" i="2"/>
  <c r="S5" i="2"/>
  <c r="S9" i="2"/>
  <c r="S8" i="2"/>
  <c r="T3" i="2"/>
  <c r="S7" i="2"/>
  <c r="A17" i="5" l="1"/>
  <c r="B154" i="1"/>
  <c r="A10" i="5" s="1"/>
  <c r="B79" i="1"/>
  <c r="T5" i="2"/>
  <c r="T8" i="2"/>
  <c r="T4" i="2"/>
  <c r="T9" i="2"/>
  <c r="U3" i="2"/>
  <c r="T6" i="2"/>
  <c r="T7" i="2"/>
  <c r="I10" i="6"/>
  <c r="J9" i="6"/>
  <c r="K9" i="6"/>
  <c r="B69" i="1"/>
  <c r="F7" i="6" a="1"/>
  <c r="F7" i="6" l="1"/>
  <c r="G7" i="6" s="1"/>
  <c r="K10" i="6"/>
  <c r="I11" i="6"/>
  <c r="J10" i="6"/>
  <c r="C81" i="1"/>
  <c r="B81" i="1" s="1"/>
  <c r="B35" i="1" s="1"/>
  <c r="U5" i="2"/>
  <c r="U8" i="2"/>
  <c r="U4" i="2"/>
  <c r="U9" i="2"/>
  <c r="V3" i="2"/>
  <c r="U6" i="2"/>
  <c r="U7" i="2"/>
  <c r="B70" i="1"/>
  <c r="B76" i="1" s="1"/>
  <c r="B82" i="1"/>
  <c r="B84" i="1" s="1"/>
  <c r="V5" i="2" l="1"/>
  <c r="V6" i="2"/>
  <c r="V4" i="2"/>
  <c r="V7" i="2"/>
  <c r="V9" i="2"/>
  <c r="W3" i="2"/>
  <c r="V8" i="2"/>
  <c r="B71" i="1"/>
  <c r="K11" i="6"/>
  <c r="I12" i="6"/>
  <c r="J11" i="6"/>
  <c r="C88" i="1"/>
  <c r="B86" i="1"/>
  <c r="B88" i="1"/>
  <c r="B98" i="1"/>
  <c r="B102" i="1"/>
  <c r="B83" i="1"/>
  <c r="F8" i="6" a="1"/>
  <c r="F8" i="6" l="1"/>
  <c r="G8" i="6" s="1"/>
  <c r="B75" i="1"/>
  <c r="B72" i="1"/>
  <c r="B77" i="1" s="1"/>
  <c r="B105" i="1"/>
  <c r="B122" i="1"/>
  <c r="A34" i="5" s="1"/>
  <c r="C105" i="1"/>
  <c r="W4" i="2"/>
  <c r="W9" i="2"/>
  <c r="X3" i="2"/>
  <c r="W6" i="2"/>
  <c r="W5" i="2"/>
  <c r="W8" i="2"/>
  <c r="W7" i="2"/>
  <c r="I13" i="6"/>
  <c r="J12" i="6"/>
  <c r="K12" i="6"/>
  <c r="B89" i="1"/>
  <c r="C89" i="1"/>
  <c r="F9" i="6" a="1"/>
  <c r="F9" i="6" l="1"/>
  <c r="G9" i="6" s="1"/>
  <c r="B97" i="1"/>
  <c r="B101" i="1"/>
  <c r="B100" i="1"/>
  <c r="B78" i="1"/>
  <c r="B96" i="1"/>
  <c r="C96" i="1"/>
  <c r="C97" i="1" s="1"/>
  <c r="C98" i="1" s="1"/>
  <c r="C99" i="1" s="1"/>
  <c r="C100" i="1" s="1"/>
  <c r="C101" i="1" s="1"/>
  <c r="C102" i="1" s="1"/>
  <c r="C103" i="1" s="1"/>
  <c r="B99" i="1"/>
  <c r="B103" i="1"/>
  <c r="B106" i="1"/>
  <c r="C106" i="1"/>
  <c r="Y3" i="2"/>
  <c r="X8" i="2"/>
  <c r="X9" i="2"/>
  <c r="X6" i="2"/>
  <c r="X7" i="2"/>
  <c r="X5" i="2"/>
  <c r="X4" i="2"/>
  <c r="B85" i="1"/>
  <c r="I14" i="6"/>
  <c r="K13" i="6"/>
  <c r="J13" i="6"/>
  <c r="B90" i="1"/>
  <c r="C90" i="1"/>
  <c r="F10" i="6" a="1"/>
  <c r="F10" i="6" l="1"/>
  <c r="G10" i="6" s="1"/>
  <c r="I15" i="6"/>
  <c r="J14" i="6"/>
  <c r="K14" i="6"/>
  <c r="B107" i="1"/>
  <c r="C107" i="1"/>
  <c r="Y7" i="2"/>
  <c r="Z3" i="2"/>
  <c r="Y9" i="2"/>
  <c r="Y6" i="2"/>
  <c r="Y5" i="2"/>
  <c r="Y4" i="2"/>
  <c r="Y8" i="2"/>
  <c r="B133" i="1"/>
  <c r="A29" i="5" s="1"/>
  <c r="B134" i="1"/>
  <c r="B135" i="1"/>
  <c r="B130" i="1"/>
  <c r="A26" i="5" s="1"/>
  <c r="B136" i="1"/>
  <c r="A46" i="5" s="1"/>
  <c r="B91" i="1"/>
  <c r="C91" i="1"/>
  <c r="F11" i="6" a="1"/>
  <c r="F11" i="6" l="1"/>
  <c r="G11" i="6" s="1"/>
  <c r="Z7" i="2"/>
  <c r="Z6" i="2"/>
  <c r="Z5" i="2"/>
  <c r="AA3" i="2"/>
  <c r="Z9" i="2"/>
  <c r="Z4" i="2"/>
  <c r="Z8" i="2"/>
  <c r="K15" i="6"/>
  <c r="J15" i="6"/>
  <c r="I16" i="6"/>
  <c r="C92" i="1"/>
  <c r="B92" i="1"/>
  <c r="B108" i="1"/>
  <c r="C108" i="1"/>
  <c r="F12" i="6" a="1"/>
  <c r="F12" i="6" l="1"/>
  <c r="G12" i="6" s="1"/>
  <c r="B109" i="1"/>
  <c r="C109" i="1"/>
  <c r="B93" i="1"/>
  <c r="C93" i="1"/>
  <c r="K16" i="6"/>
  <c r="I17" i="6"/>
  <c r="J16" i="6"/>
  <c r="AA6" i="2"/>
  <c r="AA4" i="2"/>
  <c r="AA7" i="2"/>
  <c r="AB3" i="2"/>
  <c r="AA8" i="2"/>
  <c r="AA5" i="2"/>
  <c r="AA9" i="2"/>
  <c r="F13" i="6" a="1"/>
  <c r="F13" i="6" l="1"/>
  <c r="G13" i="6" s="1"/>
  <c r="AB4" i="2"/>
  <c r="AB8" i="2"/>
  <c r="AC3" i="2"/>
  <c r="AB7" i="2"/>
  <c r="AB6" i="2"/>
  <c r="AB9" i="2"/>
  <c r="AB5" i="2"/>
  <c r="B110" i="1"/>
  <c r="C110" i="1"/>
  <c r="B94" i="1"/>
  <c r="C94" i="1"/>
  <c r="I18" i="6"/>
  <c r="J17" i="6"/>
  <c r="K17" i="6"/>
  <c r="F14" i="6" a="1"/>
  <c r="F14" i="6" l="1"/>
  <c r="G14" i="6" s="1"/>
  <c r="B95" i="1"/>
  <c r="B125" i="1" s="1"/>
  <c r="A37" i="5" s="1"/>
  <c r="C95" i="1"/>
  <c r="B111" i="1"/>
  <c r="C111" i="1"/>
  <c r="B127" i="1"/>
  <c r="J18" i="6"/>
  <c r="I19" i="6"/>
  <c r="K18" i="6"/>
  <c r="B126" i="1"/>
  <c r="AC5" i="2"/>
  <c r="AC8" i="2"/>
  <c r="AD3" i="2"/>
  <c r="AC7" i="2"/>
  <c r="AC9" i="2"/>
  <c r="AC6" i="2"/>
  <c r="AC4" i="2"/>
  <c r="F15" i="6" a="1"/>
  <c r="B128" i="1" l="1"/>
  <c r="A24" i="5" s="1"/>
  <c r="F15" i="6"/>
  <c r="G15" i="6" s="1"/>
  <c r="K19" i="6"/>
  <c r="J19" i="6"/>
  <c r="I20" i="6"/>
  <c r="C112" i="1"/>
  <c r="B112" i="1"/>
  <c r="B139" i="1"/>
  <c r="AD5" i="2"/>
  <c r="AD8" i="2"/>
  <c r="AD4" i="2"/>
  <c r="AD9" i="2"/>
  <c r="AE3" i="2"/>
  <c r="AD7" i="2"/>
  <c r="AD6" i="2"/>
  <c r="F16" i="6" a="1"/>
  <c r="F16" i="6" l="1"/>
  <c r="G16" i="6" s="1"/>
  <c r="I21" i="6"/>
  <c r="J20" i="6"/>
  <c r="K20" i="6"/>
  <c r="B138" i="1"/>
  <c r="B123" i="1"/>
  <c r="A35" i="5" s="1"/>
  <c r="B144" i="1"/>
  <c r="A57" i="5" s="1"/>
  <c r="A58" i="5"/>
  <c r="AE4" i="2"/>
  <c r="AE9" i="2"/>
  <c r="AE5" i="2"/>
  <c r="AE8" i="2"/>
  <c r="AE7" i="2"/>
  <c r="AF3" i="2"/>
  <c r="AE6" i="2"/>
  <c r="C113" i="1"/>
  <c r="B113" i="1"/>
  <c r="F17" i="6" a="1"/>
  <c r="F17" i="6" l="1"/>
  <c r="G17" i="6" s="1"/>
  <c r="I22" i="6"/>
  <c r="J21" i="6"/>
  <c r="K21" i="6"/>
  <c r="B114" i="1"/>
  <c r="C114" i="1"/>
  <c r="AG3" i="2"/>
  <c r="AF8" i="2"/>
  <c r="AF6" i="2"/>
  <c r="AF4" i="2"/>
  <c r="AF9" i="2"/>
  <c r="AF5" i="2"/>
  <c r="AF7" i="2"/>
  <c r="A56" i="5"/>
  <c r="B143" i="1"/>
  <c r="A55" i="5" s="1"/>
  <c r="F18" i="6" a="1"/>
  <c r="F18" i="6" l="1"/>
  <c r="G18" i="6" s="1"/>
  <c r="AG7" i="2"/>
  <c r="AH3" i="2"/>
  <c r="AG9" i="2"/>
  <c r="AG6" i="2"/>
  <c r="AG5" i="2"/>
  <c r="AG4" i="2"/>
  <c r="AG8" i="2"/>
  <c r="B115" i="1"/>
  <c r="C115" i="1"/>
  <c r="I23" i="6"/>
  <c r="K22" i="6"/>
  <c r="J22" i="6"/>
  <c r="F19" i="6" a="1"/>
  <c r="F19" i="6" l="1"/>
  <c r="G19" i="6" s="1"/>
  <c r="K23" i="6"/>
  <c r="I24" i="6"/>
  <c r="J23" i="6"/>
  <c r="AI3" i="2"/>
  <c r="AH9" i="2"/>
  <c r="AH5" i="2"/>
  <c r="AH4" i="2"/>
  <c r="AH8" i="2"/>
  <c r="AH7" i="2"/>
  <c r="AH6" i="2"/>
  <c r="B116" i="1"/>
  <c r="C116" i="1"/>
  <c r="F20" i="6" a="1"/>
  <c r="F20" i="6" l="1"/>
  <c r="G20" i="6" s="1"/>
  <c r="B117" i="1"/>
  <c r="C117" i="1"/>
  <c r="AI6" i="2"/>
  <c r="AI7" i="2"/>
  <c r="AI5" i="2"/>
  <c r="AI9" i="2"/>
  <c r="AI4" i="2"/>
  <c r="AI8" i="2"/>
  <c r="AJ3" i="2"/>
  <c r="J24" i="6"/>
  <c r="K24" i="6"/>
  <c r="I25" i="6"/>
  <c r="F21" i="6" a="1"/>
  <c r="F21" i="6" l="1"/>
  <c r="G21" i="6" s="1"/>
  <c r="I26" i="6"/>
  <c r="J25" i="6"/>
  <c r="K25" i="6"/>
  <c r="B118" i="1"/>
  <c r="B140" i="1" s="1"/>
  <c r="C118" i="1"/>
  <c r="AJ4" i="2"/>
  <c r="AJ7" i="2"/>
  <c r="AJ6" i="2"/>
  <c r="AJ5" i="2"/>
  <c r="AJ8" i="2"/>
  <c r="AJ9" i="2"/>
  <c r="AK3" i="2"/>
  <c r="F22" i="6" a="1"/>
  <c r="F22" i="6" l="1"/>
  <c r="G22" i="6" s="1"/>
  <c r="I27" i="6"/>
  <c r="J26" i="6"/>
  <c r="K26" i="6"/>
  <c r="C119" i="1"/>
  <c r="B119" i="1"/>
  <c r="AK5" i="2"/>
  <c r="G5" i="2" s="1"/>
  <c r="D5" i="2" s="1"/>
  <c r="AK4" i="2"/>
  <c r="G4" i="2" s="1"/>
  <c r="D4" i="2" s="1"/>
  <c r="AK6" i="2"/>
  <c r="G6" i="2" s="1"/>
  <c r="D6" i="2" s="1"/>
  <c r="AK9" i="2"/>
  <c r="G9" i="2" s="1"/>
  <c r="D9" i="2" s="1"/>
  <c r="AK8" i="2"/>
  <c r="G8" i="2" s="1"/>
  <c r="D8" i="2" s="1"/>
  <c r="AK7" i="2"/>
  <c r="G7" i="2" s="1"/>
  <c r="D7" i="2" s="1"/>
  <c r="A60" i="5"/>
  <c r="B145" i="1"/>
  <c r="A59" i="5" s="1"/>
  <c r="F23" i="6" a="1"/>
  <c r="F23" i="6" l="1"/>
  <c r="G23" i="6" s="1"/>
  <c r="B14" i="2"/>
  <c r="B161" i="1" s="1"/>
  <c r="B13" i="2"/>
  <c r="B120" i="1"/>
  <c r="B131" i="1" s="1"/>
  <c r="A27" i="5" s="1"/>
  <c r="C120" i="1"/>
  <c r="K27" i="6"/>
  <c r="J27" i="6"/>
  <c r="I28" i="6"/>
  <c r="B141" i="1"/>
  <c r="F24" i="6" a="1"/>
  <c r="F24" i="6" l="1"/>
  <c r="G24" i="6" s="1"/>
  <c r="J28" i="6"/>
  <c r="K28" i="6"/>
  <c r="I29" i="6"/>
  <c r="A32" i="5"/>
  <c r="B142" i="1"/>
  <c r="B160" i="1"/>
  <c r="B12" i="2"/>
  <c r="B33" i="1" s="1"/>
  <c r="B146" i="1"/>
  <c r="A45" i="5"/>
  <c r="F25" i="6" a="1"/>
  <c r="F25" i="6" l="1"/>
  <c r="G25" i="6" s="1"/>
  <c r="A50" i="5"/>
  <c r="B147" i="1"/>
  <c r="A19" i="5" s="1"/>
  <c r="I30" i="6"/>
  <c r="K29" i="6"/>
  <c r="J29" i="6"/>
  <c r="F26" i="6" a="1"/>
  <c r="F26" i="6" l="1"/>
  <c r="G26" i="6" s="1"/>
  <c r="J30" i="6"/>
  <c r="K30" i="6"/>
  <c r="I31" i="6"/>
  <c r="F27" i="6" a="1"/>
  <c r="F27" i="6" l="1"/>
  <c r="G27" i="6" s="1"/>
  <c r="K31" i="6"/>
  <c r="J31" i="6"/>
  <c r="I32" i="6"/>
  <c r="F28" i="6" a="1"/>
  <c r="F28" i="6" l="1"/>
  <c r="G28" i="6" s="1"/>
  <c r="J32" i="6"/>
  <c r="K32" i="6"/>
  <c r="I33" i="6"/>
  <c r="F29" i="6" a="1"/>
  <c r="F29" i="6" l="1"/>
  <c r="G29" i="6" s="1"/>
  <c r="I34" i="6"/>
  <c r="J33" i="6"/>
  <c r="K33" i="6"/>
  <c r="F30" i="6" a="1"/>
  <c r="F30" i="6" l="1"/>
  <c r="G30" i="6" s="1"/>
  <c r="J34" i="6"/>
  <c r="K34" i="6"/>
  <c r="I35" i="6"/>
  <c r="F31" i="6" a="1"/>
  <c r="F31" i="6" l="1"/>
  <c r="G31" i="6" s="1"/>
  <c r="K35" i="6"/>
  <c r="I36" i="6"/>
  <c r="J35" i="6"/>
  <c r="F32" i="6" a="1"/>
  <c r="F32" i="6" l="1"/>
  <c r="G32" i="6" s="1"/>
  <c r="J36" i="6"/>
  <c r="K36" i="6"/>
  <c r="I37" i="6"/>
  <c r="F33" i="6" a="1"/>
  <c r="F33" i="6" l="1"/>
  <c r="G33" i="6" s="1"/>
  <c r="I38" i="6"/>
  <c r="K37" i="6"/>
  <c r="J37" i="6"/>
  <c r="F34" i="6" a="1"/>
  <c r="F34" i="6" l="1"/>
  <c r="G34" i="6" s="1"/>
  <c r="J38" i="6"/>
  <c r="I39" i="6"/>
  <c r="K38" i="6"/>
  <c r="F35" i="6" a="1"/>
  <c r="F35" i="6" l="1"/>
  <c r="G35" i="6" s="1"/>
  <c r="K39" i="6"/>
  <c r="J39" i="6"/>
  <c r="I40" i="6"/>
  <c r="F36" i="6" a="1"/>
  <c r="F36" i="6" l="1"/>
  <c r="G36" i="6" s="1"/>
  <c r="I41" i="6"/>
  <c r="J40" i="6"/>
  <c r="K40" i="6"/>
  <c r="F37" i="6" a="1"/>
  <c r="F37" i="6" l="1"/>
  <c r="G37" i="6" s="1"/>
  <c r="I42" i="6"/>
  <c r="J41" i="6"/>
  <c r="K41" i="6"/>
  <c r="F38" i="6" a="1"/>
  <c r="F38" i="6" l="1"/>
  <c r="G38" i="6" s="1"/>
  <c r="K42" i="6"/>
  <c r="J42" i="6"/>
  <c r="I43" i="6"/>
  <c r="F39" i="6" a="1"/>
  <c r="F39" i="6" l="1"/>
  <c r="G39" i="6" s="1"/>
  <c r="K43" i="6"/>
  <c r="I44" i="6"/>
  <c r="J43" i="6"/>
  <c r="F40" i="6" a="1"/>
  <c r="F40" i="6" l="1"/>
  <c r="G40" i="6" s="1"/>
  <c r="J44" i="6"/>
  <c r="I45" i="6"/>
  <c r="K44" i="6"/>
  <c r="F41" i="6" a="1"/>
  <c r="F41" i="6" l="1"/>
  <c r="G41" i="6" s="1"/>
  <c r="J45" i="6"/>
  <c r="K45" i="6"/>
  <c r="I46" i="6"/>
  <c r="F42" i="6" a="1"/>
  <c r="F42" i="6" l="1"/>
  <c r="G42" i="6" s="1"/>
  <c r="I47" i="6"/>
  <c r="K46" i="6"/>
  <c r="J46" i="6"/>
  <c r="F43" i="6" a="1"/>
  <c r="F43" i="6" l="1"/>
  <c r="G43" i="6" s="1"/>
  <c r="I48" i="6"/>
  <c r="J47" i="6"/>
  <c r="K47" i="6"/>
  <c r="F44" i="6" a="1"/>
  <c r="F44" i="6" l="1"/>
  <c r="G44" i="6" s="1"/>
  <c r="I49" i="6"/>
  <c r="J48" i="6"/>
  <c r="K48" i="6"/>
  <c r="F45" i="6" a="1"/>
  <c r="F45" i="6" l="1"/>
  <c r="G45" i="6" s="1"/>
  <c r="J49" i="6"/>
  <c r="K49" i="6"/>
  <c r="I50" i="6"/>
  <c r="F46" i="6" a="1"/>
  <c r="F46" i="6" l="1"/>
  <c r="G46" i="6" s="1"/>
  <c r="J50" i="6"/>
  <c r="K50" i="6"/>
  <c r="I51" i="6"/>
  <c r="F47" i="6" a="1"/>
  <c r="F47" i="6" l="1"/>
  <c r="G47" i="6" s="1"/>
  <c r="I52" i="6"/>
  <c r="J51" i="6"/>
  <c r="K51" i="6"/>
  <c r="F48" i="6" a="1"/>
  <c r="F48" i="6" l="1"/>
  <c r="G48" i="6" s="1"/>
  <c r="J52" i="6"/>
  <c r="I53" i="6"/>
  <c r="K52" i="6"/>
  <c r="F49" i="6" a="1"/>
  <c r="F49" i="6" l="1"/>
  <c r="G49" i="6" s="1"/>
  <c r="J53" i="6"/>
  <c r="K53" i="6"/>
  <c r="I54" i="6"/>
  <c r="F50" i="6" a="1"/>
  <c r="F50" i="6" l="1"/>
  <c r="G50" i="6" s="1"/>
  <c r="J54" i="6"/>
  <c r="K54" i="6"/>
  <c r="I55" i="6"/>
  <c r="F51" i="6" a="1"/>
  <c r="F51" i="6" l="1"/>
  <c r="G51" i="6" s="1"/>
  <c r="I56" i="6"/>
  <c r="J55" i="6"/>
  <c r="K55" i="6"/>
  <c r="F52" i="6" a="1"/>
  <c r="F52" i="6" l="1"/>
  <c r="G52" i="6" s="1"/>
  <c r="J56" i="6"/>
  <c r="K56" i="6"/>
  <c r="I57" i="6"/>
  <c r="F53" i="6" a="1"/>
  <c r="F53" i="6" l="1"/>
  <c r="G53" i="6" s="1"/>
  <c r="J57" i="6"/>
  <c r="K57" i="6"/>
  <c r="I58" i="6"/>
  <c r="F54" i="6" a="1"/>
  <c r="F54" i="6" l="1"/>
  <c r="G54" i="6" s="1"/>
  <c r="J58" i="6"/>
  <c r="I59" i="6"/>
  <c r="K58" i="6"/>
  <c r="F55" i="6" a="1"/>
  <c r="F55" i="6" l="1"/>
  <c r="G55" i="6" s="1"/>
  <c r="I60" i="6"/>
  <c r="J59" i="6"/>
  <c r="K59" i="6"/>
  <c r="F56" i="6" a="1"/>
  <c r="F56" i="6" l="1"/>
  <c r="G56" i="6" s="1"/>
  <c r="J60" i="6"/>
  <c r="I61" i="6"/>
  <c r="K60" i="6"/>
  <c r="F57" i="6" a="1"/>
  <c r="F57" i="6" l="1"/>
  <c r="G57" i="6" s="1"/>
  <c r="J61" i="6"/>
  <c r="K61" i="6"/>
  <c r="I62" i="6"/>
  <c r="F58" i="6" a="1"/>
  <c r="F58" i="6" l="1"/>
  <c r="G58" i="6" s="1"/>
  <c r="J62" i="6"/>
  <c r="K62" i="6"/>
  <c r="I63" i="6"/>
  <c r="F59" i="6" a="1"/>
  <c r="F59" i="6" l="1"/>
  <c r="G59" i="6" s="1"/>
  <c r="I64" i="6"/>
  <c r="J63" i="6"/>
  <c r="K63" i="6"/>
  <c r="F60" i="6" a="1"/>
  <c r="F60" i="6" l="1"/>
  <c r="G60" i="6" s="1"/>
  <c r="J64" i="6"/>
  <c r="K64" i="6"/>
  <c r="I65" i="6"/>
  <c r="F61" i="6" a="1"/>
  <c r="F61" i="6" l="1"/>
  <c r="G61" i="6" s="1"/>
  <c r="J65" i="6"/>
  <c r="K65" i="6"/>
  <c r="I66" i="6"/>
  <c r="F62" i="6" a="1"/>
  <c r="F62" i="6" l="1"/>
  <c r="G62" i="6" s="1"/>
  <c r="I67" i="6"/>
  <c r="J66" i="6"/>
  <c r="K66" i="6"/>
  <c r="F63" i="6" a="1"/>
  <c r="F63" i="6" l="1"/>
  <c r="G63" i="6" s="1"/>
  <c r="I68" i="6"/>
  <c r="J67" i="6"/>
  <c r="K67" i="6"/>
  <c r="F64" i="6" a="1"/>
  <c r="F64" i="6" l="1"/>
  <c r="G64" i="6" s="1"/>
  <c r="J68" i="6"/>
  <c r="K68" i="6"/>
  <c r="I69" i="6"/>
  <c r="F65" i="6" a="1"/>
  <c r="F65" i="6" l="1"/>
  <c r="G65" i="6" s="1"/>
  <c r="J69" i="6"/>
  <c r="K69" i="6"/>
  <c r="I70" i="6"/>
  <c r="F66" i="6" a="1"/>
  <c r="F66" i="6" l="1"/>
  <c r="G66" i="6" s="1"/>
  <c r="J70" i="6"/>
  <c r="K70" i="6"/>
  <c r="I71" i="6"/>
  <c r="F67" i="6" a="1"/>
  <c r="F67" i="6" l="1"/>
  <c r="G67" i="6" s="1"/>
  <c r="J71" i="6"/>
  <c r="K71" i="6"/>
  <c r="I72" i="6"/>
  <c r="F68" i="6" a="1"/>
  <c r="F68" i="6" l="1"/>
  <c r="G68" i="6" s="1"/>
  <c r="J72" i="6"/>
  <c r="I73" i="6"/>
  <c r="K72" i="6"/>
  <c r="F69" i="6" a="1"/>
  <c r="F69" i="6" l="1"/>
  <c r="G69" i="6" s="1"/>
  <c r="J73" i="6"/>
  <c r="K73" i="6"/>
  <c r="I74" i="6"/>
  <c r="F70" i="6" a="1"/>
  <c r="F70" i="6" l="1"/>
  <c r="G70" i="6" s="1"/>
  <c r="K74" i="6"/>
  <c r="I75" i="6"/>
  <c r="J74" i="6"/>
  <c r="F71" i="6" a="1"/>
  <c r="F71" i="6" l="1"/>
  <c r="G71" i="6" s="1"/>
  <c r="J75" i="6"/>
  <c r="K75" i="6"/>
  <c r="I76" i="6"/>
  <c r="F72" i="6" a="1"/>
  <c r="F72" i="6" l="1"/>
  <c r="G72" i="6" s="1"/>
  <c r="K76" i="6"/>
  <c r="I77" i="6"/>
  <c r="J76" i="6"/>
  <c r="F73" i="6" a="1"/>
  <c r="F73" i="6" l="1"/>
  <c r="G73" i="6" s="1"/>
  <c r="J77" i="6"/>
  <c r="K77" i="6"/>
  <c r="I78" i="6"/>
  <c r="F74" i="6" a="1"/>
  <c r="F74" i="6" l="1"/>
  <c r="G74" i="6" s="1"/>
  <c r="J78" i="6"/>
  <c r="I79" i="6"/>
  <c r="K78" i="6"/>
  <c r="F75" i="6" a="1"/>
  <c r="F75" i="6" l="1"/>
  <c r="G75" i="6" s="1"/>
  <c r="K79" i="6"/>
  <c r="J79" i="6"/>
  <c r="I80" i="6"/>
  <c r="F76" i="6" a="1"/>
  <c r="F76" i="6" l="1"/>
  <c r="G76" i="6" s="1"/>
  <c r="I81" i="6"/>
  <c r="K80" i="6"/>
  <c r="J80" i="6"/>
  <c r="F77" i="6" a="1"/>
  <c r="F77" i="6" l="1"/>
  <c r="G77" i="6" s="1"/>
  <c r="J81" i="6"/>
  <c r="K81" i="6"/>
  <c r="I82" i="6"/>
  <c r="F78" i="6" a="1"/>
  <c r="F78" i="6" l="1"/>
  <c r="G78" i="6" s="1"/>
  <c r="K82" i="6"/>
  <c r="I83" i="6"/>
  <c r="J82" i="6"/>
  <c r="F79" i="6" a="1"/>
  <c r="F79" i="6" l="1"/>
  <c r="G79" i="6" s="1"/>
  <c r="I84" i="6"/>
  <c r="J83" i="6"/>
  <c r="K83" i="6"/>
  <c r="F80" i="6" a="1"/>
  <c r="F80" i="6" l="1"/>
  <c r="G80" i="6" s="1"/>
  <c r="K84" i="6"/>
  <c r="I85" i="6"/>
  <c r="J84" i="6"/>
  <c r="F81" i="6" a="1"/>
  <c r="F81" i="6" l="1"/>
  <c r="G81" i="6" s="1"/>
  <c r="J85" i="6"/>
  <c r="K85" i="6"/>
  <c r="I86" i="6"/>
  <c r="F82" i="6" a="1"/>
  <c r="F82" i="6" l="1"/>
  <c r="G82" i="6" s="1"/>
  <c r="I87" i="6"/>
  <c r="K86" i="6"/>
  <c r="J86" i="6"/>
  <c r="F83" i="6" a="1"/>
  <c r="F83" i="6" l="1"/>
  <c r="G83" i="6" s="1"/>
  <c r="K87" i="6"/>
  <c r="J87" i="6"/>
  <c r="I88" i="6"/>
  <c r="F84" i="6" a="1"/>
  <c r="F84" i="6" l="1"/>
  <c r="G84" i="6" s="1"/>
  <c r="I89" i="6"/>
  <c r="K88" i="6"/>
  <c r="J88" i="6"/>
  <c r="F85" i="6" a="1"/>
  <c r="F85" i="6" l="1"/>
  <c r="G85" i="6" s="1"/>
  <c r="J89" i="6"/>
  <c r="I90" i="6"/>
  <c r="K89" i="6"/>
  <c r="F86" i="6" a="1"/>
  <c r="F86" i="6" l="1"/>
  <c r="G86" i="6" s="1"/>
  <c r="K90" i="6"/>
  <c r="I91" i="6"/>
  <c r="J90" i="6"/>
  <c r="F87" i="6" a="1"/>
  <c r="F87" i="6" l="1"/>
  <c r="G87" i="6" s="1"/>
  <c r="I92" i="6"/>
  <c r="J91" i="6"/>
  <c r="K91" i="6"/>
  <c r="F88" i="6" a="1"/>
  <c r="F88" i="6" l="1"/>
  <c r="G88" i="6" s="1"/>
  <c r="I93" i="6"/>
  <c r="J92" i="6"/>
  <c r="K92" i="6"/>
  <c r="F89" i="6" a="1"/>
  <c r="F89" i="6" l="1"/>
  <c r="G89" i="6" s="1"/>
  <c r="J93" i="6"/>
  <c r="K93" i="6"/>
  <c r="I94" i="6"/>
  <c r="F90" i="6" a="1"/>
  <c r="F90" i="6" l="1"/>
  <c r="G90" i="6" s="1"/>
  <c r="I95" i="6"/>
  <c r="J94" i="6"/>
  <c r="K94" i="6"/>
  <c r="F91" i="6" a="1"/>
  <c r="F91" i="6" l="1"/>
  <c r="G91" i="6" s="1"/>
  <c r="J95" i="6"/>
  <c r="K95" i="6"/>
  <c r="I96" i="6"/>
  <c r="F92" i="6" a="1"/>
  <c r="F92" i="6" l="1"/>
  <c r="G92" i="6" s="1"/>
  <c r="J96" i="6"/>
  <c r="I97" i="6"/>
  <c r="K96" i="6"/>
  <c r="F93" i="6" a="1"/>
  <c r="F93" i="6" l="1"/>
  <c r="G93" i="6" s="1"/>
  <c r="J97" i="6"/>
  <c r="I98" i="6"/>
  <c r="K97" i="6"/>
  <c r="F94" i="6" a="1"/>
  <c r="F94" i="6" l="1"/>
  <c r="G94" i="6" s="1"/>
  <c r="I99" i="6"/>
  <c r="K98" i="6"/>
  <c r="J98" i="6"/>
  <c r="F95" i="6" a="1"/>
  <c r="F95" i="6" l="1"/>
  <c r="G95" i="6" s="1"/>
  <c r="J99" i="6"/>
  <c r="I100" i="6"/>
  <c r="K99" i="6"/>
  <c r="F96" i="6" a="1"/>
  <c r="F96" i="6" l="1"/>
  <c r="G96" i="6" s="1"/>
  <c r="I101" i="6"/>
  <c r="J100" i="6"/>
  <c r="K100" i="6"/>
  <c r="F97" i="6" a="1"/>
  <c r="F97" i="6" l="1"/>
  <c r="G97" i="6" s="1"/>
  <c r="J101" i="6"/>
  <c r="K101" i="6"/>
  <c r="I102" i="6"/>
  <c r="F98" i="6" a="1"/>
  <c r="F98" i="6" l="1"/>
  <c r="G98" i="6" s="1"/>
  <c r="J102" i="6"/>
  <c r="I103" i="6"/>
  <c r="K102" i="6"/>
  <c r="F99" i="6" a="1"/>
  <c r="F99" i="6" l="1"/>
  <c r="G99" i="6" s="1"/>
  <c r="J103" i="6"/>
  <c r="K103" i="6"/>
  <c r="I104" i="6"/>
  <c r="F100" i="6" a="1"/>
  <c r="F100" i="6" l="1"/>
  <c r="G100" i="6" s="1"/>
  <c r="J104" i="6"/>
  <c r="I105" i="6"/>
  <c r="K104" i="6"/>
  <c r="F101" i="6" a="1"/>
  <c r="F101" i="6" l="1"/>
  <c r="G101" i="6" s="1"/>
  <c r="J105" i="6"/>
  <c r="K105" i="6"/>
  <c r="I106" i="6"/>
  <c r="F102" i="6" a="1"/>
  <c r="F102" i="6" l="1"/>
  <c r="G102" i="6" s="1"/>
  <c r="I107" i="6"/>
  <c r="J106" i="6"/>
  <c r="K106" i="6"/>
  <c r="F103" i="6" a="1"/>
  <c r="F103" i="6" l="1"/>
  <c r="G103" i="6" s="1"/>
  <c r="J107" i="6"/>
  <c r="K107" i="6"/>
  <c r="I108" i="6"/>
  <c r="F104" i="6" a="1"/>
  <c r="F104" i="6" l="1"/>
  <c r="G104" i="6" s="1"/>
  <c r="K108" i="6"/>
  <c r="I109" i="6"/>
  <c r="J108" i="6"/>
  <c r="F105" i="6" a="1"/>
  <c r="F105" i="6" l="1"/>
  <c r="G105" i="6" s="1"/>
  <c r="J109" i="6"/>
  <c r="K109" i="6"/>
  <c r="I110" i="6"/>
  <c r="F106" i="6" a="1"/>
  <c r="F106" i="6" l="1"/>
  <c r="G106" i="6" s="1"/>
  <c r="K110" i="6"/>
  <c r="I111" i="6"/>
  <c r="J110" i="6"/>
  <c r="F107" i="6" a="1"/>
  <c r="F107" i="6" l="1"/>
  <c r="G107" i="6" s="1"/>
  <c r="K111" i="6"/>
  <c r="J111" i="6"/>
  <c r="I112" i="6"/>
  <c r="F108" i="6" a="1"/>
  <c r="F108" i="6" l="1"/>
  <c r="G108" i="6" s="1"/>
  <c r="J112" i="6"/>
  <c r="K112" i="6"/>
  <c r="I113" i="6"/>
  <c r="F109" i="6" a="1"/>
  <c r="F109" i="6" l="1"/>
  <c r="G109" i="6" s="1"/>
  <c r="J113" i="6"/>
  <c r="I114" i="6"/>
  <c r="K113" i="6"/>
  <c r="F110" i="6" a="1"/>
  <c r="F110" i="6" l="1"/>
  <c r="G110" i="6" s="1"/>
  <c r="K114" i="6"/>
  <c r="J114" i="6"/>
  <c r="I115" i="6"/>
  <c r="F111" i="6" a="1"/>
  <c r="F111" i="6" l="1"/>
  <c r="G111" i="6" s="1"/>
  <c r="I116" i="6"/>
  <c r="J115" i="6"/>
  <c r="K115" i="6"/>
  <c r="F112" i="6" a="1"/>
  <c r="F112" i="6" l="1"/>
  <c r="G112" i="6" s="1"/>
  <c r="J116" i="6"/>
  <c r="K116" i="6"/>
  <c r="I117" i="6"/>
  <c r="F113" i="6" a="1"/>
  <c r="F113" i="6" l="1"/>
  <c r="G113" i="6" s="1"/>
  <c r="J117" i="6"/>
  <c r="K117" i="6"/>
  <c r="I118" i="6"/>
  <c r="F114" i="6" a="1"/>
  <c r="F114" i="6" l="1"/>
  <c r="G114" i="6" s="1"/>
  <c r="I119" i="6"/>
  <c r="J118" i="6"/>
  <c r="K118" i="6"/>
  <c r="F115" i="6" a="1"/>
  <c r="F115" i="6" l="1"/>
  <c r="G115" i="6" s="1"/>
  <c r="J119" i="6"/>
  <c r="K119" i="6"/>
  <c r="I120" i="6"/>
  <c r="F116" i="6" a="1"/>
  <c r="F116" i="6" l="1"/>
  <c r="G116" i="6" s="1"/>
  <c r="I121" i="6"/>
  <c r="J120" i="6"/>
  <c r="K120" i="6"/>
  <c r="F117" i="6" a="1"/>
  <c r="F117" i="6" l="1"/>
  <c r="G117" i="6" s="1"/>
  <c r="J121" i="6"/>
  <c r="I122" i="6"/>
  <c r="K121" i="6"/>
  <c r="F118" i="6" a="1"/>
  <c r="F118" i="6" l="1"/>
  <c r="G118" i="6" s="1"/>
  <c r="J122" i="6"/>
  <c r="K122" i="6"/>
  <c r="I123" i="6"/>
  <c r="F119" i="6" a="1"/>
  <c r="F119" i="6" l="1"/>
  <c r="G119" i="6" s="1"/>
  <c r="I124" i="6"/>
  <c r="J123" i="6"/>
  <c r="K123" i="6"/>
  <c r="F120" i="6" a="1"/>
  <c r="F120" i="6" l="1"/>
  <c r="G120" i="6" s="1"/>
  <c r="I125" i="6"/>
  <c r="K124" i="6"/>
  <c r="J124" i="6"/>
  <c r="F121" i="6" a="1"/>
  <c r="F121" i="6" l="1"/>
  <c r="G121" i="6" s="1"/>
  <c r="J125" i="6"/>
  <c r="K125" i="6"/>
  <c r="I126" i="6"/>
  <c r="F122" i="6" a="1"/>
  <c r="F122" i="6" l="1"/>
  <c r="G122" i="6" s="1"/>
  <c r="I127" i="6"/>
  <c r="J126" i="6"/>
  <c r="K126" i="6"/>
  <c r="F123" i="6" a="1"/>
  <c r="F123" i="6" l="1"/>
  <c r="G123" i="6" s="1"/>
  <c r="J127" i="6"/>
  <c r="K127" i="6"/>
  <c r="I128" i="6"/>
  <c r="F124" i="6" a="1"/>
  <c r="F124" i="6" l="1"/>
  <c r="G124" i="6" s="1"/>
  <c r="J128" i="6"/>
  <c r="K128" i="6"/>
  <c r="I129" i="6"/>
  <c r="F125" i="6" a="1"/>
  <c r="F125" i="6" l="1"/>
  <c r="G125" i="6" s="1"/>
  <c r="J129" i="6"/>
  <c r="I130" i="6"/>
  <c r="K129" i="6"/>
  <c r="F126" i="6" a="1"/>
  <c r="F126" i="6" l="1"/>
  <c r="G126" i="6" s="1"/>
  <c r="K130" i="6"/>
  <c r="J130" i="6"/>
  <c r="I131" i="6"/>
  <c r="F127" i="6" a="1"/>
  <c r="F127" i="6" l="1"/>
  <c r="G127" i="6" s="1"/>
  <c r="J131" i="6"/>
  <c r="K131" i="6"/>
  <c r="I132" i="6"/>
  <c r="F128" i="6" a="1"/>
  <c r="F128" i="6" l="1"/>
  <c r="G128" i="6" s="1"/>
  <c r="I133" i="6"/>
  <c r="J132" i="6"/>
  <c r="K132" i="6"/>
  <c r="F129" i="6" a="1"/>
  <c r="F129" i="6" l="1"/>
  <c r="G129" i="6" s="1"/>
  <c r="J133" i="6"/>
  <c r="K133" i="6"/>
  <c r="I134" i="6"/>
  <c r="F130" i="6" a="1"/>
  <c r="F130" i="6" l="1"/>
  <c r="G130" i="6" s="1"/>
  <c r="J134" i="6"/>
  <c r="I135" i="6"/>
  <c r="K134" i="6"/>
  <c r="F131" i="6" a="1"/>
  <c r="F131" i="6" l="1"/>
  <c r="G131" i="6" s="1"/>
  <c r="I136" i="6"/>
  <c r="J135" i="6"/>
  <c r="K135" i="6"/>
  <c r="F132" i="6" a="1"/>
  <c r="F132" i="6" l="1"/>
  <c r="G132" i="6" s="1"/>
  <c r="J136" i="6"/>
  <c r="K136" i="6"/>
  <c r="I137" i="6"/>
  <c r="F133" i="6" a="1"/>
  <c r="F133" i="6" l="1"/>
  <c r="G133" i="6" s="1"/>
  <c r="J137" i="6"/>
  <c r="K137" i="6"/>
  <c r="I138" i="6"/>
  <c r="F134" i="6" a="1"/>
  <c r="F134" i="6" l="1"/>
  <c r="G134" i="6" s="1"/>
  <c r="I139" i="6"/>
  <c r="K138" i="6"/>
  <c r="J138" i="6"/>
  <c r="F135" i="6" a="1"/>
  <c r="F135" i="6" l="1"/>
  <c r="G135" i="6" s="1"/>
  <c r="J139" i="6"/>
  <c r="K139" i="6"/>
  <c r="I140" i="6"/>
  <c r="F136" i="6" a="1"/>
  <c r="F136" i="6" l="1"/>
  <c r="G136" i="6" s="1"/>
  <c r="K140" i="6"/>
  <c r="I141" i="6"/>
  <c r="J140" i="6"/>
  <c r="F137" i="6" a="1"/>
  <c r="F137" i="6" l="1"/>
  <c r="G137" i="6" s="1"/>
  <c r="J141" i="6"/>
  <c r="I142" i="6"/>
  <c r="K141" i="6"/>
  <c r="F138" i="6" a="1"/>
  <c r="F138" i="6" l="1"/>
  <c r="G138" i="6" s="1"/>
  <c r="J142" i="6"/>
  <c r="K142" i="6"/>
  <c r="I143" i="6"/>
  <c r="F139" i="6" a="1"/>
  <c r="F139" i="6" l="1"/>
  <c r="G139" i="6" s="1"/>
  <c r="K143" i="6"/>
  <c r="I144" i="6"/>
  <c r="J143" i="6"/>
  <c r="F140" i="6" a="1"/>
  <c r="F140" i="6" l="1"/>
  <c r="G140" i="6" s="1"/>
  <c r="J144" i="6"/>
  <c r="I145" i="6"/>
  <c r="K144" i="6"/>
  <c r="F141" i="6" a="1"/>
  <c r="F141" i="6" l="1"/>
  <c r="G141" i="6" s="1"/>
  <c r="J145" i="6"/>
  <c r="K145" i="6"/>
  <c r="I146" i="6"/>
  <c r="F142" i="6" a="1"/>
  <c r="F142" i="6" l="1"/>
  <c r="G142" i="6" s="1"/>
  <c r="K146" i="6"/>
  <c r="I147" i="6"/>
  <c r="J146" i="6"/>
  <c r="F143" i="6" a="1"/>
  <c r="F143" i="6" l="1"/>
  <c r="G143" i="6" s="1"/>
  <c r="I148" i="6"/>
  <c r="J147" i="6"/>
  <c r="K147" i="6"/>
  <c r="F144" i="6" a="1"/>
  <c r="F144" i="6" l="1"/>
  <c r="G144" i="6" s="1"/>
  <c r="J148" i="6"/>
  <c r="K148" i="6"/>
  <c r="I149" i="6"/>
  <c r="F145" i="6" a="1"/>
  <c r="F145" i="6" l="1"/>
  <c r="G145" i="6" s="1"/>
  <c r="J149" i="6"/>
  <c r="I150" i="6"/>
  <c r="K149" i="6"/>
  <c r="F146" i="6" a="1"/>
  <c r="F146" i="6" l="1"/>
  <c r="G146" i="6" s="1"/>
  <c r="J150" i="6"/>
  <c r="K150" i="6"/>
  <c r="F147" i="6" a="1"/>
  <c r="F147" i="6" l="1"/>
  <c r="G147" i="6" s="1"/>
  <c r="F148" i="6" a="1"/>
  <c r="F148" i="6" l="1"/>
  <c r="G148" i="6" s="1"/>
  <c r="F149" i="6" a="1"/>
  <c r="F149" i="6" l="1"/>
  <c r="G149" i="6" s="1"/>
  <c r="F150" i="6" a="1"/>
  <c r="F150" i="6" l="1"/>
  <c r="G150" i="6" s="1"/>
</calcChain>
</file>

<file path=xl/sharedStrings.xml><?xml version="1.0" encoding="utf-8"?>
<sst xmlns="http://schemas.openxmlformats.org/spreadsheetml/2006/main" count="877" uniqueCount="482">
  <si>
    <t>Customer Worksheet (Top Level)</t>
  </si>
  <si>
    <t>Customer Name</t>
  </si>
  <si>
    <t>← Verify This is Correct</t>
  </si>
  <si>
    <t>Contact Name</t>
  </si>
  <si>
    <t>Dan Danford</t>
  </si>
  <si>
    <t>Country</t>
  </si>
  <si>
    <t>United States</t>
  </si>
  <si>
    <t>State</t>
  </si>
  <si>
    <t>Alabama</t>
  </si>
  <si>
    <t>City</t>
  </si>
  <si>
    <t>Dothan</t>
  </si>
  <si>
    <t>Street Address</t>
  </si>
  <si>
    <t>200 Kilgore Dr</t>
  </si>
  <si>
    <t>Zip Code</t>
  </si>
  <si>
    <t>Telephone Number</t>
  </si>
  <si>
    <t>334-725-3302</t>
  </si>
  <si>
    <t>Email</t>
  </si>
  <si>
    <t>drdanford@dothan.org</t>
  </si>
  <si>
    <t>Account Manager</t>
  </si>
  <si>
    <t>Frank Sublett</t>
  </si>
  <si>
    <t>Utility Head End Certificate Source</t>
  </si>
  <si>
    <t>Manufacturer</t>
  </si>
  <si>
    <t>No</t>
  </si>
  <si>
    <t>Time Zone</t>
  </si>
  <si>
    <t>(UTC-06:00) Central Time (US &amp; Canada)</t>
  </si>
  <si>
    <t xml:space="preserve">Daily Shift Time  (hours after midnight local) </t>
  </si>
  <si>
    <t>May be overridden by KV2cFW2.0Cover</t>
  </si>
  <si>
    <t>Default</t>
  </si>
  <si>
    <t>System Includes STAR 2400 Legacy devices</t>
  </si>
  <si>
    <t>Yes</t>
  </si>
  <si>
    <t>System Includes STAR 2400 devices</t>
  </si>
  <si>
    <t>System Includes STAR7200 devices</t>
  </si>
  <si>
    <t>System Includes SRFN Devices</t>
  </si>
  <si>
    <t>System Includes SRFN Dedicated DA Recv Channel</t>
  </si>
  <si>
    <t>DCU Single Transmit T-Board Firmware</t>
  </si>
  <si>
    <t>DCU Drawing Number (from Fusion)</t>
  </si>
  <si>
    <t>Ok to Leave Empty</t>
  </si>
  <si>
    <t>DCU Product Number (the Y number)</t>
  </si>
  <si>
    <t>Aclara Customer ID</t>
  </si>
  <si>
    <t>Retrieved from Freq List</t>
  </si>
  <si>
    <t>Tool Version</t>
  </si>
  <si>
    <t>EF00001</t>
  </si>
  <si>
    <t>Customer Configuration Id</t>
  </si>
  <si>
    <t>Worksheet Status</t>
  </si>
  <si>
    <t>Headend Certificate Information Supplied by Utility</t>
  </si>
  <si>
    <t>DTLS Certificate Information</t>
  </si>
  <si>
    <t>DCU Configuration</t>
  </si>
  <si>
    <t>Worksheet Parsing</t>
  </si>
  <si>
    <t>Country ISO Code</t>
  </si>
  <si>
    <t>State Abreviation</t>
  </si>
  <si>
    <t>City, State Zip</t>
  </si>
  <si>
    <t xml:space="preserve">Security Configuration (Y84000-APN Rev A) </t>
  </si>
  <si>
    <t xml:space="preserve">Frequency Configuration (Y84000-PTR) </t>
  </si>
  <si>
    <t>STAR F2/Downlink Frequency (MHz)</t>
  </si>
  <si>
    <t>SRFN Outbound/Downlink Frequency (MHz)</t>
  </si>
  <si>
    <t>STAR F1/Uplink Frequency (MHz)</t>
  </si>
  <si>
    <t>SRFN Inbound/Uplink Frequency [0] (MHz)</t>
  </si>
  <si>
    <t>SRFN Inbound/Uplink Frequency [1] (MHz)</t>
  </si>
  <si>
    <t>SRFN Inbound/Uplink Frequency [2] (MHz)</t>
  </si>
  <si>
    <t>SRFN Inbound/Uplink Frequency [3] (MHz)</t>
  </si>
  <si>
    <t>SRFN Inbound/Uplink Frequency [4] (MHz)</t>
  </si>
  <si>
    <t>SRFN Inbound/Uplink Frequency [5] (MHz)</t>
  </si>
  <si>
    <t>SRFN Inbound/Uplink Frequency [6] (MHz)</t>
  </si>
  <si>
    <t>SRFN Inbound/Uplink Frequency [7] (MHz)</t>
  </si>
  <si>
    <t>SRFN Inbound/Uplink Frequency [8] (MHz)</t>
  </si>
  <si>
    <t>SRFN Inbound/Uplink Frequency [9] (MHz)</t>
  </si>
  <si>
    <t>SRFN Inbound/Uplink Frequency [10] (MHz)</t>
  </si>
  <si>
    <t>SRFN Inbound/Uplink Frequency [11] (MHz)</t>
  </si>
  <si>
    <t>SRFN Inbound/Uplink Frequency [12] (MHz)</t>
  </si>
  <si>
    <t>SRFN Inbound/Uplink Frequency [13] (MHz)</t>
  </si>
  <si>
    <t>SRFN Inbound/Uplink Frequency [14] (MHz)</t>
  </si>
  <si>
    <t>SRFN Inbound/Uplink Frequency [15] (MHz)</t>
  </si>
  <si>
    <t>DCU Receive Channels Available</t>
  </si>
  <si>
    <t>DCU Transmitter Count</t>
  </si>
  <si>
    <t>STAR Receiver Channels Minimum</t>
  </si>
  <si>
    <t>SRFN Receiver Channels</t>
  </si>
  <si>
    <t>Channels Available for Diversity</t>
  </si>
  <si>
    <t xml:space="preserve">STAR 2400 Diverity Channels </t>
  </si>
  <si>
    <t xml:space="preserve">STAR 2400 Legacy Diverity Channels </t>
  </si>
  <si>
    <t xml:space="preserve">STAR 7200 Diverity Channels </t>
  </si>
  <si>
    <t>STAR Transmit Frequency Reserved Receiver</t>
  </si>
  <si>
    <t>SRFN Transmit Frequency Reserved Receiver</t>
  </si>
  <si>
    <t>STAR 2400 Legacy Channels</t>
  </si>
  <si>
    <t>STAR 2400 Channels [Non-Legacy]</t>
  </si>
  <si>
    <t>STAR 7200 Channels</t>
  </si>
  <si>
    <t>STAR Receiver Channels</t>
  </si>
  <si>
    <t>SRFN Non-DA Receive Channels</t>
  </si>
  <si>
    <t>SRFN DA Receive Channels</t>
  </si>
  <si>
    <t>DCU Configuration Description</t>
  </si>
  <si>
    <t>SRFN Non-DA Receivers on Slot3</t>
  </si>
  <si>
    <t>SRFN Non-DA Receivers on Slot2</t>
  </si>
  <si>
    <t>Slot3Count</t>
  </si>
  <si>
    <t>Slot2Count</t>
  </si>
  <si>
    <t>Slot 3 Channel 2</t>
  </si>
  <si>
    <t>Slot 3 Channel 3</t>
  </si>
  <si>
    <t>Slot 3 Channel 4</t>
  </si>
  <si>
    <t>Slot 3 Channel 5</t>
  </si>
  <si>
    <t>Slot 3 Channel 6</t>
  </si>
  <si>
    <t>Slot 3 Channel 7</t>
  </si>
  <si>
    <t>Slot 3 Channel 8</t>
  </si>
  <si>
    <t>Slot 2 Channel 1</t>
  </si>
  <si>
    <t>Slot 2 Channel 2</t>
  </si>
  <si>
    <t>Slot 2 Channel 3</t>
  </si>
  <si>
    <t>Slot 2 Channel 4</t>
  </si>
  <si>
    <t>Slot 2 Channel 5</t>
  </si>
  <si>
    <t>Slot 2 Channel 6</t>
  </si>
  <si>
    <t>Slot 2 Channel 7</t>
  </si>
  <si>
    <t>Slot 2 Channel 8</t>
  </si>
  <si>
    <t>Slot 3</t>
  </si>
  <si>
    <t>comDeviceGatewayConfig</t>
  </si>
  <si>
    <t>phyRxFrequencies</t>
  </si>
  <si>
    <t>phyTxFrequencies</t>
  </si>
  <si>
    <t>phyRxDetection</t>
  </si>
  <si>
    <t>phyRxFraming</t>
  </si>
  <si>
    <t>phyRxMode</t>
  </si>
  <si>
    <t>phyRxDA</t>
  </si>
  <si>
    <t>Slot 2</t>
  </si>
  <si>
    <t>EP Tx SRFN (Except DA)</t>
  </si>
  <si>
    <t>EP Tx SRFN-DA (Except DA)</t>
  </si>
  <si>
    <t>EP Tx STAR7200</t>
  </si>
  <si>
    <t>EP Tx STAR2400</t>
  </si>
  <si>
    <t>EP Tx STAR2400Legacy</t>
  </si>
  <si>
    <t>EP Rx SRFN (Except DA)</t>
  </si>
  <si>
    <t>EP Rx SRFN-DA (Except DA)</t>
  </si>
  <si>
    <t>EP Rx STAR7200</t>
  </si>
  <si>
    <t>EP Rx STAR2400</t>
  </si>
  <si>
    <t>EP Rx STAR2400Legacy</t>
  </si>
  <si>
    <t>All STAR and SRFN Frequencies</t>
  </si>
  <si>
    <t>SRFN Endpoint Inbound Transmit Frequencies</t>
  </si>
  <si>
    <t>phyAvailableFrequencies</t>
  </si>
  <si>
    <t>SRFN DCU Outbound Transmit Frequency</t>
  </si>
  <si>
    <t>macChannelSetsSTAR</t>
  </si>
  <si>
    <t>Abstraction of STAR Radio Physical Layer</t>
  </si>
  <si>
    <t>macChannelSets</t>
  </si>
  <si>
    <t>Abstraction of SRFN Radio Physical Layer</t>
  </si>
  <si>
    <t>Flash Security Enabled</t>
  </si>
  <si>
    <t>Protect JTAG &amp; Flash Memory</t>
  </si>
  <si>
    <t>debugPortEnabled</t>
  </si>
  <si>
    <t>Radio Board Debug Disabled = 0</t>
  </si>
  <si>
    <t>appSecurityAuthMode</t>
  </si>
  <si>
    <t>2 = DTLS enabled</t>
  </si>
  <si>
    <t>dtlsNetworkHESubject</t>
  </si>
  <si>
    <t>Protercted by Headend</t>
  </si>
  <si>
    <t>dtlsNetworkMSSubject</t>
  </si>
  <si>
    <t>Used by T-Boards and Endpoints</t>
  </si>
  <si>
    <t>dtlsNetworkRootCA</t>
  </si>
  <si>
    <t>308201A43082014AA003020102020100300A06082A8648CE3D040302302B310F300D060355040A0C0641636C6172613118301606035504030C0F5574696C69747920526F6F742043413020170D3135303631303134303030305A180F39393939313233313233353935395A302B310F300D060355040A0C0641636C6172613118301606035504030C0F5574696C69747920526F6F742043413059301306072A8648CE3D020106082A8648CE3D030107034200046D6AB634B5E43A877DAFD4A366A39D0649C2E12343C78AF3E9B8E709D8D964F90FA95DC67041DBF1CC76D4E33A18C2978DEEAD8ACF65A331F3FADD3D4A86F555A353D05B300C0603551D13040530030101FF300B0603551D0F040403020106301D0603551D0E041604141BC0464EFCFBE686CF552DBF57C874D22AB71CE9301F0603551D230418301680141BC0464EFCFBE686CF552DBF57C874D22AB71CE9300A06082A8648CE3D040302034800304502204DA370417281033DB1139AAF2D7859F9B291E4DE2C2D8F7D955DC7B41EA88980022100D8C622BD34548441D4CC9472226B2CC541C3A46D4EB6A5035DFA4E9A6529FD8C</t>
  </si>
  <si>
    <t>T-Board and Endpoint ECC-508 Truststores are loaded with this value during manufacturing</t>
  </si>
  <si>
    <t>ipHEContext</t>
  </si>
  <si>
    <t>macNetworkId</t>
  </si>
  <si>
    <t>opportunisticThreshold</t>
  </si>
  <si>
    <t>Default Value</t>
  </si>
  <si>
    <t>realtimeThreshold</t>
  </si>
  <si>
    <t>realtimeThreshold (DCU)</t>
  </si>
  <si>
    <t>DCU Used Different Value</t>
  </si>
  <si>
    <t>shipMode</t>
  </si>
  <si>
    <t>timeAcceptanceDelay</t>
  </si>
  <si>
    <t>dstStartRule</t>
  </si>
  <si>
    <t>dstEndRule</t>
  </si>
  <si>
    <t>timeZoneOffset</t>
  </si>
  <si>
    <t>dstEnabled</t>
  </si>
  <si>
    <t>dstOffset</t>
  </si>
  <si>
    <t>timeZoneDSTHash</t>
  </si>
  <si>
    <t>dailySelfReadTime</t>
  </si>
  <si>
    <t>scheduledDemandResetDay</t>
  </si>
  <si>
    <t>outageDeclarationDelay</t>
  </si>
  <si>
    <t>restorationDeclarationDelay</t>
  </si>
  <si>
    <t>Notes</t>
  </si>
  <si>
    <t>=SUBSTITUTE(TRIM(SUBSTITUTE(A1,","," "))," ",",")</t>
  </si>
  <si>
    <t>=&amp;REPT(",";COUNTIF(B44:B61;""))</t>
  </si>
  <si>
    <t>=&amp;REPT(",";18-(LEN(TRIM(B147))-LEN(SUBSTITUTE(TRIM(B147);",";""))+1))</t>
  </si>
  <si>
    <t>*** Do Not Modify ***</t>
  </si>
  <si>
    <t>Organization: Max 20 Char</t>
  </si>
  <si>
    <t>060355040A</t>
  </si>
  <si>
    <t>UTF-8</t>
  </si>
  <si>
    <t>Country ISO CODE</t>
  </si>
  <si>
    <t>0603550406</t>
  </si>
  <si>
    <t>Printable String</t>
  </si>
  <si>
    <t>State: Max 14</t>
  </si>
  <si>
    <t>0603550408</t>
  </si>
  <si>
    <t>Locality: Max 14</t>
  </si>
  <si>
    <t>0603550407</t>
  </si>
  <si>
    <t>Head-End</t>
  </si>
  <si>
    <t>HE</t>
  </si>
  <si>
    <t>0603550403</t>
  </si>
  <si>
    <t>Meter Shop</t>
  </si>
  <si>
    <t>MS</t>
  </si>
  <si>
    <t>HE Sequence</t>
  </si>
  <si>
    <t>MS Sequence</t>
  </si>
  <si>
    <t>Status</t>
  </si>
  <si>
    <t>Display String (VARCHAR 65)</t>
  </si>
  <si>
    <t>UTC Offset Standard Time (hours)</t>
  </si>
  <si>
    <t>DST</t>
  </si>
  <si>
    <t>DST Rule</t>
  </si>
  <si>
    <t>DST Rule Text</t>
  </si>
  <si>
    <t>timeZoneDSTHash Decimal</t>
  </si>
  <si>
    <t>(UTC-10:00) Hawaii</t>
  </si>
  <si>
    <t>0, 0, 0, 0, 0</t>
  </si>
  <si>
    <t>bf3581c2</t>
  </si>
  <si>
    <t>(UTC-09:00) Alaska</t>
  </si>
  <si>
    <t>US</t>
  </si>
  <si>
    <t>2:00 Second Sun of Mar until 2:00 First Sun of Nov</t>
  </si>
  <si>
    <t>3, 1, 2, 2, 0</t>
  </si>
  <si>
    <t>11, 1, 1, 2, 0</t>
  </si>
  <si>
    <t>afa6ea0c</t>
  </si>
  <si>
    <t>(UTC-08:00) Pacific Time (US &amp; Canada)</t>
  </si>
  <si>
    <t>5ed3d111</t>
  </si>
  <si>
    <t>(UTC-07:00) Mountain Time (US &amp; Canada)</t>
  </si>
  <si>
    <t>f8f8d088</t>
  </si>
  <si>
    <t>(UTC-07:00) Arizona</t>
  </si>
  <si>
    <t>9e909ea2</t>
  </si>
  <si>
    <t>da021feb</t>
  </si>
  <si>
    <t>(UTC-06:00) Saskatchewan</t>
  </si>
  <si>
    <t>c1163ff8</t>
  </si>
  <si>
    <t>(UTC-05:00) Eastern Time (US &amp; Canada)</t>
  </si>
  <si>
    <t>72abaea9</t>
  </si>
  <si>
    <t>(UTC-05:00) Bogota, Lima, Quito, Rio Branco</t>
  </si>
  <si>
    <t>8e92ae90</t>
  </si>
  <si>
    <t>(UTC-04:00) Atlantic Time (Canada)</t>
  </si>
  <si>
    <t>7216b2f7</t>
  </si>
  <si>
    <t>(UTC-04:00) Georgetown, La Paz, Manaus, San Juan</t>
  </si>
  <si>
    <t>dbc78ce0</t>
  </si>
  <si>
    <t>(UTC-03:30) Newfoundland</t>
  </si>
  <si>
    <t>2a59a65d</t>
  </si>
  <si>
    <t>(UTC+07:00) Indochina Time</t>
  </si>
  <si>
    <t>558d09ed</t>
  </si>
  <si>
    <t>(UTC+08:00) Philippine Time</t>
  </si>
  <si>
    <t>6760889f</t>
  </si>
  <si>
    <t>Customer ID</t>
  </si>
  <si>
    <t>Configuration ID</t>
  </si>
  <si>
    <t>Description</t>
  </si>
  <si>
    <t>Date Created</t>
  </si>
  <si>
    <t>Network ID</t>
  </si>
  <si>
    <t>Call Sign/ Lease ID</t>
  </si>
  <si>
    <t>Location</t>
  </si>
  <si>
    <t>Head End Context</t>
  </si>
  <si>
    <t>Frequency</t>
  </si>
  <si>
    <t>Frequency Use</t>
  </si>
  <si>
    <t>Item Class</t>
  </si>
  <si>
    <t>Dothan, City of (AL)</t>
  </si>
  <si>
    <t xml:space="preserve"> </t>
  </si>
  <si>
    <t>wraw366</t>
  </si>
  <si>
    <t>F1</t>
  </si>
  <si>
    <t>mtu</t>
  </si>
  <si>
    <t>F2</t>
  </si>
  <si>
    <t>INBOUND</t>
  </si>
  <si>
    <t>srf</t>
  </si>
  <si>
    <t>UNASSIGN</t>
  </si>
  <si>
    <t>OUTBOUND</t>
  </si>
  <si>
    <t>wrbc998</t>
  </si>
  <si>
    <t>&lt;?xml version="1.0" encoding="UTF-8"?&gt;</t>
  </si>
  <si>
    <t>&lt;DCU-9985 xmlns:xsi="http://www.w3.org/2001/XMLSchema-instance" xsi:noNamespaceSchemaLocation="DCU-9985.xsd"&gt;</t>
  </si>
  <si>
    <t>     &lt;metadata&gt;</t>
  </si>
  <si>
    <t>     &lt;/metadata&gt;</t>
  </si>
  <si>
    <t>     &lt;common&gt;</t>
  </si>
  <si>
    <t>     &lt;/common&gt;</t>
  </si>
  <si>
    <t>     &lt;/SRFNI-XCVR&gt;</t>
  </si>
  <si>
    <t>&lt;!-- FOLLOWING INFORMATION IS AUTO GENERATED BY Y84000-PTR XML CONFIGURATION TOOL --&gt;</t>
  </si>
  <si>
    <t>&lt;!-- THE FOLLOWING INFORMATION IS NOT PARSED BY DCU BUT USED BY OTHER TOOLS TO SET ENDPOINT FREQUENCIES --&gt;</t>
  </si>
  <si>
    <t>&lt;!-- NOTE FOR Y84000-PTR FILE DEVELOPERS: CHANGE EXPORT FORMAT TAG IF ANYTHING ON THIS PAGE CHANGES TO INFORM USERS --&gt;</t>
  </si>
  <si>
    <t>     &lt;SRFNI-METER&gt;</t>
  </si>
  <si>
    <t>     &lt;/SRFNI-METER&gt;</t>
  </si>
  <si>
    <t>     &lt;SRFNI-DA&gt;</t>
  </si>
  <si>
    <t>     &lt;/SRFNI-DA&gt;</t>
  </si>
  <si>
    <t>     &lt;STARI-METER&gt;</t>
  </si>
  <si>
    <t>     &lt;/STARI-METER&gt;</t>
  </si>
  <si>
    <t>&lt;/DCU-9985&gt;</t>
  </si>
  <si>
    <t>ISO Code (Max 2 digits)</t>
  </si>
  <si>
    <t>Territory</t>
  </si>
  <si>
    <t>Code</t>
  </si>
  <si>
    <t>Country List</t>
  </si>
  <si>
    <t>Country Count</t>
  </si>
  <si>
    <t>Start/Stop</t>
  </si>
  <si>
    <t>City Index</t>
  </si>
  <si>
    <t>City List</t>
  </si>
  <si>
    <t>Abr List</t>
  </si>
  <si>
    <t>Canada</t>
  </si>
  <si>
    <t>CA</t>
  </si>
  <si>
    <t>Alberta</t>
  </si>
  <si>
    <t>AB</t>
  </si>
  <si>
    <t>British Columbia</t>
  </si>
  <si>
    <t>BC</t>
  </si>
  <si>
    <t>Manitoba</t>
  </si>
  <si>
    <t>MB</t>
  </si>
  <si>
    <t>New Brunswick</t>
  </si>
  <si>
    <t>NB</t>
  </si>
  <si>
    <t>Newfoundland and Labrador</t>
  </si>
  <si>
    <t>NL</t>
  </si>
  <si>
    <t>x</t>
  </si>
  <si>
    <t>Northwest Territories</t>
  </si>
  <si>
    <t>NT</t>
  </si>
  <si>
    <t>Nova Scotia</t>
  </si>
  <si>
    <t>NS</t>
  </si>
  <si>
    <t>Nunavut</t>
  </si>
  <si>
    <t>NU</t>
  </si>
  <si>
    <t>Ontario</t>
  </si>
  <si>
    <t>ON</t>
  </si>
  <si>
    <t>Prince Edward Island</t>
  </si>
  <si>
    <t>PE</t>
  </si>
  <si>
    <t>Quebec</t>
  </si>
  <si>
    <t>QC</t>
  </si>
  <si>
    <t>Saskatchewan</t>
  </si>
  <si>
    <t>SK</t>
  </si>
  <si>
    <t>Yukon</t>
  </si>
  <si>
    <t>YT</t>
  </si>
  <si>
    <t>Mexico</t>
  </si>
  <si>
    <t>MX</t>
  </si>
  <si>
    <t>Aguascalientes</t>
  </si>
  <si>
    <t>AG</t>
  </si>
  <si>
    <t>Baja California</t>
  </si>
  <si>
    <t>Baja California Sur</t>
  </si>
  <si>
    <t>BS</t>
  </si>
  <si>
    <t>Campeche</t>
  </si>
  <si>
    <t>CM</t>
  </si>
  <si>
    <t>Chiapas</t>
  </si>
  <si>
    <t>CS</t>
  </si>
  <si>
    <t>Chihuahua</t>
  </si>
  <si>
    <t>CH</t>
  </si>
  <si>
    <t>Coahuila</t>
  </si>
  <si>
    <t>CO</t>
  </si>
  <si>
    <t>Colima</t>
  </si>
  <si>
    <t>CL</t>
  </si>
  <si>
    <t>Durango</t>
  </si>
  <si>
    <t>DG</t>
  </si>
  <si>
    <t>Federal District</t>
  </si>
  <si>
    <t>DF</t>
  </si>
  <si>
    <t>Guanajuato</t>
  </si>
  <si>
    <t>GT</t>
  </si>
  <si>
    <t>Guerrero</t>
  </si>
  <si>
    <t>GR</t>
  </si>
  <si>
    <t>Hidalgo</t>
  </si>
  <si>
    <t>HG</t>
  </si>
  <si>
    <t>Jalisco</t>
  </si>
  <si>
    <t>JA</t>
  </si>
  <si>
    <t>México State</t>
  </si>
  <si>
    <t>ME</t>
  </si>
  <si>
    <t>Michoacán</t>
  </si>
  <si>
    <t>MI</t>
  </si>
  <si>
    <t>Morelos</t>
  </si>
  <si>
    <t>MO</t>
  </si>
  <si>
    <t>Nayarit</t>
  </si>
  <si>
    <t>NA</t>
  </si>
  <si>
    <t>Nuevo León</t>
  </si>
  <si>
    <t>Oaxaca</t>
  </si>
  <si>
    <t>OA</t>
  </si>
  <si>
    <t>Puebla</t>
  </si>
  <si>
    <t>PB</t>
  </si>
  <si>
    <t>Querétaro</t>
  </si>
  <si>
    <t>QE</t>
  </si>
  <si>
    <t>Quintana Roo</t>
  </si>
  <si>
    <t>QR</t>
  </si>
  <si>
    <t>San Luis Potosí</t>
  </si>
  <si>
    <t>SL</t>
  </si>
  <si>
    <t>Sinaloa</t>
  </si>
  <si>
    <t>SI</t>
  </si>
  <si>
    <t>Sonora</t>
  </si>
  <si>
    <t>SO</t>
  </si>
  <si>
    <t>Tabasco</t>
  </si>
  <si>
    <t>TB</t>
  </si>
  <si>
    <t>Tamaulipas</t>
  </si>
  <si>
    <t>TM</t>
  </si>
  <si>
    <t>Tlaxcala</t>
  </si>
  <si>
    <t>TL</t>
  </si>
  <si>
    <t>Veracruz</t>
  </si>
  <si>
    <t>VE</t>
  </si>
  <si>
    <t>Yucatán</t>
  </si>
  <si>
    <t>YU</t>
  </si>
  <si>
    <t>Zacatecas</t>
  </si>
  <si>
    <t>ZA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</si>
  <si>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</si>
  <si>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</si>
  <si>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</si>
  <si>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</si>
  <si>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</si>
  <si>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</si>
  <si>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</si>
  <si>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</si>
  <si>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</si>
  <si>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</si>
  <si>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Colorado</t>
  </si>
  <si>
    <t>Connecticut</t>
  </si>
  <si>
    <t>CT</t>
  </si>
  <si>
    <t>Delaware</t>
  </si>
  <si>
    <t>DE</t>
  </si>
  <si>
    <t>District of Columbia</t>
  </si>
  <si>
    <t>DC</t>
  </si>
  <si>
    <t>Federated States of Micronesia</t>
  </si>
  <si>
    <t>FM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</si>
  <si>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</si>
  <si>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</si>
  <si>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</si>
  <si>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</si>
  <si>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</si>
  <si>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</si>
  <si>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</si>
  <si>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</si>
  <si>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</si>
  <si>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</si>
  <si>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</si>
  <si>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</si>
  <si>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</si>
  <si>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</si>
  <si>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</si>
  <si>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</si>
  <si>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</si>
  <si>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</si>
  <si>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</si>
  <si>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</si>
  <si>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</si>
  <si>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</si>
  <si>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</si>
  <si>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Marshall Islands</t>
  </si>
  <si>
    <t>MH</t>
  </si>
  <si>
    <t>Maryland</t>
  </si>
  <si>
    <t>MD</t>
  </si>
  <si>
    <t>Massachusetts</t>
  </si>
  <si>
    <t>MA</t>
  </si>
  <si>
    <t>Michigan</t>
  </si>
  <si>
    <t>Minnesota</t>
  </si>
  <si>
    <t>MN</t>
  </si>
  <si>
    <t>Mississippi</t>
  </si>
  <si>
    <t>Missouri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</si>
  <si>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</si>
  <si>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</si>
  <si>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</si>
  <si>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</si>
  <si>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</si>
  <si>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</si>
  <si>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</si>
  <si>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</si>
  <si>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</si>
  <si>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</si>
  <si>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</si>
  <si>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</si>
  <si>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</si>
  <si>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</si>
  <si>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</si>
  <si>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</si>
  <si>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</si>
  <si>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</si>
  <si>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</si>
  <si>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</si>
  <si>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</si>
  <si>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</si>
  <si>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</si>
  <si>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</si>
  <si>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</si>
  <si>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</si>
  <si>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Palau</t>
  </si>
  <si>
    <t>PW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</si>
  <si>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</si>
  <si>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</si>
  <si>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</si>
  <si>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</si>
  <si>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</si>
  <si>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</si>
  <si>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</si>
  <si>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</si>
  <si>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</si>
  <si>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</si>
  <si>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</si>
  <si>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</si>
  <si>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</si>
  <si>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</si>
  <si>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U.S. Virgin Islands</t>
  </si>
  <si>
    <t>VI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</si>
  <si>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</si>
  <si>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</si>
  <si>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</si>
  <si>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</si>
  <si>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</si>
  <si>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</si>
  <si>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</si>
  <si>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</si>
  <si>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</si>
  <si>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</si>
  <si>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</si>
  <si>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</si>
  <si>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</si>
  <si>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</si>
  <si>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dstStartRule2</t>
  </si>
  <si>
    <t>dstEndRule2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</si>
</sst>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\ AM/PM"/>
  </numFmts>
  <fonts count="20" x14ac:knownFonts="1">
    <font>
      <sz val="11"/>
      <color indexed="8"/>
      <name val="Calibri"/>
      <family val="2"/>
    </font>
    <font>
      <sz val="9"/>
      <color indexed="8"/>
      <name val="Calibri"/>
      <family val="2"/>
    </font>
    <font>
      <b/>
      <i/>
      <sz val="9"/>
      <color indexed="10"/>
      <name val="Calibri"/>
      <family val="2"/>
    </font>
    <font>
      <u/>
      <sz val="11"/>
      <color indexed="30"/>
      <name val="Calibri"/>
      <family val="2"/>
    </font>
    <font>
      <sz val="11"/>
      <color indexed="8"/>
      <name val="Courier New"/>
      <family val="3"/>
    </font>
    <font>
      <sz val="11"/>
      <color indexed="23"/>
      <name val="Calibri"/>
      <family val="2"/>
    </font>
    <font>
      <sz val="11"/>
      <color indexed="9"/>
      <name val="Calibri"/>
      <family val="2"/>
    </font>
    <font>
      <i/>
      <sz val="10"/>
      <color indexed="8"/>
      <name val="Calibri"/>
      <family val="2"/>
    </font>
    <font>
      <sz val="9"/>
      <color indexed="63"/>
      <name val="Calibri"/>
      <family val="2"/>
    </font>
    <font>
      <i/>
      <sz val="9"/>
      <color indexed="63"/>
      <name val="Calibri"/>
      <family val="2"/>
    </font>
    <font>
      <i/>
      <sz val="9"/>
      <color indexed="23"/>
      <name val="Calibri"/>
      <family val="2"/>
    </font>
    <font>
      <sz val="9"/>
      <color indexed="55"/>
      <name val="Calibri"/>
      <family val="2"/>
    </font>
    <font>
      <sz val="11"/>
      <color indexed="63"/>
      <name val="Calibri"/>
      <family val="2"/>
    </font>
    <font>
      <sz val="11"/>
      <color indexed="55"/>
      <name val="Calibri"/>
      <family val="2"/>
    </font>
    <font>
      <sz val="8"/>
      <color indexed="8"/>
      <name val="Segoe UI"/>
      <family val="2"/>
    </font>
    <font>
      <b/>
      <sz val="8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sz val="10"/>
      <color indexed="63"/>
      <name val="Arial"/>
      <family val="2"/>
    </font>
    <font>
      <sz val="11"/>
      <color indexed="14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6"/>
        <bgColor indexed="22"/>
      </patternFill>
    </fill>
    <fill>
      <patternFill patternType="solid">
        <fgColor indexed="8"/>
        <bgColor indexed="58"/>
      </patternFill>
    </fill>
    <fill>
      <patternFill patternType="solid">
        <fgColor indexed="26"/>
        <bgColor indexed="9"/>
      </patternFill>
    </fill>
    <fill>
      <patternFill patternType="solid">
        <fgColor indexed="23"/>
        <bgColor indexed="55"/>
      </patternFill>
    </fill>
    <fill>
      <patternFill patternType="solid">
        <fgColor indexed="55"/>
        <bgColor indexed="24"/>
      </patternFill>
    </fill>
    <fill>
      <patternFill patternType="solid">
        <fgColor indexed="50"/>
        <bgColor indexed="51"/>
      </patternFill>
    </fill>
    <fill>
      <patternFill patternType="solid">
        <fgColor indexed="27"/>
        <bgColor indexed="41"/>
      </patternFill>
    </fill>
    <fill>
      <patternFill patternType="solid">
        <fgColor indexed="24"/>
        <bgColor indexed="55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46"/>
      </patternFill>
    </fill>
    <fill>
      <patternFill patternType="solid">
        <fgColor indexed="29"/>
        <bgColor indexed="45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vertical="top" wrapText="1"/>
    </xf>
    <xf numFmtId="0" fontId="0" fillId="3" borderId="2" xfId="0" applyFill="1" applyBorder="1" applyAlignment="1" applyProtection="1">
      <alignment horizontal="center" vertical="top"/>
    </xf>
    <xf numFmtId="0" fontId="2" fillId="4" borderId="2" xfId="0" applyFont="1" applyFill="1" applyBorder="1" applyAlignment="1">
      <alignment horizontal="center"/>
    </xf>
    <xf numFmtId="0" fontId="0" fillId="5" borderId="2" xfId="0" applyFont="1" applyFill="1" applyBorder="1" applyAlignment="1" applyProtection="1">
      <alignment horizontal="center" vertical="top"/>
      <protection locked="0"/>
    </xf>
    <xf numFmtId="0" fontId="1" fillId="4" borderId="2" xfId="0" applyFont="1" applyFill="1" applyBorder="1" applyAlignment="1">
      <alignment horizontal="center"/>
    </xf>
    <xf numFmtId="0" fontId="3" fillId="5" borderId="2" xfId="0" applyFont="1" applyFill="1" applyBorder="1" applyAlignment="1" applyProtection="1">
      <alignment horizontal="center" vertical="top"/>
      <protection locked="0"/>
    </xf>
    <xf numFmtId="0" fontId="0" fillId="2" borderId="3" xfId="0" applyFont="1" applyFill="1" applyBorder="1" applyAlignment="1">
      <alignment vertical="top" wrapText="1"/>
    </xf>
    <xf numFmtId="0" fontId="0" fillId="5" borderId="2" xfId="0" applyFont="1" applyFill="1" applyBorder="1" applyAlignment="1">
      <alignment horizontal="center" vertical="top"/>
    </xf>
    <xf numFmtId="0" fontId="1" fillId="6" borderId="2" xfId="0" applyFont="1" applyFill="1" applyBorder="1" applyAlignment="1">
      <alignment horizontal="center" vertical="top" wrapText="1"/>
    </xf>
    <xf numFmtId="0" fontId="0" fillId="5" borderId="2" xfId="0" applyFill="1" applyBorder="1" applyAlignment="1" applyProtection="1">
      <alignment horizontal="center" vertical="top"/>
      <protection locked="0"/>
    </xf>
    <xf numFmtId="0" fontId="0" fillId="7" borderId="2" xfId="0" applyFill="1" applyBorder="1" applyAlignment="1" applyProtection="1">
      <alignment horizontal="center" vertical="top"/>
    </xf>
    <xf numFmtId="0" fontId="4" fillId="7" borderId="2" xfId="0" applyFont="1" applyFill="1" applyBorder="1" applyAlignment="1" applyProtection="1">
      <alignment horizontal="center" vertical="top"/>
    </xf>
    <xf numFmtId="164" fontId="5" fillId="6" borderId="2" xfId="0" applyNumberFormat="1" applyFont="1" applyFill="1" applyBorder="1" applyAlignment="1">
      <alignment horizontal="center" vertical="top" wrapText="1"/>
    </xf>
    <xf numFmtId="0" fontId="7" fillId="8" borderId="2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9" borderId="2" xfId="0" applyFill="1" applyBorder="1" applyAlignment="1">
      <alignment vertical="top" wrapText="1"/>
    </xf>
    <xf numFmtId="0" fontId="0" fillId="9" borderId="2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ont="1" applyFill="1" applyBorder="1" applyAlignment="1">
      <alignment vertical="top" wrapText="1"/>
    </xf>
    <xf numFmtId="0" fontId="0" fillId="4" borderId="2" xfId="0" applyFill="1" applyBorder="1" applyAlignment="1">
      <alignment horizontal="center" vertical="top"/>
    </xf>
    <xf numFmtId="0" fontId="0" fillId="7" borderId="2" xfId="0" applyFont="1" applyFill="1" applyBorder="1" applyAlignment="1">
      <alignment vertical="top" wrapText="1"/>
    </xf>
    <xf numFmtId="0" fontId="0" fillId="7" borderId="2" xfId="0" applyNumberForma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1" fillId="4" borderId="2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vertical="top" wrapText="1"/>
    </xf>
    <xf numFmtId="0" fontId="10" fillId="4" borderId="2" xfId="0" applyFont="1" applyFill="1" applyBorder="1" applyAlignment="1">
      <alignment horizontal="center" vertical="top" wrapText="1"/>
    </xf>
    <xf numFmtId="0" fontId="1" fillId="10" borderId="2" xfId="0" applyFont="1" applyFill="1" applyBorder="1" applyAlignment="1">
      <alignment vertical="top" wrapText="1"/>
    </xf>
    <xf numFmtId="0" fontId="0" fillId="10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2" xfId="0" applyNumberFormat="1" applyFill="1" applyBorder="1" applyAlignment="1">
      <alignment horizontal="center" vertical="top" wrapText="1"/>
    </xf>
    <xf numFmtId="0" fontId="0" fillId="2" borderId="2" xfId="0" applyFill="1" applyBorder="1" applyAlignment="1" applyProtection="1">
      <alignment horizontal="center" vertical="top" wrapText="1"/>
    </xf>
    <xf numFmtId="0" fontId="0" fillId="11" borderId="7" xfId="0" applyFont="1" applyFill="1" applyBorder="1" applyAlignment="1">
      <alignment vertical="top" wrapText="1"/>
    </xf>
    <xf numFmtId="0" fontId="0" fillId="11" borderId="0" xfId="0" applyFill="1"/>
    <xf numFmtId="0" fontId="1" fillId="11" borderId="0" xfId="0" applyFont="1" applyFill="1" applyAlignment="1">
      <alignment horizontal="center"/>
    </xf>
    <xf numFmtId="0" fontId="14" fillId="11" borderId="0" xfId="0" applyFont="1" applyFill="1"/>
    <xf numFmtId="0" fontId="6" fillId="0" borderId="0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6" fillId="0" borderId="0" xfId="0" applyFont="1"/>
    <xf numFmtId="0" fontId="17" fillId="0" borderId="2" xfId="0" applyFont="1" applyBorder="1" applyAlignment="1">
      <alignment horizontal="center"/>
    </xf>
    <xf numFmtId="3" fontId="17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top"/>
    </xf>
    <xf numFmtId="0" fontId="18" fillId="0" borderId="0" xfId="0" applyFont="1" applyAlignment="1">
      <alignment horizontal="left"/>
    </xf>
    <xf numFmtId="0" fontId="19" fillId="0" borderId="0" xfId="0" applyFont="1"/>
    <xf numFmtId="0" fontId="0" fillId="2" borderId="1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0" fillId="13" borderId="2" xfId="0" applyFill="1" applyBorder="1" applyAlignment="1">
      <alignment wrapText="1"/>
    </xf>
    <xf numFmtId="0" fontId="0" fillId="1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/>
    </xf>
  </cellXfs>
  <cellStyles count="1">
    <cellStyle name="Normal" xfId="0" builtinId="0"/>
  </cellStyles>
  <dxfs count="4">
    <dxf>
      <font>
        <b val="0"/>
        <condense val="0"/>
        <extend val="0"/>
        <sz val="11"/>
        <color indexed="8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52"/>
          <bgColor indexed="53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26"/>
          <bgColor indexed="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9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2B2B2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rdanford@doth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opLeftCell="A16" zoomScale="98" zoomScaleNormal="98" workbookViewId="0">
      <selection activeCell="A210" sqref="A210"/>
    </sheetView>
  </sheetViews>
  <sheetFormatPr defaultRowHeight="15" x14ac:dyDescent="0.25"/>
  <cols>
    <col min="1" max="1" width="42.7109375" customWidth="1"/>
    <col min="2" max="2" width="58.42578125" customWidth="1"/>
    <col min="3" max="3" width="26.140625" style="1" customWidth="1"/>
    <col min="4" max="4" width="20.7109375" customWidth="1"/>
  </cols>
  <sheetData>
    <row r="1" spans="1:3" ht="14.45" customHeight="1" x14ac:dyDescent="0.25">
      <c r="A1" s="67" t="s">
        <v>0</v>
      </c>
      <c r="B1" s="67"/>
      <c r="C1" s="67"/>
    </row>
    <row r="2" spans="1:3" x14ac:dyDescent="0.25">
      <c r="A2" s="2" t="s">
        <v>1</v>
      </c>
      <c r="B2" s="3" t="str">
        <f>CustomerFreqs!B2</f>
        <v>Dothan, City of (AL)</v>
      </c>
      <c r="C2" s="4" t="s">
        <v>2</v>
      </c>
    </row>
    <row r="3" spans="1:3" x14ac:dyDescent="0.25">
      <c r="A3" s="2" t="s">
        <v>3</v>
      </c>
      <c r="B3" s="5" t="s">
        <v>4</v>
      </c>
      <c r="C3" s="6"/>
    </row>
    <row r="4" spans="1:3" x14ac:dyDescent="0.25">
      <c r="A4" s="2" t="s">
        <v>5</v>
      </c>
      <c r="B4" s="5" t="s">
        <v>6</v>
      </c>
      <c r="C4" s="6"/>
    </row>
    <row r="5" spans="1:3" x14ac:dyDescent="0.25">
      <c r="A5" s="2" t="s">
        <v>7</v>
      </c>
      <c r="B5" s="5" t="s">
        <v>8</v>
      </c>
      <c r="C5" s="6"/>
    </row>
    <row r="6" spans="1:3" x14ac:dyDescent="0.25">
      <c r="A6" s="2" t="s">
        <v>9</v>
      </c>
      <c r="B6" s="5" t="s">
        <v>10</v>
      </c>
      <c r="C6" s="6"/>
    </row>
    <row r="7" spans="1:3" x14ac:dyDescent="0.25">
      <c r="A7" s="2" t="s">
        <v>11</v>
      </c>
      <c r="B7" s="5" t="s">
        <v>12</v>
      </c>
      <c r="C7" s="6"/>
    </row>
    <row r="8" spans="1:3" x14ac:dyDescent="0.25">
      <c r="A8" s="2" t="s">
        <v>13</v>
      </c>
      <c r="B8" s="5">
        <v>36301</v>
      </c>
      <c r="C8" s="6"/>
    </row>
    <row r="9" spans="1:3" x14ac:dyDescent="0.25">
      <c r="A9" s="2" t="s">
        <v>14</v>
      </c>
      <c r="B9" s="5" t="s">
        <v>15</v>
      </c>
      <c r="C9" s="6"/>
    </row>
    <row r="10" spans="1:3" x14ac:dyDescent="0.25">
      <c r="A10" s="2" t="s">
        <v>16</v>
      </c>
      <c r="B10" s="7" t="s">
        <v>17</v>
      </c>
      <c r="C10" s="6"/>
    </row>
    <row r="11" spans="1:3" x14ac:dyDescent="0.25">
      <c r="A11" s="8" t="s">
        <v>18</v>
      </c>
      <c r="B11" s="5" t="s">
        <v>19</v>
      </c>
      <c r="C11" s="6"/>
    </row>
    <row r="12" spans="1:3" x14ac:dyDescent="0.25">
      <c r="A12" s="2" t="s">
        <v>20</v>
      </c>
      <c r="B12" s="5" t="s">
        <v>21</v>
      </c>
      <c r="C12" s="6"/>
    </row>
    <row r="13" spans="1:3" x14ac:dyDescent="0.25">
      <c r="A13" s="2" t="str">
        <f>"DTLS Bypass Mode Allowed [Default is No"&amp;IF(B13="Yes",", *WARN*","")&amp;"]"</f>
        <v>DTLS Bypass Mode Allowed [Default is No]</v>
      </c>
      <c r="B13" s="9" t="s">
        <v>22</v>
      </c>
      <c r="C13" s="6"/>
    </row>
    <row r="14" spans="1:3" x14ac:dyDescent="0.25">
      <c r="A14" s="2" t="s">
        <v>23</v>
      </c>
      <c r="B14" s="5" t="s">
        <v>24</v>
      </c>
      <c r="C14" s="6"/>
    </row>
    <row r="15" spans="1:3" ht="24" x14ac:dyDescent="0.25">
      <c r="A15" s="2" t="s">
        <v>25</v>
      </c>
      <c r="B15" s="5">
        <v>0</v>
      </c>
      <c r="C15" s="10" t="s">
        <v>26</v>
      </c>
    </row>
    <row r="16" spans="1:3" x14ac:dyDescent="0.25">
      <c r="A16" s="2" t="str">
        <f>"Automatic Demand Reset ["&amp;IF(B16="Default",1,IF(OR(B16&lt;1,B16&gt;28),"ERROR",B16))&amp;" day]"</f>
        <v>Automatic Demand Reset [1 day]</v>
      </c>
      <c r="B16" s="5" t="s">
        <v>27</v>
      </c>
      <c r="C16" s="6"/>
    </row>
    <row r="17" spans="1:3" ht="24" x14ac:dyDescent="0.25">
      <c r="A17" s="2" t="str">
        <f>"Outage Last Gasp Delay ["&amp;IF(B17&lt;0,"ERROR Min 0s",IF(B17&gt;300,"ERROR Max 300s",B17&amp;"s, Default: 30s"))&amp;"]"</f>
        <v>Outage Last Gasp Delay [30s, Default: 30s]</v>
      </c>
      <c r="B17" s="5">
        <v>30</v>
      </c>
      <c r="C17" s="10" t="s">
        <v>26</v>
      </c>
    </row>
    <row r="18" spans="1:3" x14ac:dyDescent="0.25">
      <c r="A18" s="2" t="str">
        <f>"Restoration Delay ["&amp;IF(B18&lt;1,"ERROR Min 1s",IF(B18&gt;300,"ERROR Max 300s",B18&amp;"s, Default: 15s"))&amp;"]"</f>
        <v>Restoration Delay [15s, Default: 15s]</v>
      </c>
      <c r="B18" s="5">
        <v>15</v>
      </c>
      <c r="C18" s="10"/>
    </row>
    <row r="19" spans="1:3" x14ac:dyDescent="0.25">
      <c r="A19" s="2" t="s">
        <v>28</v>
      </c>
      <c r="B19" s="5" t="s">
        <v>29</v>
      </c>
      <c r="C19" s="10"/>
    </row>
    <row r="20" spans="1:3" x14ac:dyDescent="0.25">
      <c r="A20" s="2" t="s">
        <v>30</v>
      </c>
      <c r="B20" s="5" t="s">
        <v>29</v>
      </c>
      <c r="C20" s="10"/>
    </row>
    <row r="21" spans="1:3" x14ac:dyDescent="0.25">
      <c r="A21" s="2" t="s">
        <v>31</v>
      </c>
      <c r="B21" s="5" t="s">
        <v>29</v>
      </c>
      <c r="C21" s="10"/>
    </row>
    <row r="22" spans="1:3" x14ac:dyDescent="0.25">
      <c r="A22" s="2" t="s">
        <v>32</v>
      </c>
      <c r="B22" s="5" t="s">
        <v>29</v>
      </c>
      <c r="C22" s="10"/>
    </row>
    <row r="23" spans="1:3" ht="30" x14ac:dyDescent="0.25">
      <c r="A23" s="2" t="s">
        <v>33</v>
      </c>
      <c r="B23" s="5" t="s">
        <v>29</v>
      </c>
      <c r="C23" s="10"/>
    </row>
    <row r="24" spans="1:3" x14ac:dyDescent="0.25">
      <c r="A24" s="2" t="str">
        <f>"DCU T-Boards ["&amp;IF(B24=2,"DCU2+","DCU2")&amp;"]"</f>
        <v>DCU T-Boards [DCU2+]</v>
      </c>
      <c r="B24" s="11">
        <v>2</v>
      </c>
      <c r="C24" s="10"/>
    </row>
    <row r="25" spans="1:3" x14ac:dyDescent="0.25">
      <c r="A25" s="2" t="s">
        <v>34</v>
      </c>
      <c r="B25" s="5" t="s">
        <v>22</v>
      </c>
      <c r="C25" s="10"/>
    </row>
    <row r="26" spans="1:3" x14ac:dyDescent="0.25">
      <c r="A26" s="2" t="s">
        <v>35</v>
      </c>
      <c r="B26" s="5"/>
      <c r="C26" s="10" t="s">
        <v>36</v>
      </c>
    </row>
    <row r="27" spans="1:3" x14ac:dyDescent="0.25">
      <c r="A27" s="2" t="s">
        <v>37</v>
      </c>
      <c r="B27" s="5"/>
      <c r="C27" s="10" t="s">
        <v>36</v>
      </c>
    </row>
    <row r="28" spans="1:3" x14ac:dyDescent="0.25">
      <c r="A28" s="2" t="s">
        <v>38</v>
      </c>
      <c r="B28" s="12">
        <f>CustomerFreqs!A2</f>
        <v>169811</v>
      </c>
      <c r="C28" s="10" t="s">
        <v>39</v>
      </c>
    </row>
    <row r="29" spans="1:3" x14ac:dyDescent="0.25">
      <c r="A29" s="2" t="s">
        <v>40</v>
      </c>
      <c r="B29" s="13" t="s">
        <v>41</v>
      </c>
      <c r="C29" s="10"/>
    </row>
    <row r="30" spans="1:3" x14ac:dyDescent="0.25">
      <c r="A30" s="2" t="s">
        <v>42</v>
      </c>
      <c r="B30" s="12" t="str">
        <f>CONCATENATE(B28,B29)</f>
        <v>169811EF00001</v>
      </c>
      <c r="C30" s="14">
        <f ca="1">NOW()</f>
        <v>44756.504123148145</v>
      </c>
    </row>
    <row r="31" spans="1:3" ht="14.45" customHeight="1" x14ac:dyDescent="0.25">
      <c r="A31" s="68" t="s">
        <v>43</v>
      </c>
      <c r="B31" s="68"/>
      <c r="C31" s="6"/>
    </row>
    <row r="32" spans="1:3" ht="30" x14ac:dyDescent="0.25">
      <c r="A32" s="2" t="s">
        <v>44</v>
      </c>
      <c r="B32" s="15" t="str">
        <f>IF(B12="Manufacturer","None","DER X.509v3 security certificate chain (SHA-256 ECC P-256).  Security certificate chain must include a common root certificate authority and can optionally include one subordinate certificate authority. Each certificate must be 450 bytes or less in size")</f>
        <v>None</v>
      </c>
      <c r="C32" s="6"/>
    </row>
    <row r="33" spans="1:3" x14ac:dyDescent="0.25">
      <c r="A33" s="8" t="s">
        <v>45</v>
      </c>
      <c r="B33" s="16" t="str">
        <f>DTLS!B12</f>
        <v>Data Looks Ok</v>
      </c>
      <c r="C33" s="6"/>
    </row>
    <row r="34" spans="1:3" ht="30" x14ac:dyDescent="0.25">
      <c r="A34" s="8" t="str">
        <f>"DTLS Bypass Allowed [DTLS_FIELD_TRIAL="&amp;IF(B13="Yes","True","False")&amp;"]"</f>
        <v>DTLS Bypass Allowed [DTLS_FIELD_TRIAL=False]</v>
      </c>
      <c r="B34" s="16" t="str">
        <f>IF(B13="Yes","Firmware Build Switch Allowed","Firmware Build Switch Not Allowed")</f>
        <v>Firmware Build Switch Not Allowed</v>
      </c>
      <c r="C34" s="6"/>
    </row>
    <row r="35" spans="1:3" x14ac:dyDescent="0.25">
      <c r="A35" s="8" t="s">
        <v>46</v>
      </c>
      <c r="B35" s="16" t="str">
        <f>IF(B68+B67+B66&gt;B65,"Error: More Radio Assets Needed",B81)</f>
        <v>STAR 2400 Legacy,STAR 2400,STAR 7200,SRFN,DA</v>
      </c>
      <c r="C35" s="6"/>
    </row>
    <row r="36" spans="1:3" ht="14.45" customHeight="1" x14ac:dyDescent="0.25">
      <c r="A36" s="68" t="s">
        <v>47</v>
      </c>
      <c r="B36" s="68"/>
      <c r="C36" s="6"/>
    </row>
    <row r="37" spans="1:3" x14ac:dyDescent="0.25">
      <c r="A37" s="2" t="s">
        <v>48</v>
      </c>
      <c r="B37" s="17" t="str">
        <f>VLOOKUP(B4,LocationList!A$2:B$150,2,FALSE)</f>
        <v>US</v>
      </c>
      <c r="C37" s="6"/>
    </row>
    <row r="38" spans="1:3" x14ac:dyDescent="0.25">
      <c r="A38" s="2" t="s">
        <v>49</v>
      </c>
      <c r="B38" s="17" t="str">
        <f>VLOOKUP(B5,LocationList!J$2:K$150,2,FALSE)</f>
        <v>AL</v>
      </c>
      <c r="C38" s="6"/>
    </row>
    <row r="39" spans="1:3" x14ac:dyDescent="0.25">
      <c r="A39" s="2" t="s">
        <v>50</v>
      </c>
      <c r="B39" s="17" t="str">
        <f>B6&amp;IF(LEN(B38)&gt;1,", "&amp;B38)&amp;IF(LEN(B8)&gt;1," "&amp;B8,"")</f>
        <v>Dothan, AL 36301</v>
      </c>
      <c r="C39" s="6"/>
    </row>
    <row r="40" spans="1:3" ht="14.45" customHeight="1" x14ac:dyDescent="0.25">
      <c r="A40" s="68" t="s">
        <v>51</v>
      </c>
      <c r="B40" s="68"/>
      <c r="C40" s="6"/>
    </row>
    <row r="41" spans="1:3" x14ac:dyDescent="0.25">
      <c r="A41" s="18" t="str">
        <f>"Certificate Organization ["&amp;IF(LEN(B41)&gt;20,"Trimmed to ","")&amp;"20 Char max]"</f>
        <v>Certificate Organization [20 Char max]</v>
      </c>
      <c r="B41" s="19" t="str">
        <f>LEFT(B2,20)</f>
        <v>Dothan, City of (AL)</v>
      </c>
      <c r="C41" s="6"/>
    </row>
    <row r="42" spans="1:3" x14ac:dyDescent="0.25">
      <c r="A42" s="18" t="str">
        <f>"Certificate Country"&amp;IF(LEN(B37)&gt;2,"ERROR:ISO CODE TOO LONG","")</f>
        <v>Certificate Country</v>
      </c>
      <c r="B42" s="19" t="str">
        <f>IF(LEN(B37)&gt;2,"ERROR:ISO CODE TOO LONG",B37)</f>
        <v>US</v>
      </c>
      <c r="C42" s="6"/>
    </row>
    <row r="43" spans="1:3" x14ac:dyDescent="0.25">
      <c r="A43" s="18" t="str">
        <f>"Certificate State "&amp;IF(LEN(B5)&gt;14,"[TRIMMED to 14)","")</f>
        <v xml:space="preserve">Certificate State </v>
      </c>
      <c r="B43" s="19" t="str">
        <f>LEFT(B5,14)</f>
        <v>Alabama</v>
      </c>
      <c r="C43" s="6"/>
    </row>
    <row r="44" spans="1:3" x14ac:dyDescent="0.25">
      <c r="A44" s="18" t="str">
        <f>"Certificate Locality Name"&amp;IF(LEN(B6)&gt;14,"[TRIMMED to 14)","")</f>
        <v>Certificate Locality Name</v>
      </c>
      <c r="B44" s="19" t="str">
        <f>LEFT(B6,14)</f>
        <v>Dothan</v>
      </c>
      <c r="C44" s="6"/>
    </row>
    <row r="45" spans="1:3" ht="14.45" customHeight="1" x14ac:dyDescent="0.25">
      <c r="A45" s="68" t="s">
        <v>52</v>
      </c>
      <c r="B45" s="68"/>
      <c r="C45" s="6"/>
    </row>
    <row r="46" spans="1:3" x14ac:dyDescent="0.25">
      <c r="A46" s="18" t="s">
        <v>53</v>
      </c>
      <c r="B46" s="20">
        <f>IF(B$21="Yes",IF(ISERROR(INDEX(CustomerFreqs!J$2:J$33,MATCH("F2",CustomerFreqs!K$2:K$33,0))),"",INDEX(CustomerFreqs!J$2:J$33,MATCH("F2",CustomerFreqs!K$2:K$33,0))),"")</f>
        <v>467.51249999999999</v>
      </c>
      <c r="C46" s="21">
        <f>IF(ISERROR(INDEX(CustomerFreqs!J$2:J$33,MATCH("F2",CustomerFreqs!K$2:K$33,0))),"",INDEX(CustomerFreqs!J$2:J$33,MATCH("F2",CustomerFreqs!K$2:K$33,0)))</f>
        <v>467.51249999999999</v>
      </c>
    </row>
    <row r="47" spans="1:3" x14ac:dyDescent="0.25">
      <c r="A47" s="18" t="s">
        <v>54</v>
      </c>
      <c r="B47" s="20">
        <f>IF(ISERROR(INDEX(CustomerFreqs!J$2:J$33,MATCH("OUTBOUND",CustomerFreqs!K$2:K$33,0))),"",INDEX(CustomerFreqs!J$2:J$33,MATCH("OUTBOUND",CustomerFreqs!K$2:K$33,0)))</f>
        <v>462.41250000000002</v>
      </c>
      <c r="C47" s="21">
        <f>IF(ISERROR(INDEX(CustomerFreqs!J$2:J$33,MATCH("OUTBOUND",CustomerFreqs!K$2:K$33,0))),"",INDEX(CustomerFreqs!J$2:J$33,MATCH("OUTBOUND",CustomerFreqs!K$2:K$33,0)))</f>
        <v>462.41250000000002</v>
      </c>
    </row>
    <row r="48" spans="1:3" x14ac:dyDescent="0.25">
      <c r="A48" s="18" t="s">
        <v>55</v>
      </c>
      <c r="B48" s="20">
        <f>IF(ISERROR(INDEX(CustomerFreqs!J$2:J$33,MATCH("F1",CustomerFreqs!K$2:K$33,0))),"",INDEX(CustomerFreqs!J$2:J$33,MATCH("F1",CustomerFreqs!K$2:K$33,0)))</f>
        <v>457.66250000000002</v>
      </c>
      <c r="C48" s="21">
        <f>IF(ISERROR(INDEX(CustomerFreqs!J$2:J$33,MATCH("F1",CustomerFreqs!K$2:K$33,0))),"",INDEX(CustomerFreqs!J$2:J$33,MATCH("F1",CustomerFreqs!K$2:K$33,0)))</f>
        <v>457.66250000000002</v>
      </c>
    </row>
    <row r="49" spans="1:5" x14ac:dyDescent="0.25">
      <c r="A49" s="18" t="s">
        <v>56</v>
      </c>
      <c r="B49" s="19">
        <f>IF(ISERROR(SMALL($C$49:$C$64,1)),"",SMALL($C$49:$C$64,1))</f>
        <v>456.28750000000002</v>
      </c>
      <c r="C49" s="22">
        <f>IF(ISERROR(INDEX(CustomerFreqs!J$2:J$33,MATCH("INBOUND",CustomerFreqs!K$2:K$33,0))),"",INDEX(CustomerFreqs!J$2:J$33,MATCH("INBOUND",CustomerFreqs!K$2:K$33,0)))</f>
        <v>456.28750000000002</v>
      </c>
    </row>
    <row r="50" spans="1:5" x14ac:dyDescent="0.25">
      <c r="A50" s="18" t="s">
        <v>57</v>
      </c>
      <c r="B50" s="19">
        <f>IF(ISERROR(SMALL($C$49:$C$64,2)),"",SMALL($C$49:$C$64,2))</f>
        <v>456.3125</v>
      </c>
      <c r="C50" s="22">
        <f>IF(ISERROR(INDEX(INDEX(CustomerFreqs!$J:$J,MATCH(C49,CustomerFreqs!J$1:J$33,0)+1):'CustomerFreqs'!J$33,MATCH("INBOUND",INDEX(CustomerFreqs!$K$1:$K$150,MATCH(C49,CustomerFreqs!J$1:J$33,0)+1):'CustomerFreqs'!K$33,0))),"",INDEX(INDEX(CustomerFreqs!$J:$J,MATCH(C49,CustomerFreqs!J$1:J$33,0)+1):'CustomerFreqs'!J$33,MATCH("INBOUND",INDEX(CustomerFreqs!$K$1:$K$150,MATCH(C49,CustomerFreqs!J$1:J$33,0)+1):'CustomerFreqs'!K$33,0)))</f>
        <v>456.3125</v>
      </c>
      <c r="E50" s="23"/>
    </row>
    <row r="51" spans="1:5" x14ac:dyDescent="0.25">
      <c r="A51" s="18" t="s">
        <v>58</v>
      </c>
      <c r="B51" s="19">
        <f>IF(ISERROR(SMALL($C$49:$C$64,3)),"",SMALL($C$49:$C$64,3))</f>
        <v>456.33749999999998</v>
      </c>
      <c r="C51" s="22">
        <f>IF(ISERROR(INDEX(INDEX(CustomerFreqs!$J:$J,MATCH(C50,CustomerFreqs!J$1:J$33,0)+1):'CustomerFreqs'!J$33,MATCH("INBOUND",INDEX(CustomerFreqs!$K$1:$K$150,MATCH(C50,CustomerFreqs!J$1:J$33,0)+1):'CustomerFreqs'!K$33,0))),"",INDEX(INDEX(CustomerFreqs!$J:$J,MATCH(C50,CustomerFreqs!J$1:J$33,0)+1):'CustomerFreqs'!J$33,MATCH("INBOUND",INDEX(CustomerFreqs!$K$1:$K$150,MATCH(C50,CustomerFreqs!J$1:J$33,0)+1):'CustomerFreqs'!K$33,0)))</f>
        <v>456.48750000000001</v>
      </c>
      <c r="E51" s="23"/>
    </row>
    <row r="52" spans="1:5" x14ac:dyDescent="0.25">
      <c r="A52" s="18" t="s">
        <v>59</v>
      </c>
      <c r="B52" s="19">
        <f>IF(ISERROR(SMALL($C$49:$C$64,4)),"",SMALL($C$49:$C$64,4))</f>
        <v>456.48750000000001</v>
      </c>
      <c r="C52" s="22">
        <f>IF(ISERROR(INDEX(INDEX(CustomerFreqs!$J:$J,MATCH(C51,CustomerFreqs!J$1:J$33,0)+1):'CustomerFreqs'!J$33,MATCH("INBOUND",INDEX(CustomerFreqs!$K$1:$K$150,MATCH(C51,CustomerFreqs!J$1:J$33,0)+1):'CustomerFreqs'!K$33,0))),"",INDEX(INDEX(CustomerFreqs!$J:$J,MATCH(C51,CustomerFreqs!J$1:J$33,0)+1):'CustomerFreqs'!J$33,MATCH("INBOUND",INDEX(CustomerFreqs!$K$1:$K$150,MATCH(C51,CustomerFreqs!J$1:J$33,0)+1):'CustomerFreqs'!K$33,0)))</f>
        <v>456.6875</v>
      </c>
    </row>
    <row r="53" spans="1:5" x14ac:dyDescent="0.25">
      <c r="A53" s="18" t="s">
        <v>60</v>
      </c>
      <c r="B53" s="19">
        <f>IF(ISERROR(SMALL($C$49:$C$64,5)),"",SMALL($C$49:$C$64,5))</f>
        <v>456.6875</v>
      </c>
      <c r="C53" s="22">
        <f>IF(ISERROR(INDEX(INDEX(CustomerFreqs!$J:$J,MATCH(C52,CustomerFreqs!J$1:J$33,0)+1):'CustomerFreqs'!J$33,MATCH("INBOUND",INDEX(CustomerFreqs!$K$1:$K$150,MATCH(C52,CustomerFreqs!J$1:J$33,0)+1):'CustomerFreqs'!K$33,0))),"",INDEX(INDEX(CustomerFreqs!$J:$J,MATCH(C52,CustomerFreqs!J$1:J$33,0)+1):'CustomerFreqs'!J$33,MATCH("INBOUND",INDEX(CustomerFreqs!$K$1:$K$150,MATCH(C52,CustomerFreqs!J$1:J$33,0)+1):'CustomerFreqs'!K$33,0)))</f>
        <v>456.73750000000001</v>
      </c>
    </row>
    <row r="54" spans="1:5" x14ac:dyDescent="0.25">
      <c r="A54" s="18" t="s">
        <v>61</v>
      </c>
      <c r="B54" s="19">
        <f>IF(ISERROR(SMALL($C$49:$C$64,6)),"",SMALL($C$49:$C$64,6))</f>
        <v>456.73750000000001</v>
      </c>
      <c r="C54" s="22">
        <f>IF(ISERROR(INDEX(INDEX(CustomerFreqs!$J:$J,MATCH(C53,CustomerFreqs!J$1:J$33,0)+1):'CustomerFreqs'!J$33,MATCH("INBOUND",INDEX(CustomerFreqs!$K$1:$K$150,MATCH(C53,CustomerFreqs!J$1:J$33,0)+1):'CustomerFreqs'!K$33,0))),"",INDEX(INDEX(CustomerFreqs!$J:$J,MATCH(C53,CustomerFreqs!J$1:J$33,0)+1):'CustomerFreqs'!J$33,MATCH("INBOUND",INDEX(CustomerFreqs!$K$1:$K$150,MATCH(C53,CustomerFreqs!J$1:J$33,0)+1):'CustomerFreqs'!K$33,0)))</f>
        <v>457.16250000000002</v>
      </c>
    </row>
    <row r="55" spans="1:5" x14ac:dyDescent="0.25">
      <c r="A55" s="18" t="s">
        <v>62</v>
      </c>
      <c r="B55" s="19">
        <f>IF(ISERROR(SMALL($C$49:$C$64,7)),"",SMALL($C$49:$C$64,7))</f>
        <v>457.16250000000002</v>
      </c>
      <c r="C55" s="22">
        <f>IF(ISERROR(INDEX(INDEX(CustomerFreqs!$J:$J,MATCH(C54,CustomerFreqs!J$1:J$33,0)+1):'CustomerFreqs'!J$33,MATCH("INBOUND",INDEX(CustomerFreqs!$K$1:$K$150,MATCH(C54,CustomerFreqs!J$1:J$33,0)+1):'CustomerFreqs'!K$33,0))),"",INDEX(INDEX(CustomerFreqs!$J:$J,MATCH(C54,CustomerFreqs!J$1:J$33,0)+1):'CustomerFreqs'!J$33,MATCH("INBOUND",INDEX(CustomerFreqs!$K$1:$K$150,MATCH(C54,CustomerFreqs!J$1:J$33,0)+1):'CustomerFreqs'!K$33,0)))</f>
        <v>456.33749999999998</v>
      </c>
    </row>
    <row r="56" spans="1:5" x14ac:dyDescent="0.25">
      <c r="A56" s="18" t="s">
        <v>63</v>
      </c>
      <c r="B56" s="19" t="str">
        <f>IF(ISERROR(SMALL($C$49:$C$64,8)),"",SMALL($C$49:$C$64,8))</f>
        <v/>
      </c>
      <c r="C56" s="22" t="str">
        <f>IF(ISERROR(INDEX(INDEX(CustomerFreqs!$J:$J,MATCH(C55,CustomerFreqs!J$1:J$33,0)+1):'CustomerFreqs'!J$33,MATCH("INBOUND",INDEX(CustomerFreqs!$K$1:$K$150,MATCH(C55,CustomerFreqs!J$1:J$33,0)+1):'CustomerFreqs'!K$33,0))),"",INDEX(INDEX(CustomerFreqs!$J:$J,MATCH(C55,CustomerFreqs!J$1:J$33,0)+1):'CustomerFreqs'!J$33,MATCH("INBOUND",INDEX(CustomerFreqs!$K$1:$K$150,MATCH(C55,CustomerFreqs!J$1:J$33,0)+1):'CustomerFreqs'!K$33,0)))</f>
        <v/>
      </c>
    </row>
    <row r="57" spans="1:5" x14ac:dyDescent="0.25">
      <c r="A57" s="18" t="s">
        <v>64</v>
      </c>
      <c r="B57" s="19" t="str">
        <f>IF(ISERROR(SMALL($C$49:$C$64,9)),"",SMALL($C$49:$C$64,9))</f>
        <v/>
      </c>
      <c r="C57" s="22" t="str">
        <f>IF(ISERROR(INDEX(INDEX(CustomerFreqs!$J:$J,MATCH(C56,CustomerFreqs!J$1:J$33,0)+1):'CustomerFreqs'!J$33,MATCH("INBOUND",INDEX(CustomerFreqs!$K$1:$K$150,MATCH(C56,CustomerFreqs!J$1:J$33,0)+1):'CustomerFreqs'!K$33,0))),"",INDEX(INDEX(CustomerFreqs!$J:$J,MATCH(C56,CustomerFreqs!J$1:J$33,0)+1):'CustomerFreqs'!J$33,MATCH("INBOUND",INDEX(CustomerFreqs!$K$1:$K$150,MATCH(C56,CustomerFreqs!J$1:J$33,0)+1):'CustomerFreqs'!K$33,0)))</f>
        <v/>
      </c>
    </row>
    <row r="58" spans="1:5" x14ac:dyDescent="0.25">
      <c r="A58" s="18" t="s">
        <v>65</v>
      </c>
      <c r="B58" s="19" t="str">
        <f>IF(ISERROR(SMALL($C$49:$C$64,10)),"",SMALL($C$49:$C$64,10))</f>
        <v/>
      </c>
      <c r="C58" s="22" t="str">
        <f>IF(ISERROR(INDEX(INDEX(CustomerFreqs!$J:$J,MATCH(C57,CustomerFreqs!J$1:J$33,0)+1):'CustomerFreqs'!J$33,MATCH("INBOUND",INDEX(CustomerFreqs!$K$1:$K$150,MATCH(C57,CustomerFreqs!J$1:J$33,0)+1):'CustomerFreqs'!K$33,0))),"",INDEX(INDEX(CustomerFreqs!$J:$J,MATCH(C57,CustomerFreqs!J$1:J$33,0)+1):'CustomerFreqs'!J$33,MATCH("INBOUND",INDEX(CustomerFreqs!$K$1:$K$150,MATCH(C57,CustomerFreqs!J$1:J$33,0)+1):'CustomerFreqs'!K$33,0)))</f>
        <v/>
      </c>
    </row>
    <row r="59" spans="1:5" x14ac:dyDescent="0.25">
      <c r="A59" s="18" t="s">
        <v>66</v>
      </c>
      <c r="B59" s="19" t="str">
        <f>IF(ISERROR(SMALL($C$49:$C$64,11)),"",SMALL($C$49:$C$64,11))</f>
        <v/>
      </c>
      <c r="C59" s="22" t="str">
        <f>IF(ISERROR(INDEX(INDEX(CustomerFreqs!$J:$J,MATCH(C58,CustomerFreqs!J$1:J$33,0)+1):'CustomerFreqs'!J$33,MATCH("INBOUND",INDEX(CustomerFreqs!$K$1:$K$150,MATCH(C58,CustomerFreqs!J$1:J$33,0)+1):'CustomerFreqs'!K$33,0))),"",INDEX(INDEX(CustomerFreqs!$J:$J,MATCH(C58,CustomerFreqs!J$1:J$33,0)+1):'CustomerFreqs'!J$33,MATCH("INBOUND",INDEX(CustomerFreqs!$K$1:$K$150,MATCH(C58,CustomerFreqs!J$1:J$33,0)+1):'CustomerFreqs'!K$33,0)))</f>
        <v/>
      </c>
    </row>
    <row r="60" spans="1:5" x14ac:dyDescent="0.25">
      <c r="A60" s="18" t="s">
        <v>67</v>
      </c>
      <c r="B60" s="19" t="str">
        <f>IF(ISERROR(SMALL($C$49:$C$64,12)),"",SMALL($C$49:$C$64,12))</f>
        <v/>
      </c>
      <c r="C60" s="22" t="str">
        <f>IF(ISERROR(INDEX(INDEX(CustomerFreqs!$J:$J,MATCH(C59,CustomerFreqs!J$1:J$33,0)+1):'CustomerFreqs'!J$33,MATCH("INBOUND",INDEX(CustomerFreqs!$K$1:$K$150,MATCH(C59,CustomerFreqs!J$1:J$33,0)+1):'CustomerFreqs'!K$33,0))),"",INDEX(INDEX(CustomerFreqs!$J:$J,MATCH(C59,CustomerFreqs!J$1:J$33,0)+1):'CustomerFreqs'!J$33,MATCH("INBOUND",INDEX(CustomerFreqs!$K$1:$K$150,MATCH(C59,CustomerFreqs!J$1:J$33,0)+1):'CustomerFreqs'!K$33,0)))</f>
        <v/>
      </c>
    </row>
    <row r="61" spans="1:5" x14ac:dyDescent="0.25">
      <c r="A61" s="18" t="s">
        <v>68</v>
      </c>
      <c r="B61" s="19" t="str">
        <f>IF(ISERROR(SMALL($C$49:$C$64,13)),"",SMALL($C$49:$C$64,13))</f>
        <v/>
      </c>
      <c r="C61" s="22" t="str">
        <f>IF(ISERROR(INDEX(INDEX(CustomerFreqs!$J:$J,MATCH(C60,CustomerFreqs!J$1:J$33,0)+1):'CustomerFreqs'!J$33,MATCH("INBOUND",INDEX(CustomerFreqs!$K$1:$K$150,MATCH(C60,CustomerFreqs!J$1:J$33,0)+1):'CustomerFreqs'!K$33,0))),"",INDEX(INDEX(CustomerFreqs!$J:$J,MATCH(C60,CustomerFreqs!J$1:J$33,0)+1):'CustomerFreqs'!J$33,MATCH("INBOUND",INDEX(CustomerFreqs!$K$1:$K$150,MATCH(C60,CustomerFreqs!J$1:J$33,0)+1):'CustomerFreqs'!K$33,0)))</f>
        <v/>
      </c>
    </row>
    <row r="62" spans="1:5" x14ac:dyDescent="0.25">
      <c r="A62" s="18" t="s">
        <v>69</v>
      </c>
      <c r="B62" s="19" t="str">
        <f>IF(ISERROR(SMALL($C$49:$C$64,14)),"",SMALL($C$49:$C$64,14))</f>
        <v/>
      </c>
      <c r="C62" s="22" t="str">
        <f>IF(ISERROR(INDEX(INDEX(CustomerFreqs!$J:$J,MATCH(C61,CustomerFreqs!J$1:J$33,0)+1):'CustomerFreqs'!J$33,MATCH("INBOUND",INDEX(CustomerFreqs!$K$1:$K$150,MATCH(C61,CustomerFreqs!J$1:J$33,0)+1):'CustomerFreqs'!K$33,0))),"",INDEX(INDEX(CustomerFreqs!$J:$J,MATCH(C61,CustomerFreqs!J$1:J$33,0)+1):'CustomerFreqs'!J$33,MATCH("INBOUND",INDEX(CustomerFreqs!$K$1:$K$150,MATCH(C61,CustomerFreqs!J$1:J$33,0)+1):'CustomerFreqs'!K$33,0)))</f>
        <v/>
      </c>
    </row>
    <row r="63" spans="1:5" x14ac:dyDescent="0.25">
      <c r="A63" s="18" t="s">
        <v>70</v>
      </c>
      <c r="B63" s="19" t="str">
        <f>IF(ISERROR(SMALL($C$49:$C$64,15)),"",SMALL($C$49:$C$64,15))</f>
        <v/>
      </c>
      <c r="C63" s="22" t="str">
        <f>IF(ISERROR(INDEX(INDEX(CustomerFreqs!$J:$J,MATCH(C62,CustomerFreqs!J$1:J$33,0)+1):'CustomerFreqs'!J$33,MATCH("INBOUND",INDEX(CustomerFreqs!$K$1:$K$150,MATCH(C62,CustomerFreqs!J$1:J$33,0)+1):'CustomerFreqs'!K$33,0))),"",INDEX(INDEX(CustomerFreqs!$J:$J,MATCH(C62,CustomerFreqs!J$1:J$33,0)+1):'CustomerFreqs'!J$33,MATCH("INBOUND",INDEX(CustomerFreqs!$K$1:$K$150,MATCH(C62,CustomerFreqs!J$1:J$33,0)+1):'CustomerFreqs'!K$33,0)))</f>
        <v/>
      </c>
    </row>
    <row r="64" spans="1:5" x14ac:dyDescent="0.25">
      <c r="A64" s="24" t="s">
        <v>71</v>
      </c>
      <c r="B64" s="25" t="str">
        <f>IF(ISERROR(SMALL($C$49:$C$64,16)),"",SMALL($C$49:$C$64,16))</f>
        <v/>
      </c>
      <c r="C64" s="22" t="str">
        <f>IF(ISERROR(INDEX(INDEX(CustomerFreqs!$J:$J,MATCH(C63,CustomerFreqs!J$1:J$33,0)+1):'CustomerFreqs'!J$33,MATCH("INBOUND",INDEX(CustomerFreqs!$K$1:$K$150,MATCH(C63,CustomerFreqs!J$1:J$33,0)+1):'CustomerFreqs'!K$33,0))),"",INDEX(INDEX(CustomerFreqs!$J:$J,MATCH(C63,CustomerFreqs!J$1:J$33,0)+1):'CustomerFreqs'!J$33,MATCH("INBOUND",INDEX(CustomerFreqs!$K$1:$K$150,MATCH(C63,CustomerFreqs!J$1:J$33,0)+1):'CustomerFreqs'!K$33,0)))</f>
        <v/>
      </c>
    </row>
    <row r="65" spans="1:3" x14ac:dyDescent="0.25">
      <c r="A65" s="26" t="s">
        <v>72</v>
      </c>
      <c r="B65" s="27">
        <f>B24*8</f>
        <v>16</v>
      </c>
      <c r="C65" s="28"/>
    </row>
    <row r="66" spans="1:3" x14ac:dyDescent="0.25">
      <c r="A66" s="26" t="s">
        <v>73</v>
      </c>
      <c r="B66" s="27">
        <f>IF(B25="Yes",1,IF(B24=1,1,IF(AND(B$22="Yes",COUNT(B49:B63)&gt;7),2,IF(AND(OR(B19="Yes",B20="Yes",B21="Yes"),B22="Yes"),2,1))))</f>
        <v>2</v>
      </c>
      <c r="C66" s="28"/>
    </row>
    <row r="67" spans="1:3" x14ac:dyDescent="0.25">
      <c r="A67" s="26" t="s">
        <v>74</v>
      </c>
      <c r="B67" s="27">
        <f>IF(B19="Yes",1,0)+IF(B20="Yes",1,0)+IF(B21="Yes",1,0)</f>
        <v>3</v>
      </c>
      <c r="C67" s="28"/>
    </row>
    <row r="68" spans="1:3" x14ac:dyDescent="0.25">
      <c r="A68" s="26" t="s">
        <v>75</v>
      </c>
      <c r="B68" s="27">
        <f>IF(B22="No",0,COUNT(B49:B63))</f>
        <v>7</v>
      </c>
      <c r="C68" s="28"/>
    </row>
    <row r="69" spans="1:3" x14ac:dyDescent="0.25">
      <c r="A69" s="26" t="s">
        <v>76</v>
      </c>
      <c r="B69" s="27">
        <f>MAX(0,B65-B67-B68-B66)</f>
        <v>4</v>
      </c>
      <c r="C69" s="28"/>
    </row>
    <row r="70" spans="1:3" x14ac:dyDescent="0.25">
      <c r="A70" s="26" t="s">
        <v>77</v>
      </c>
      <c r="B70" s="27">
        <f>IF(B20="Yes",MAX(0,MIN(1,B69)),0)</f>
        <v>1</v>
      </c>
      <c r="C70" s="28"/>
    </row>
    <row r="71" spans="1:3" x14ac:dyDescent="0.25">
      <c r="A71" s="26" t="s">
        <v>78</v>
      </c>
      <c r="B71" s="27">
        <f>IF(B19="Yes",MAX(0,MIN(1,B69-B70)),0)</f>
        <v>1</v>
      </c>
      <c r="C71" s="28"/>
    </row>
    <row r="72" spans="1:3" x14ac:dyDescent="0.25">
      <c r="A72" s="26" t="s">
        <v>79</v>
      </c>
      <c r="B72" s="27">
        <f>IF(B21="Yes",MAX(0,MIN(2,B69-B70-B71)),0)</f>
        <v>2</v>
      </c>
      <c r="C72" s="28"/>
    </row>
    <row r="73" spans="1:3" x14ac:dyDescent="0.25">
      <c r="A73" s="26" t="s">
        <v>80</v>
      </c>
      <c r="B73" s="27">
        <f>IF(OR(B21="Yes",B20="Yes",B19="Yes"),1,0)</f>
        <v>1</v>
      </c>
      <c r="C73" s="28"/>
    </row>
    <row r="74" spans="1:3" x14ac:dyDescent="0.25">
      <c r="A74" s="26" t="s">
        <v>81</v>
      </c>
      <c r="B74" s="29">
        <f>B66-B73</f>
        <v>1</v>
      </c>
      <c r="C74" s="30"/>
    </row>
    <row r="75" spans="1:3" x14ac:dyDescent="0.25">
      <c r="A75" s="26" t="s">
        <v>82</v>
      </c>
      <c r="B75" s="27">
        <f>IF(B19="Yes",1+B71,0)</f>
        <v>2</v>
      </c>
      <c r="C75" s="30"/>
    </row>
    <row r="76" spans="1:3" x14ac:dyDescent="0.25">
      <c r="A76" s="26" t="s">
        <v>83</v>
      </c>
      <c r="B76" s="27">
        <f>IF(B20="Yes",1+B70,0)</f>
        <v>2</v>
      </c>
      <c r="C76" s="30"/>
    </row>
    <row r="77" spans="1:3" x14ac:dyDescent="0.25">
      <c r="A77" s="26" t="s">
        <v>84</v>
      </c>
      <c r="B77" s="27">
        <f>IF(B21="Yes",2+B$72,0)</f>
        <v>4</v>
      </c>
      <c r="C77" s="30"/>
    </row>
    <row r="78" spans="1:3" x14ac:dyDescent="0.25">
      <c r="A78" s="26" t="s">
        <v>85</v>
      </c>
      <c r="B78" s="27">
        <f>(B77-1)+B76+B75+B73</f>
        <v>8</v>
      </c>
      <c r="C78" s="30"/>
    </row>
    <row r="79" spans="1:3" x14ac:dyDescent="0.25">
      <c r="A79" s="26" t="s">
        <v>86</v>
      </c>
      <c r="B79" s="27">
        <f>IF(B22="No",0,B68-IF(B23="Yes",1,0))+B74</f>
        <v>7</v>
      </c>
      <c r="C79" s="30"/>
    </row>
    <row r="80" spans="1:3" x14ac:dyDescent="0.25">
      <c r="A80" s="26" t="s">
        <v>87</v>
      </c>
      <c r="B80" s="27">
        <f>IF(B22="No",0,IF(B23="Yes",1,0))</f>
        <v>1</v>
      </c>
      <c r="C80" s="30"/>
    </row>
    <row r="81" spans="1:3" ht="24" x14ac:dyDescent="0.25">
      <c r="A81" s="26" t="s">
        <v>88</v>
      </c>
      <c r="B81" s="27" t="str">
        <f>RIGHT(C81,LEN(C81)-(LEFT(C81,1)=","))</f>
        <v>STAR 2400 Legacy,STAR 2400,STAR 7200,SRFN,DA</v>
      </c>
      <c r="C81" s="30" t="str">
        <f>IF(B19="Yes","STAR 2400 Legacy","")&amp;IF(B20="Yes",",STAR 2400","")&amp;IF(B21="Yes",",STAR 7200","")&amp;IF(B79&gt;0,",SRFN","")&amp;IF(B80&gt;0,",DA","")</f>
        <v>STAR 2400 Legacy,STAR 2400,STAR 7200,SRFN,DA</v>
      </c>
    </row>
    <row r="82" spans="1:3" x14ac:dyDescent="0.25">
      <c r="A82" s="26" t="s">
        <v>89</v>
      </c>
      <c r="B82" s="27">
        <f>IF(B22="No",0,MIN(8-B74-B80,B79))</f>
        <v>6</v>
      </c>
      <c r="C82" s="31"/>
    </row>
    <row r="83" spans="1:3" x14ac:dyDescent="0.25">
      <c r="A83" s="26" t="s">
        <v>90</v>
      </c>
      <c r="B83" s="27">
        <f>MAX(0,B79-B82-B74)</f>
        <v>0</v>
      </c>
      <c r="C83" s="30"/>
    </row>
    <row r="84" spans="1:3" x14ac:dyDescent="0.25">
      <c r="A84" s="26" t="s">
        <v>91</v>
      </c>
      <c r="B84" s="27">
        <f>B74*2^9+B80*2^8+(2^(7+1)-1)-(2^(7-IF(B22="Yes",B74,0)-B80-B82+1)-1)</f>
        <v>1023</v>
      </c>
      <c r="C84" s="30"/>
    </row>
    <row r="85" spans="1:3" x14ac:dyDescent="0.25">
      <c r="A85" s="26" t="s">
        <v>92</v>
      </c>
      <c r="B85" s="27">
        <f>IF(B74&gt;1,16384,IF(B77&gt;0,2^13+2^12,0))+IF(B83&gt;0,2^11,0)+IF(B82&gt;1,2^10,0)+IF(B75&gt;0,2^9,0)+IF(B74&gt;0,2^8,0)+2^4*(2^(MAX(0,2-B82))-1)+IF(B72=2,8+4,0)+IF(B70=1,8+4,0)+IF(B71=1,8+4,0)</f>
        <v>14116</v>
      </c>
      <c r="C85" s="30"/>
    </row>
    <row r="86" spans="1:3" x14ac:dyDescent="0.25">
      <c r="A86" s="26" t="s">
        <v>46</v>
      </c>
      <c r="B86" s="27" t="str">
        <f>IF(B84&gt;63,"Full Complement",IF(B84&gt;31,"High Density",IF(B84&gt;15,"Low Density","STAR ONLY")))</f>
        <v>Full Complement</v>
      </c>
      <c r="C86" s="32"/>
    </row>
    <row r="87" spans="1:3" x14ac:dyDescent="0.25">
      <c r="A87" s="24"/>
      <c r="B87" s="25"/>
      <c r="C87" s="28"/>
    </row>
    <row r="88" spans="1:3" x14ac:dyDescent="0.25">
      <c r="A88" s="26" t="str">
        <f>"Slot 3 Channel 1 "</f>
        <v xml:space="preserve">Slot 3 Channel 1 </v>
      </c>
      <c r="B88" s="27" t="str">
        <f>IF(ROUNDDOWN(B84/(2^9),0)&gt;0,"SRFN*",IF(ROUNDDOWN(B84/(2^8),0)&gt;0,"DA",IF(ROUNDDOWN(B84/(2^7),0)&gt;0,"SRFN","")))</f>
        <v>SRFN*</v>
      </c>
      <c r="C88" s="33">
        <f>IF(ROUNDDOWN(B84/(2^9),0)&gt;0,B84-ROUNDDOWN(B84/(2^9),0)*2^9,IF(ROUNDDOWN(B84/(2^8),0)&gt;0,B84-ROUNDDOWN(B84/(2^8),0)*2^8,IF(ROUNDDOWN(B84/(2^7),0)&gt;0,B84-ROUNDDOWN(B84/(2^7),0)*2^7,0)))</f>
        <v>511</v>
      </c>
    </row>
    <row r="89" spans="1:3" x14ac:dyDescent="0.25">
      <c r="A89" s="26" t="s">
        <v>93</v>
      </c>
      <c r="B89" s="27" t="str">
        <f>IF(ROUNDDOWN(C88/(2^8),0)&gt;0,"DA",IF(ROUNDDOWN(C88/(2^7),0)&gt;0,"SRFN",IF(ROUNDDOWN(C88/(2^6),0)&gt;0,"SRFN","")))</f>
        <v>DA</v>
      </c>
      <c r="C89" s="33">
        <f>IF(ROUNDDOWN(C88/(2^8),0)&gt;0,C88-ROUNDDOWN(C88/(2^8),0)*2^8,IF(ROUNDDOWN(C88/(2^7),0)&gt;0,C88-ROUNDDOWN(C88/(2^7),0)*2^7,IF(ROUNDDOWN(C88/(2^6),0)&gt;0,C88-ROUNDDOWN(C88/(2^6),0)*2^6,0)))</f>
        <v>255</v>
      </c>
    </row>
    <row r="90" spans="1:3" x14ac:dyDescent="0.25">
      <c r="A90" s="26" t="s">
        <v>94</v>
      </c>
      <c r="B90" s="27" t="str">
        <f t="shared" ref="B90:B95" si="0">IF(C89&gt;0,"SRFN","")</f>
        <v>SRFN</v>
      </c>
      <c r="C90" s="33">
        <f t="shared" ref="C90:C95" si="1">IF(C89&gt;0,C89-2^ROUNDDOWN(LOG(C89)/LOG(2),0),0)</f>
        <v>127</v>
      </c>
    </row>
    <row r="91" spans="1:3" x14ac:dyDescent="0.25">
      <c r="A91" s="26" t="s">
        <v>95</v>
      </c>
      <c r="B91" s="27" t="str">
        <f t="shared" si="0"/>
        <v>SRFN</v>
      </c>
      <c r="C91" s="33">
        <f t="shared" si="1"/>
        <v>63</v>
      </c>
    </row>
    <row r="92" spans="1:3" x14ac:dyDescent="0.25">
      <c r="A92" s="26" t="s">
        <v>96</v>
      </c>
      <c r="B92" s="27" t="str">
        <f t="shared" si="0"/>
        <v>SRFN</v>
      </c>
      <c r="C92" s="33">
        <f t="shared" si="1"/>
        <v>31</v>
      </c>
    </row>
    <row r="93" spans="1:3" x14ac:dyDescent="0.25">
      <c r="A93" s="26" t="s">
        <v>97</v>
      </c>
      <c r="B93" s="27" t="str">
        <f t="shared" si="0"/>
        <v>SRFN</v>
      </c>
      <c r="C93" s="33">
        <f t="shared" si="1"/>
        <v>15</v>
      </c>
    </row>
    <row r="94" spans="1:3" x14ac:dyDescent="0.25">
      <c r="A94" s="26" t="s">
        <v>98</v>
      </c>
      <c r="B94" s="27" t="str">
        <f t="shared" si="0"/>
        <v>SRFN</v>
      </c>
      <c r="C94" s="33">
        <f t="shared" si="1"/>
        <v>7</v>
      </c>
    </row>
    <row r="95" spans="1:3" x14ac:dyDescent="0.25">
      <c r="A95" s="26" t="s">
        <v>99</v>
      </c>
      <c r="B95" s="27" t="str">
        <f t="shared" si="0"/>
        <v>SRFN</v>
      </c>
      <c r="C95" s="33">
        <f t="shared" si="1"/>
        <v>3</v>
      </c>
    </row>
    <row r="96" spans="1:3" x14ac:dyDescent="0.25">
      <c r="A96" s="26" t="s">
        <v>100</v>
      </c>
      <c r="B96" s="27" t="str">
        <f>IF(B74=2,"SRFN*",IF(B77&gt;0,"STAR 7200*",IF(B83&gt;0,"SRFN","")))</f>
        <v>STAR 7200*</v>
      </c>
      <c r="C96" s="34">
        <f>IF(B74=2,B83,IF(B77&gt;0,B83,IF(B83&gt;0,B83-1,0)))</f>
        <v>0</v>
      </c>
    </row>
    <row r="97" spans="1:3" x14ac:dyDescent="0.25">
      <c r="A97" s="26" t="s">
        <v>101</v>
      </c>
      <c r="B97" s="27" t="str">
        <f>IF(B77&gt;1,"STAR 7200",IF(C96&gt;0,"SRFN",""))</f>
        <v>STAR 7200</v>
      </c>
      <c r="C97" s="35">
        <f>IF(B$77&gt;1,C96,IF(C96&gt;0,C96-1,0))</f>
        <v>0</v>
      </c>
    </row>
    <row r="98" spans="1:3" x14ac:dyDescent="0.25">
      <c r="A98" s="26" t="s">
        <v>102</v>
      </c>
      <c r="B98" s="27" t="str">
        <f>IF(B$76&gt;0,"STAR 2400",IF(C97&gt;0,"SRFN",""))</f>
        <v>STAR 2400</v>
      </c>
      <c r="C98" s="35">
        <f>IF(B$76&gt;0,C97,IF(C97&gt;0,C97-1,0))</f>
        <v>0</v>
      </c>
    </row>
    <row r="99" spans="1:3" x14ac:dyDescent="0.25">
      <c r="A99" s="26" t="s">
        <v>103</v>
      </c>
      <c r="B99" s="27" t="str">
        <f>IF(B$75&gt;0,"STAR 2400 Legacy",IF(C98&gt;0,"SRFN",""))</f>
        <v>STAR 2400 Legacy</v>
      </c>
      <c r="C99" s="35">
        <f>IF(B$75&gt;0,C98,IF(C98&gt;0,C98-1,0))</f>
        <v>0</v>
      </c>
    </row>
    <row r="100" spans="1:3" x14ac:dyDescent="0.25">
      <c r="A100" s="26" t="s">
        <v>104</v>
      </c>
      <c r="B100" s="27" t="str">
        <f>IF(B$77&gt;2,"STAR 7200*",IF(C99&gt;0,"SRFN",""))</f>
        <v>STAR 7200*</v>
      </c>
      <c r="C100" s="35">
        <f>IF(B$77&gt;2,C99,IF(C99&gt;0,C99-1,0))</f>
        <v>0</v>
      </c>
    </row>
    <row r="101" spans="1:3" x14ac:dyDescent="0.25">
      <c r="A101" s="26" t="s">
        <v>105</v>
      </c>
      <c r="B101" s="27" t="str">
        <f>IF(B$77&gt;3,"STAR 7200",IF(C100&gt;0,"SRFN",""))</f>
        <v>STAR 7200</v>
      </c>
      <c r="C101" s="35">
        <f>IF(B$77&gt;3,C100,IF(C100&gt;0,C100-1,0))</f>
        <v>0</v>
      </c>
    </row>
    <row r="102" spans="1:3" x14ac:dyDescent="0.25">
      <c r="A102" s="26" t="s">
        <v>106</v>
      </c>
      <c r="B102" s="27" t="str">
        <f>IF(B$76&gt;1,"STAR 2400",IF(C101&gt;0,"SRFN",""))</f>
        <v>STAR 2400</v>
      </c>
      <c r="C102" s="35">
        <f>IF(B$76&gt;1,C101,IF(C101&gt;0,C101-1,0))</f>
        <v>0</v>
      </c>
    </row>
    <row r="103" spans="1:3" x14ac:dyDescent="0.25">
      <c r="A103" s="26" t="s">
        <v>107</v>
      </c>
      <c r="B103" s="27" t="str">
        <f>IF(B$75&gt;1,"STAR 2400 Legacy",IF(C102&gt;0,"SRFN",""))</f>
        <v>STAR 2400 Legacy</v>
      </c>
      <c r="C103" s="35">
        <f>IF(B$75&gt;1,C102,IF(C102&gt;0,C102-1,0))</f>
        <v>0</v>
      </c>
    </row>
    <row r="104" spans="1:3" x14ac:dyDescent="0.25">
      <c r="A104" s="24"/>
      <c r="B104" s="25"/>
      <c r="C104" s="28"/>
    </row>
    <row r="105" spans="1:3" x14ac:dyDescent="0.25">
      <c r="A105" s="26" t="str">
        <f>"Slot 3 Channel 1 "</f>
        <v xml:space="preserve">Slot 3 Channel 1 </v>
      </c>
      <c r="B105" s="27" t="str">
        <f ca="1">IF(B88="SRFN*",B$47*1000000,"")&amp;IF(AND(OR(B88="SRFN",B88="DA"),0&lt;B$68),OFFSET(B$49,0,0)*1000000,"")&amp;IF(B88="STAR 7200*",B$46*1000000,"")&amp;IF(OR(B88="STAR 7200",B88="STAR 2400",B88="STAR 2400 Legacy"),B$48*1000000,"")</f>
        <v>462412500</v>
      </c>
      <c r="C105" s="22">
        <f>IF(OR(B88="SRFN",B88="DA"),1,0)</f>
        <v>0</v>
      </c>
    </row>
    <row r="106" spans="1:3" x14ac:dyDescent="0.25">
      <c r="A106" s="26" t="s">
        <v>93</v>
      </c>
      <c r="B106" s="27" t="str">
        <f t="shared" ref="B106:B120" ca="1" si="2">IF(B89="SRFN*",B$47*1000000,"")&amp;IF(AND(OR(B89="SRFN",B89="DA"),C105&lt;B$68),OFFSET(B$49,C105,0)*1000000,"")&amp;IF(B89="STAR 7200*",B$46*1000000,"")&amp;IF(OR(B89="STAR 7200",B89="STAR 2400",B89="STAR 2400 Legacy"),B$48*1000000,"")</f>
        <v>456287500</v>
      </c>
      <c r="C106" s="22">
        <f t="shared" ref="C106:C120" si="3">IF(OR(B89="SRFN",B89="DA"),1,0)+C105</f>
        <v>1</v>
      </c>
    </row>
    <row r="107" spans="1:3" x14ac:dyDescent="0.25">
      <c r="A107" s="26" t="s">
        <v>94</v>
      </c>
      <c r="B107" s="27" t="str">
        <f t="shared" ca="1" si="2"/>
        <v>456312500</v>
      </c>
      <c r="C107" s="22">
        <f t="shared" si="3"/>
        <v>2</v>
      </c>
    </row>
    <row r="108" spans="1:3" x14ac:dyDescent="0.25">
      <c r="A108" s="26" t="s">
        <v>95</v>
      </c>
      <c r="B108" s="27" t="str">
        <f t="shared" ca="1" si="2"/>
        <v>456337500</v>
      </c>
      <c r="C108" s="22">
        <f t="shared" si="3"/>
        <v>3</v>
      </c>
    </row>
    <row r="109" spans="1:3" x14ac:dyDescent="0.25">
      <c r="A109" s="26" t="s">
        <v>96</v>
      </c>
      <c r="B109" s="27" t="str">
        <f t="shared" ca="1" si="2"/>
        <v>456487500</v>
      </c>
      <c r="C109" s="22">
        <f t="shared" si="3"/>
        <v>4</v>
      </c>
    </row>
    <row r="110" spans="1:3" x14ac:dyDescent="0.25">
      <c r="A110" s="26" t="s">
        <v>97</v>
      </c>
      <c r="B110" s="27" t="str">
        <f t="shared" ca="1" si="2"/>
        <v>456687500</v>
      </c>
      <c r="C110" s="22">
        <f t="shared" si="3"/>
        <v>5</v>
      </c>
    </row>
    <row r="111" spans="1:3" x14ac:dyDescent="0.25">
      <c r="A111" s="26" t="s">
        <v>98</v>
      </c>
      <c r="B111" s="27" t="str">
        <f t="shared" ca="1" si="2"/>
        <v>456737500</v>
      </c>
      <c r="C111" s="22">
        <f t="shared" si="3"/>
        <v>6</v>
      </c>
    </row>
    <row r="112" spans="1:3" x14ac:dyDescent="0.25">
      <c r="A112" s="26" t="s">
        <v>99</v>
      </c>
      <c r="B112" s="27" t="str">
        <f t="shared" ca="1" si="2"/>
        <v>457162500</v>
      </c>
      <c r="C112" s="22">
        <f t="shared" si="3"/>
        <v>7</v>
      </c>
    </row>
    <row r="113" spans="1:3" x14ac:dyDescent="0.25">
      <c r="A113" s="26" t="s">
        <v>100</v>
      </c>
      <c r="B113" s="27" t="str">
        <f t="shared" ca="1" si="2"/>
        <v>467512500</v>
      </c>
      <c r="C113" s="22">
        <f t="shared" si="3"/>
        <v>7</v>
      </c>
    </row>
    <row r="114" spans="1:3" x14ac:dyDescent="0.25">
      <c r="A114" s="26" t="s">
        <v>101</v>
      </c>
      <c r="B114" s="27" t="str">
        <f t="shared" ca="1" si="2"/>
        <v>457662500</v>
      </c>
      <c r="C114" s="22">
        <f t="shared" si="3"/>
        <v>7</v>
      </c>
    </row>
    <row r="115" spans="1:3" x14ac:dyDescent="0.25">
      <c r="A115" s="26" t="s">
        <v>102</v>
      </c>
      <c r="B115" s="27" t="str">
        <f t="shared" ca="1" si="2"/>
        <v>457662500</v>
      </c>
      <c r="C115" s="22">
        <f t="shared" si="3"/>
        <v>7</v>
      </c>
    </row>
    <row r="116" spans="1:3" x14ac:dyDescent="0.25">
      <c r="A116" s="26" t="s">
        <v>103</v>
      </c>
      <c r="B116" s="27" t="str">
        <f t="shared" ca="1" si="2"/>
        <v>457662500</v>
      </c>
      <c r="C116" s="22">
        <f t="shared" si="3"/>
        <v>7</v>
      </c>
    </row>
    <row r="117" spans="1:3" x14ac:dyDescent="0.25">
      <c r="A117" s="26" t="s">
        <v>104</v>
      </c>
      <c r="B117" s="27" t="str">
        <f t="shared" ca="1" si="2"/>
        <v>467512500</v>
      </c>
      <c r="C117" s="22">
        <f t="shared" si="3"/>
        <v>7</v>
      </c>
    </row>
    <row r="118" spans="1:3" x14ac:dyDescent="0.25">
      <c r="A118" s="26" t="s">
        <v>105</v>
      </c>
      <c r="B118" s="27" t="str">
        <f t="shared" ca="1" si="2"/>
        <v>457662500</v>
      </c>
      <c r="C118" s="22">
        <f t="shared" si="3"/>
        <v>7</v>
      </c>
    </row>
    <row r="119" spans="1:3" x14ac:dyDescent="0.25">
      <c r="A119" s="26" t="s">
        <v>106</v>
      </c>
      <c r="B119" s="27" t="str">
        <f t="shared" ca="1" si="2"/>
        <v>457662500</v>
      </c>
      <c r="C119" s="22">
        <f t="shared" si="3"/>
        <v>7</v>
      </c>
    </row>
    <row r="120" spans="1:3" x14ac:dyDescent="0.25">
      <c r="A120" s="26" t="s">
        <v>107</v>
      </c>
      <c r="B120" s="27" t="str">
        <f t="shared" ca="1" si="2"/>
        <v>457662500</v>
      </c>
      <c r="C120" s="22">
        <f t="shared" si="3"/>
        <v>7</v>
      </c>
    </row>
    <row r="121" spans="1:3" x14ac:dyDescent="0.25">
      <c r="A121" s="36" t="s">
        <v>108</v>
      </c>
      <c r="B121" s="25"/>
      <c r="C121" s="28"/>
    </row>
    <row r="122" spans="1:3" x14ac:dyDescent="0.25">
      <c r="A122" s="26" t="s">
        <v>109</v>
      </c>
      <c r="B122" s="27" t="str">
        <f>IF(B$88="SRFN*","SRFN",IF(AND(B$88="STAR 7200*",B$97&lt;&gt;"STAR 7200*"),"STAR","NONE"))</f>
        <v>SRFN</v>
      </c>
      <c r="C122" s="28"/>
    </row>
    <row r="123" spans="1:3" ht="30" x14ac:dyDescent="0.25">
      <c r="A123" s="26" t="s">
        <v>110</v>
      </c>
      <c r="B123" s="27" t="str">
        <f ca="1">","&amp;B105&amp;","&amp;B106&amp;","&amp;B107&amp;","&amp;B108&amp;","&amp;B109&amp;","&amp;B110&amp;","&amp;B111&amp;","&amp;B112</f>
        <v>,462412500,456287500,456312500,456337500,456487500,456687500,456737500,457162500</v>
      </c>
      <c r="C123" s="28"/>
    </row>
    <row r="124" spans="1:3" x14ac:dyDescent="0.25">
      <c r="A124" s="26" t="s">
        <v>111</v>
      </c>
      <c r="B124" s="27" t="str">
        <f>C47*1000000&amp;IF(OR(C47="",C46=""),"",",")&amp;C46*1000000</f>
        <v>462412500,467512500</v>
      </c>
      <c r="C124" s="28"/>
    </row>
    <row r="125" spans="1:3" x14ac:dyDescent="0.25">
      <c r="A125" s="26" t="s">
        <v>112</v>
      </c>
      <c r="B125" s="27" t="str">
        <f>"0,"&amp;IF(ISNUMBER(SEARCH("STAR 7200",$B88)),1,IF($B88="STAR 2400",2,IF($B88="STAR 2400 Legacy",4,0)))&amp;","&amp;IF(ISNUMBER(SEARCH("STAR 7200",$B89)),1,IF($B89="STAR 2400",2,IF($B89="STAR 2400 Legacy",4,0)))&amp;","&amp;IF(ISNUMBER(SEARCH("STAR 7200",$B90)),1,IF($B90="STAR 2400",2,IF($B90="STAR 2400 Legacy",4,0)))&amp;","&amp;IF(ISNUMBER(SEARCH("STAR 7200",$B91)),1,IF($B91="STAR 2400",2,IF($B91="STAR 2400 Legacy",4,0)))&amp;","&amp;IF(ISNUMBER(SEARCH("STAR 7200",$B92)),1,IF($B92="STAR 2400",2,IF($B92="STAR 2400 Legacy",4,0)))&amp;","&amp;IF(ISNUMBER(SEARCH("STAR 7200",$B93)),1,IF($B93="STAR 2400",2,IF($B93="STAR 2400 Legacy",4,0)))&amp;","&amp;IF(ISNUMBER(SEARCH("STAR 7200",$B94)),1,IF($B94="STAR 2400",2,IF($B94="STAR 2400 Legacy",4,0)))&amp;","&amp;IF(ISNUMBER(SEARCH("STAR 7200",$B95)),1,IF($B95="STAR 2400",2,IF($B95="STAR 2400 Legacy",4,0)))</f>
        <v>0,0,0,0,0,0,0,0,0</v>
      </c>
      <c r="C125" s="28"/>
    </row>
    <row r="126" spans="1:3" x14ac:dyDescent="0.25">
      <c r="A126" s="26" t="s">
        <v>113</v>
      </c>
      <c r="B126" s="27" t="str">
        <f>"0,"&amp;IF(ISNUMBER(SEARCH("STAR 7200",$B88)),2,IF(ISNUMBER(SEARCH("STAR 2400",$B88)),1,0))&amp;","&amp;IF(ISNUMBER(SEARCH("STAR 7200",$B89)),2,IF(ISNUMBER(SEARCH("STAR 2400",$B89)),1,0))&amp;","&amp;IF(ISNUMBER(SEARCH("STAR 7200",$B90)),2,IF(ISNUMBER(SEARCH("STAR 2400",$B90)),1,0))&amp;","&amp;IF(ISNUMBER(SEARCH("STAR 7200",$B91)),2,IF(ISNUMBER(SEARCH("STAR 2400",$B91)),1,0))&amp;","&amp;IF(ISNUMBER(SEARCH("STAR 7200",$B92)),2,IF(ISNUMBER(SEARCH("STAR 2400",$B92)),1,0))&amp;","&amp;IF(ISNUMBER(SEARCH("STAR 7200",$B93)),2,IF(ISNUMBER(SEARCH("STAR 2400",$B93)),1,0))&amp;","&amp;IF(ISNUMBER(SEARCH("STAR 7200",$B94)),2,IF(ISNUMBER(SEARCH("STAR 2400",$B94)),1,0))&amp;","&amp;IF(ISNUMBER(SEARCH("STAR 7200",$B95)),2,IF(ISNUMBER(SEARCH("STAR 2400",$B95)),1,0))</f>
        <v>0,0,0,0,0,0,0,0,0</v>
      </c>
      <c r="C126" s="28"/>
    </row>
    <row r="127" spans="1:3" x14ac:dyDescent="0.25">
      <c r="A127" s="26" t="s">
        <v>114</v>
      </c>
      <c r="B127" s="27" t="str">
        <f>"1,"&amp;IF(ISNUMBER(SEARCH("STAR 7200",$B88)),2,IF(ISNUMBER(SEARCH("STAR 2400",$B88)),3,1))&amp;","&amp;IF(ISNUMBER(SEARCH("STAR 7200",$B89)),2,IF(ISNUMBER(SEARCH("STAR 2400",$B89)),3,1))&amp;","&amp;IF(ISNUMBER(SEARCH("STAR 7200",$B90)),2,IF(ISNUMBER(SEARCH("STAR 2400",$B90)),3,1))&amp;","&amp;IF(ISNUMBER(SEARCH("STAR 7200",$B91)),2,IF(ISNUMBER(SEARCH("STAR 2400",$B91)),3,1))&amp;","&amp;IF(ISNUMBER(SEARCH("STAR 7200",$B92)),2,IF(ISNUMBER(SEARCH("STAR 2400",$B92)),3,1))&amp;","&amp;IF(ISNUMBER(SEARCH("STAR 7200",$B93)),2,IF(ISNUMBER(SEARCH("STAR 2400",$B93)),3,1))&amp;","&amp;IF(ISNUMBER(SEARCH("STAR 7200",$B94)),2,IF(ISNUMBER(SEARCH("STAR 2400",$B94)),3,1))&amp;","&amp;IF(ISNUMBER(SEARCH("STAR 7200",$B95)),2,IF(ISNUMBER(SEARCH("STAR 2400",$B95)),3,1))</f>
        <v>1,1,1,1,1,1,1,1,1</v>
      </c>
      <c r="C127" s="28"/>
    </row>
    <row r="128" spans="1:3" x14ac:dyDescent="0.25">
      <c r="A128" s="26" t="s">
        <v>115</v>
      </c>
      <c r="B128" s="27" t="str">
        <f>"0,"&amp;IF($B88="DA","1,","0,")&amp;IF($B89="DA","1,","0,")&amp;IF($B90="DA","1,","0,")&amp;IF($B91="DA","1,","0,")&amp;IF($B92="DA","1,","0,")&amp;IF($B93="DA","1,","0,")&amp;IF($B94="DA","1,","0,")&amp;IF($B95="DA","1","0")</f>
        <v>0,0,1,0,0,0,0,0,0</v>
      </c>
      <c r="C128" s="28"/>
    </row>
    <row r="129" spans="1:3" x14ac:dyDescent="0.25">
      <c r="A129" s="36" t="s">
        <v>116</v>
      </c>
      <c r="B129" s="25"/>
      <c r="C129" s="28"/>
    </row>
    <row r="130" spans="1:3" x14ac:dyDescent="0.25">
      <c r="A130" s="26" t="s">
        <v>109</v>
      </c>
      <c r="B130" s="27" t="str">
        <f>IF(B$96="SRFN*",IF(B$122="SRFN","NONE","SRFN"),IF(OR(B$96="STAR 7200*",AND(B$67&gt;0,B122&lt;&gt;"STAR 7200*")),"STAR","NONE"))</f>
        <v>STAR</v>
      </c>
      <c r="C130" s="28"/>
    </row>
    <row r="131" spans="1:3" ht="30" x14ac:dyDescent="0.25">
      <c r="A131" s="26" t="s">
        <v>110</v>
      </c>
      <c r="B131" s="27" t="str">
        <f ca="1">","&amp;B113&amp;","&amp;B114&amp;","&amp;B115&amp;","&amp;B116&amp;","&amp;B117&amp;","&amp;B118&amp;","&amp;B119&amp;","&amp;B120</f>
        <v>,467512500,457662500,457662500,457662500,467512500,457662500,457662500,457662500</v>
      </c>
      <c r="C131" s="28"/>
    </row>
    <row r="132" spans="1:3" x14ac:dyDescent="0.25">
      <c r="A132" s="26" t="s">
        <v>111</v>
      </c>
      <c r="B132" s="27" t="str">
        <f>C47*1000000&amp;IF(OR(C47="",C46=""),"",",")&amp;C46*1000000</f>
        <v>462412500,467512500</v>
      </c>
      <c r="C132" s="28"/>
    </row>
    <row r="133" spans="1:3" x14ac:dyDescent="0.25">
      <c r="A133" s="26" t="s">
        <v>112</v>
      </c>
      <c r="B133" s="27" t="str">
        <f>"0,"&amp;IF(ISNUMBER(SEARCH("STAR 7200",$B96)),1,IF($B96="STAR 2400",2,IF($B96="STAR 2400 Legacy",4,0)))&amp;","&amp;IF(ISNUMBER(SEARCH("STAR 7200",$B97)),1,IF($B97="STAR 2400",2,IF($B97="STAR 2400 Legacy",4,0)))&amp;","&amp;IF(ISNUMBER(SEARCH("STAR 7200",$B98)),1,IF($B98="STAR 2400",2,IF($B98="STAR 2400 Legacy",4,0)))&amp;","&amp;IF(ISNUMBER(SEARCH("STAR 7200",$B99)),1,IF($B99="STAR 2400",2,IF($B99="STAR 2400 Legacy",4,0)))&amp;","&amp;IF(ISNUMBER(SEARCH("STAR 7200",$B100)),1,IF($B100="STAR 2400",2,IF($B100="STAR 2400 Legacy",4,0)))&amp;","&amp;IF(ISNUMBER(SEARCH("STAR 7200",$B101)),1,IF($B101="STAR 2400",2,IF($B101="STAR 2400 Legacy",4,0)))&amp;","&amp;IF(ISNUMBER(SEARCH("STAR 7200",$B102)),1,IF($B102="STAR 2400",2,IF($B102="STAR 2400 Legacy",4,0)))&amp;","&amp;IF(ISNUMBER(SEARCH("STAR 7200",$B103)),1,IF($B103="STAR 2400",2,IF($B103="STAR 2400 Legacy",4,0)))</f>
        <v>0,1,1,2,4,1,1,2,4</v>
      </c>
      <c r="C133" s="28"/>
    </row>
    <row r="134" spans="1:3" x14ac:dyDescent="0.25">
      <c r="A134" s="26" t="s">
        <v>113</v>
      </c>
      <c r="B134" s="27" t="str">
        <f>"0,"&amp;IF(ISNUMBER(SEARCH("STAR 7200",$B96)),2,IF(ISNUMBER(SEARCH("STAR 2400",$B96)),1,0))&amp;","&amp;IF(ISNUMBER(SEARCH("STAR 7200",$B97)),2,IF(ISNUMBER(SEARCH("STAR 2400",$B97)),1,0))&amp;","&amp;IF(ISNUMBER(SEARCH("STAR 7200",$B98)),2,IF(ISNUMBER(SEARCH("STAR 2400",$B98)),1,0))&amp;","&amp;IF(ISNUMBER(SEARCH("STAR 7200",$B99)),2,IF(ISNUMBER(SEARCH("STAR 2400",$B99)),1,0))&amp;","&amp;IF(ISNUMBER(SEARCH("STAR 7200",$B100)),2,IF(ISNUMBER(SEARCH("STAR 2400",$B100)),1,0))&amp;","&amp;IF(ISNUMBER(SEARCH("STAR 7200",$B101)),2,IF(ISNUMBER(SEARCH("STAR 2400",$B101)),1,0))&amp;","&amp;IF(ISNUMBER(SEARCH("STAR 7200",$B102)),2,IF(ISNUMBER(SEARCH("STAR 2400",$B102)),1,0))&amp;","&amp;IF(ISNUMBER(SEARCH("STAR 7200",$B103)),2,IF(ISNUMBER(SEARCH("STAR 2400",$B103)),1,0))</f>
        <v>0,2,2,1,1,2,2,1,1</v>
      </c>
      <c r="C134" s="28"/>
    </row>
    <row r="135" spans="1:3" x14ac:dyDescent="0.25">
      <c r="A135" s="26" t="s">
        <v>114</v>
      </c>
      <c r="B135" s="27" t="str">
        <f>"1,"&amp;IF(ISNUMBER(SEARCH("STAR 7200",$B96)),2,IF(ISNUMBER(SEARCH("STAR 2400",$B96)),3,1))&amp;","&amp;IF(ISNUMBER(SEARCH("STAR 7200",$B97)),2,IF(ISNUMBER(SEARCH("STAR 2400",$B97)),3,1))&amp;","&amp;IF(ISNUMBER(SEARCH("STAR 7200",$B98)),2,IF(ISNUMBER(SEARCH("STAR 2400",$B98)),3,1))&amp;","&amp;IF(ISNUMBER(SEARCH("STAR 7200",$B99)),2,IF(ISNUMBER(SEARCH("STAR 2400",$B99)),3,1))&amp;","&amp;IF(ISNUMBER(SEARCH("STAR 7200",$B100)),2,IF(ISNUMBER(SEARCH("STAR 2400",$B100)),3,1))&amp;","&amp;IF(ISNUMBER(SEARCH("STAR 7200",$B101)),2,IF(ISNUMBER(SEARCH("STAR 2400",$B101)),3,1))&amp;","&amp;IF(ISNUMBER(SEARCH("STAR 7200",$B102)),2,IF(ISNUMBER(SEARCH("STAR 2400",$B102)),3,1))&amp;","&amp;IF(ISNUMBER(SEARCH("STAR 7200",$B103)),2,IF(ISNUMBER(SEARCH("STAR 2400",$B103)),3,1))</f>
        <v>1,2,2,3,3,2,2,3,3</v>
      </c>
      <c r="C135" s="28"/>
    </row>
    <row r="136" spans="1:3" x14ac:dyDescent="0.25">
      <c r="A136" s="26" t="s">
        <v>115</v>
      </c>
      <c r="B136" s="27" t="str">
        <f>"0,"&amp;IF($B96="DA","1,","0,")&amp;IF($B97="DA","1,","0,")&amp;IF($B98="DA","1,","0,")&amp;IF($B99="DA","1,","0,")&amp;IF($B100="DA","1,","0,")&amp;IF($B101="DA","1,","0,")&amp;IF($B102="DA","1,","0,")&amp;IF($B103="DA","1","0")</f>
        <v>0,0,0,0,0,0,0,0,0</v>
      </c>
      <c r="C136" s="28"/>
    </row>
    <row r="137" spans="1:3" x14ac:dyDescent="0.25">
      <c r="A137" s="24"/>
      <c r="B137" s="25"/>
      <c r="C137" s="28"/>
    </row>
    <row r="138" spans="1:3" ht="30" x14ac:dyDescent="0.25">
      <c r="A138" s="26" t="s">
        <v>117</v>
      </c>
      <c r="B138" s="27" t="str">
        <f ca="1">SUBSTITUTE(TRIM(SUBSTITUTE(IF(ISNUMBER(SEARCH("SRFN",$B88)),$B105&amp;",","")&amp;IF(ISNUMBER(SEARCH("SRFN",$B89)),$B106&amp;",","")&amp;IF(ISNUMBER(SEARCH("SRFN",$B90)),$B107&amp;",","")&amp;IF(ISNUMBER(SEARCH("SRFN",$B91)),$B108&amp;",","")&amp;IF(ISNUMBER(SEARCH("SRFN",$B92)),$B109&amp;",","")&amp;IF(ISNUMBER(SEARCH("SRFN",$B93)),$B110&amp;",","")&amp;IF(ISNUMBER(SEARCH("SRFN",$B94)),$B111&amp;",","")&amp;IF(ISNUMBER(SEARCH("SRFN",$B95)),$B112&amp;",","")&amp;IF(ISNUMBER(SEARCH("SRFN",$B96)),$B113&amp;",","")&amp;IF(ISNUMBER(SEARCH("SRFN",$B97)),$B114&amp;",","")&amp;IF(ISNUMBER(SEARCH("SRFN",$B98)),$B115&amp;",","")&amp;IF(ISNUMBER(SEARCH("SRFN",$B99)),$B116&amp;",","")&amp;IF(ISNUMBER(SEARCH("SRFN",$B100)),$B117&amp;",","")&amp;IF(ISNUMBER(SEARCH("SRFN",$B101)),$B118&amp;",","")&amp;IF(ISNUMBER(SEARCH("SRFN",$B102)),$B119&amp;",","")&amp;IF(ISNUMBER(SEARCH("SRFN",$B103)),$B120,""),","," "))," ",",")</f>
        <v>462412500,456312500,456337500,456487500,456687500,456737500,457162500</v>
      </c>
      <c r="C138" s="37"/>
    </row>
    <row r="139" spans="1:3" x14ac:dyDescent="0.25">
      <c r="A139" s="26" t="s">
        <v>118</v>
      </c>
      <c r="B139" s="27" t="str">
        <f ca="1">SUBSTITUTE(TRIM(SUBSTITUTE(IF(ISNUMBER(SEARCH("DA",$B88)),$B105&amp;",","")&amp;IF(ISNUMBER(SEARCH("DA",$B89)),$B106&amp;",","")&amp;IF(ISNUMBER(SEARCH("DA",$B90)),$B107&amp;",","")&amp;IF(ISNUMBER(SEARCH("DA",$B91)),$B108&amp;",","")&amp;IF(ISNUMBER(SEARCH("DA",$B92)),$B109&amp;",","")&amp;IF(ISNUMBER(SEARCH("DA",$B93)),$B110&amp;",","")&amp;IF(ISNUMBER(SEARCH("DA",$B94)),$B111&amp;",","")&amp;IF(ISNUMBER(SEARCH("DA",$B95)),$B112&amp;",","")&amp;IF(ISNUMBER(SEARCH("DA",$B96)),$B113&amp;",","")&amp;IF(ISNUMBER(SEARCH("DA",$B97)),$B114&amp;",","")&amp;IF(ISNUMBER(SEARCH("DA",$B98)),$B115&amp;",","")&amp;IF(ISNUMBER(SEARCH("DA",$B99)),$B116&amp;",","")&amp;IF(ISNUMBER(SEARCH("DA",$B100)),$B117&amp;",","")&amp;IF(ISNUMBER(SEARCH("DA",$B101)),$B118&amp;",","")&amp;IF(ISNUMBER(SEARCH("DA",$B102)),$B119&amp;",","")&amp;IF(ISNUMBER(SEARCH("DA",$B103)),$B120,""),","," "))," ",",")</f>
        <v>456287500</v>
      </c>
      <c r="C139" s="37"/>
    </row>
    <row r="140" spans="1:3" x14ac:dyDescent="0.25">
      <c r="A140" s="26" t="s">
        <v>119</v>
      </c>
      <c r="B140" s="27" t="str">
        <f ca="1">SUBSTITUTE(TRIM(SUBSTITUTE(IF(ISNUMBER(SEARCH("STAR 7200",$B88)),$B105&amp;",","")&amp;IF(ISNUMBER(SEARCH("STAR 7200",$B89)),$B106&amp;",","")&amp;IF(ISNUMBER(SEARCH("STAR 7200",$B90)),$B107&amp;",","")&amp;IF(ISNUMBER(SEARCH("STAR 7200",$B91)),$B108&amp;",","")&amp;IF(ISNUMBER(SEARCH("STAR 7200",$B92)),$B109&amp;",","")&amp;IF(ISNUMBER(SEARCH("STAR 7200",$B93)),$B110&amp;",","")&amp;IF(ISNUMBER(SEARCH("STAR 7200",$B94)),$B111&amp;",","")&amp;IF(ISNUMBER(SEARCH("STAR 7200",$B95)),$B112&amp;",","")&amp;IF(ISNUMBER(SEARCH("STAR 7200",$B96)),$B113&amp;",","")&amp;IF(ISNUMBER(SEARCH("STAR 7200",$B97)),$B114&amp;",","")&amp;IF(ISNUMBER(SEARCH("STAR 7200",$B98)),$B115&amp;",","")&amp;IF(ISNUMBER(SEARCH("STAR 7200",$B99)),$B116&amp;",","")&amp;IF(ISNUMBER(SEARCH("STAR 7200",$B100)),$B117&amp;",","")&amp;IF(ISNUMBER(SEARCH("STAR 7200",$B101)),$B118&amp;",","")&amp;IF(ISNUMBER(SEARCH("STAR 7200",$B102)),$B119&amp;",","")&amp;IF(ISNUMBER(SEARCH("STAR 7200",$B103)),$B120,""),","," "))," ",",")</f>
        <v>467512500,457662500,467512500,457662500</v>
      </c>
      <c r="C140" s="28"/>
    </row>
    <row r="141" spans="1:3" x14ac:dyDescent="0.25">
      <c r="A141" s="26" t="s">
        <v>120</v>
      </c>
      <c r="B141" s="27" t="str">
        <f ca="1">SUBSTITUTE(TRIM(SUBSTITUTE(IF("STAR 2400"=$B88,$B105&amp;",","")&amp;IF("STAR 2400"=$B89,$B106&amp;",","")&amp;IF("STAR 2400"=$B90,$B107&amp;",","")&amp;IF("STAR 2400"=$B91,$B108&amp;",","")&amp;IF("STAR 2400"=$B92,$B109&amp;",","")&amp;IF("STAR 2400"=$B93,$B110&amp;",","")&amp;IF("STAR 2400"=$B94,$B111&amp;",","")&amp;IF("STAR 2400"=$B95,$B112&amp;",","")&amp;IF("STAR 2400"=$B96,$B113&amp;",","")&amp;IF("STAR 2400"=$B97,$B114&amp;",","")&amp;IF("STAR 2400"=$B98,$B115&amp;",","")&amp;IF("STAR 2400"=$B99,$B116&amp;",","")&amp;IF("STAR 2400"=$B100,$B117&amp;",","")&amp;IF("STAR 2400"=$B101,$B118&amp;",","")&amp;IF("STAR 2400"=$B102,$B119&amp;",","")&amp;IF("STAR 2400"=$B103,$B120,""),","," "))," ",",")</f>
        <v>457662500,457662500</v>
      </c>
      <c r="C141" s="28"/>
    </row>
    <row r="142" spans="1:3" x14ac:dyDescent="0.25">
      <c r="A142" s="26" t="s">
        <v>121</v>
      </c>
      <c r="B142" s="27" t="str">
        <f ca="1">SUBSTITUTE(TRIM(SUBSTITUTE(IF("STAR 2400 Legacy"=$B88,$B105&amp;",","")&amp;IF("STAR 2400 Legacy"=$B89,$B106&amp;",","")&amp;IF("STAR 2400 Legacy"=$B90,$B107&amp;",","")&amp;IF("STAR 2400 Legacy"=$B91,$B108&amp;",","")&amp;IF("STAR 2400 Legacy"=$B92,$B109&amp;",","")&amp;IF("STAR 2400 Legacy"=$B93,$B110&amp;",","")&amp;IF("STAR 2400 Legacy"=$B94,$B111&amp;",","")&amp;IF("STAR 2400 Legacy"=$B95,$B112&amp;",","")&amp;IF("STAR 2400 Legacy"=$B96,$B113&amp;",","")&amp;IF("STAR 2400 Legacy"=$B97,$B114&amp;",","")&amp;IF("STAR 2400 Legacy"=$B98,$B115&amp;",","")&amp;IF("STAR 2400 Legacy"=$B99,$B116&amp;",","")&amp;IF("STAR 2400 Legacy"=$B100,$B117&amp;",","")&amp;IF("STAR 2400 Legacy"=$B101,$B118&amp;",","")&amp;IF("STAR 2400 Legacy"=$B102,$B119&amp;",","")&amp;IF("STAR 2400 Legacy"=$B103,$B120,""),","," "))," ",",")</f>
        <v>457662500,457662500</v>
      </c>
      <c r="C142" s="28"/>
    </row>
    <row r="143" spans="1:3" x14ac:dyDescent="0.25">
      <c r="A143" s="26" t="s">
        <v>122</v>
      </c>
      <c r="B143" s="27">
        <f ca="1">IF(LEN($B138)&gt;0,$B$48*1000000,"")</f>
        <v>457662500</v>
      </c>
      <c r="C143" s="28"/>
    </row>
    <row r="144" spans="1:3" x14ac:dyDescent="0.25">
      <c r="A144" s="26" t="s">
        <v>123</v>
      </c>
      <c r="B144" s="27">
        <f ca="1">IF(LEN($B139)&gt;0,$B$48*1000000,"")</f>
        <v>457662500</v>
      </c>
      <c r="C144" s="28"/>
    </row>
    <row r="145" spans="1:3" x14ac:dyDescent="0.25">
      <c r="A145" s="26" t="s">
        <v>124</v>
      </c>
      <c r="B145" s="27">
        <f ca="1">IF(LEN($B140)&gt;0,$B$46*1000000,"")</f>
        <v>467512500</v>
      </c>
      <c r="C145" s="28"/>
    </row>
    <row r="146" spans="1:3" x14ac:dyDescent="0.25">
      <c r="A146" s="26" t="s">
        <v>125</v>
      </c>
      <c r="B146" s="27">
        <f ca="1">IF(LEN($B141)&gt;0,$B$46*1000000,"")</f>
        <v>467512500</v>
      </c>
      <c r="C146" s="28"/>
    </row>
    <row r="147" spans="1:3" x14ac:dyDescent="0.25">
      <c r="A147" s="26" t="s">
        <v>126</v>
      </c>
      <c r="B147" s="27">
        <f ca="1">IF(LEN($B142)&gt;0,$B$46*1000000,"")</f>
        <v>467512500</v>
      </c>
      <c r="C147" s="28"/>
    </row>
    <row r="148" spans="1:3" x14ac:dyDescent="0.25">
      <c r="A148" s="24"/>
      <c r="B148" s="25"/>
      <c r="C148" s="28"/>
    </row>
    <row r="149" spans="1:3" ht="30" x14ac:dyDescent="0.25">
      <c r="A149" s="38" t="s">
        <v>127</v>
      </c>
      <c r="B149" s="39" t="str">
        <f>SUBSTITUTE(TRIM(SUBSTITUTE(IF(LEN(B49)&gt;0,","&amp;B49*1000000,"")&amp;IF(LEN(B50)&gt;0,","&amp;B50*1000000,"")&amp;IF(LEN(B51)&gt;0,","&amp;B51*1000000,"")&amp;IF(LEN(B52)&gt;0,","&amp;B52*1000000,"")&amp;IF(LEN(B53)&gt;0,","&amp;B53*1000000,"")&amp;IF(LEN(B54)&gt;0,","&amp;B54*1000000,"")&amp;IF(LEN(B55)&gt;0,","&amp;B55*1000000,"")&amp;IF(LEN(B56)&gt;0,","&amp;B56*1000000,"")&amp;IF(LEN(B57)&gt;0,","&amp;B57*1000000,"")&amp;IF(LEN(B58)&gt;0,","&amp;B58*1000000,"")&amp;IF(LEN(B59)&gt;0,","&amp;B59*1000000,"")&amp;IF(LEN(B60)&gt;0,","&amp;B60*1000000,"")&amp;IF(LEN(B61)&gt;0,","&amp;B61*1000000,"")&amp;IF(LEN(B62)&gt;0,","&amp;B62*1000000,"")&amp;IF(LEN(B63)&gt;0,","&amp;B63*1000000,"")&amp;IF(LEN(B48)&gt;0,","&amp;B48*1000000,"")&amp;IF(LEN(B47)&gt;0,","&amp;B47*1000000,"")&amp;IF(LEN(B46)&gt;0,","&amp;B46*1000000,""),","," "))," ",",")</f>
        <v>456287500,456312500,456337500,456487500,456687500,456737500,457162500,457662500,462412500,467512500</v>
      </c>
      <c r="C149" s="28"/>
    </row>
    <row r="150" spans="1:3" ht="30" x14ac:dyDescent="0.25">
      <c r="A150" s="38" t="s">
        <v>128</v>
      </c>
      <c r="B150" s="39" t="str">
        <f>SUBSTITUTE(TRIM(SUBSTITUTE(IF(LEN(B153)&gt;0,IF(ISERROR(B153*1000000),"",","&amp;B153),"")&amp;IF(LEN(B49)&gt;0,IF(ISERROR(B49*1000000),"",","&amp;B49*1000000),"")&amp;IF(LEN(B50)&gt;0,IF(ISERROR(B50*1000000),"",","&amp;B50*1000000),"")&amp;IF(LEN(B51)&gt;0,IF(ISERROR(B51*1000000),"",","&amp;B51*1000000),"")&amp;IF(LEN(B52)&gt;0,IF(ISERROR(B52*1000000),"",","&amp;B52*1000000),"")&amp;IF(LEN(B53)&gt;0,IF(ISERROR(B53*1000000),"",","&amp;B53*1000000),"")&amp;IF(LEN(B54)&gt;0,IF(ISERROR(B54*1000000),"",","&amp;B54*1000000),"")&amp;IF(LEN(B55)&gt;0,IF(ISERROR(B55*1000000),"",","&amp;B55*1000000),"")&amp;IF(LEN(B56)&gt;0,IF(ISERROR(B56*1000000),"",","&amp;B56*1000000),"")&amp;IF(LEN(B57)&gt;0,IF(ISERROR(B57*1000000),"",","&amp;B57*1000000),"")&amp;IF(LEN(B58)&gt;0,IF(ISERROR(B58*1000000),"",","&amp;B58*1000000),"")&amp;IF(LEN(B59)&gt;0,IF(ISERROR(B59*1000000),"",","&amp;B59*1000000),"")&amp;IF(LEN(B60)&gt;0,IF(ISERROR(B60*1000000),"",","&amp;B60*1000000),"")&amp;IF(LEN(B61)&gt;0,IF(ISERROR(B61*1000000),"",","&amp;B61*1000000),"")&amp;IF(LEN(B62)&gt;0,IF(ISERROR(B62*1000000),"",","&amp;B62*1000000),"")&amp;IF(LEN(B63)&gt;0,IF(ISERROR(B63*1000000),"",","&amp;B63*1000000),""),","," "))," ",",")</f>
        <v>462412500,456287500,456312500,456337500,456487500,456687500,456737500,457162500</v>
      </c>
      <c r="C150" s="28"/>
    </row>
    <row r="151" spans="1:3" x14ac:dyDescent="0.25">
      <c r="A151" s="24"/>
      <c r="B151" s="25"/>
      <c r="C151" s="28"/>
    </row>
    <row r="152" spans="1:3" ht="30" x14ac:dyDescent="0.25">
      <c r="A152" s="2" t="s">
        <v>129</v>
      </c>
      <c r="B152" s="40" t="str">
        <f>B149&amp;REPT(",",18-(LEN(TRIM(B149))-LEN(SUBSTITUTE(TRIM(B149),",",""))+1))</f>
        <v>456287500,456312500,456337500,456487500,456687500,456737500,457162500,457662500,462412500,467512500,,,,,,,,</v>
      </c>
      <c r="C152" s="10" t="s">
        <v>127</v>
      </c>
    </row>
    <row r="153" spans="1:3" ht="24" x14ac:dyDescent="0.25">
      <c r="A153" s="2" t="s">
        <v>110</v>
      </c>
      <c r="B153" s="41">
        <f>IF(ISERROR(B47*1000000),"",B47*1000000)</f>
        <v>462412500</v>
      </c>
      <c r="C153" s="10" t="s">
        <v>130</v>
      </c>
    </row>
    <row r="154" spans="1:3" ht="30" x14ac:dyDescent="0.25">
      <c r="A154" s="2" t="s">
        <v>111</v>
      </c>
      <c r="B154" s="40" t="str">
        <f>B150</f>
        <v>462412500,456287500,456312500,456337500,456487500,456687500,456737500,457162500</v>
      </c>
      <c r="C154" s="10" t="s">
        <v>128</v>
      </c>
    </row>
    <row r="155" spans="1:3" ht="24" x14ac:dyDescent="0.25">
      <c r="A155" s="2" t="s">
        <v>131</v>
      </c>
      <c r="B155" s="40" t="str">
        <f>IF(B21="No","466600000,468000000,456000000,458000000",IF(OR(B46&lt;450,B46&gt;470,B48&lt;450,B48&gt;470),"INVALID FREQUENCY",B46*1000000&amp;","&amp;B46*1000000&amp;","&amp;B48*1000000&amp;","&amp;B48*1000000))</f>
        <v>467512500,467512500,457662500,457662500</v>
      </c>
      <c r="C155" s="10" t="s">
        <v>132</v>
      </c>
    </row>
    <row r="156" spans="1:3" ht="24" x14ac:dyDescent="0.25">
      <c r="A156" s="2" t="s">
        <v>133</v>
      </c>
      <c r="B156" s="40" t="str">
        <f>IF(OR(B153&gt;450000000,B153&lt;470000000),B153&amp;","&amp;B153,"INVALID")&amp;",456000000,458000000"</f>
        <v>462412500,462412500,456000000,458000000</v>
      </c>
      <c r="C156" s="10" t="s">
        <v>134</v>
      </c>
    </row>
    <row r="157" spans="1:3" x14ac:dyDescent="0.25">
      <c r="A157" s="2" t="s">
        <v>135</v>
      </c>
      <c r="B157" s="40">
        <v>1</v>
      </c>
      <c r="C157" s="10" t="s">
        <v>136</v>
      </c>
    </row>
    <row r="158" spans="1:3" ht="24" x14ac:dyDescent="0.25">
      <c r="A158" s="2" t="s">
        <v>137</v>
      </c>
      <c r="B158" s="40">
        <v>0</v>
      </c>
      <c r="C158" s="10" t="s">
        <v>138</v>
      </c>
    </row>
    <row r="159" spans="1:3" x14ac:dyDescent="0.25">
      <c r="A159" s="2" t="s">
        <v>139</v>
      </c>
      <c r="B159" s="40">
        <v>2</v>
      </c>
      <c r="C159" s="10" t="s">
        <v>140</v>
      </c>
    </row>
    <row r="160" spans="1:3" ht="60" x14ac:dyDescent="0.25">
      <c r="A160" s="2" t="s">
        <v>141</v>
      </c>
      <c r="B160" s="40" t="str">
        <f>DTLS!B13</f>
        <v>305E305C310B30090603550406130255533110300E06035504080C07416C6162616D61310F300D06035504070C06446F7468616E311D301B060355040A0C14446F7468616E2C2043697479206F662028414C29310B300906035504030C024845</v>
      </c>
      <c r="C160" s="10" t="s">
        <v>142</v>
      </c>
    </row>
    <row r="161" spans="1:3" ht="60" x14ac:dyDescent="0.25">
      <c r="A161" s="2" t="s">
        <v>143</v>
      </c>
      <c r="B161" s="40" t="str">
        <f>DTLS!B14</f>
        <v>305E305C310B30090603550406130255533110300E06035504080C07416C6162616D61310F300D06035504070C06446F7468616E311D301B060355040A0C14446F7468616E2C2043697479206F662028414C29310B300906035504030C024D53</v>
      </c>
      <c r="C161" s="10" t="s">
        <v>144</v>
      </c>
    </row>
    <row r="162" spans="1:3" ht="240" x14ac:dyDescent="0.25">
      <c r="A162" s="2" t="s">
        <v>145</v>
      </c>
      <c r="B162" s="40" t="s">
        <v>146</v>
      </c>
      <c r="C162" s="10" t="s">
        <v>147</v>
      </c>
    </row>
    <row r="163" spans="1:3" x14ac:dyDescent="0.25">
      <c r="A163" s="2" t="s">
        <v>148</v>
      </c>
      <c r="B163" s="42">
        <v>0</v>
      </c>
      <c r="C163" s="10"/>
    </row>
    <row r="164" spans="1:3" x14ac:dyDescent="0.25">
      <c r="A164" s="2" t="s">
        <v>149</v>
      </c>
      <c r="B164" s="42">
        <v>0</v>
      </c>
      <c r="C164" s="10"/>
    </row>
    <row r="165" spans="1:3" x14ac:dyDescent="0.25">
      <c r="A165" s="2" t="s">
        <v>150</v>
      </c>
      <c r="B165" s="42">
        <v>85</v>
      </c>
      <c r="C165" s="10" t="s">
        <v>151</v>
      </c>
    </row>
    <row r="166" spans="1:3" x14ac:dyDescent="0.25">
      <c r="A166" s="2" t="s">
        <v>152</v>
      </c>
      <c r="B166" s="42">
        <v>170</v>
      </c>
      <c r="C166" s="10" t="s">
        <v>151</v>
      </c>
    </row>
    <row r="167" spans="1:3" x14ac:dyDescent="0.25">
      <c r="A167" s="2" t="s">
        <v>153</v>
      </c>
      <c r="B167" s="42">
        <v>85</v>
      </c>
      <c r="C167" s="10" t="s">
        <v>154</v>
      </c>
    </row>
    <row r="168" spans="1:3" x14ac:dyDescent="0.25">
      <c r="A168" s="2" t="s">
        <v>155</v>
      </c>
      <c r="B168" s="42">
        <v>1</v>
      </c>
      <c r="C168" s="10"/>
    </row>
    <row r="169" spans="1:3" x14ac:dyDescent="0.25">
      <c r="A169" s="2" t="s">
        <v>156</v>
      </c>
      <c r="B169" s="42">
        <v>60</v>
      </c>
      <c r="C169" s="10"/>
    </row>
    <row r="170" spans="1:3" x14ac:dyDescent="0.25">
      <c r="A170" s="2" t="s">
        <v>157</v>
      </c>
      <c r="B170" s="40">
        <f>VLOOKUP(B$14,TimeZone!$A$1:$N$15,11,FALSE)</f>
        <v>12901810688</v>
      </c>
      <c r="C170" s="10"/>
    </row>
    <row r="171" spans="1:3" x14ac:dyDescent="0.25">
      <c r="A171" s="2" t="s">
        <v>158</v>
      </c>
      <c r="B171" s="40">
        <f>VLOOKUP(B$14,TimeZone!$A$1:$N$15,12,FALSE)</f>
        <v>47261483520</v>
      </c>
      <c r="C171" s="10"/>
    </row>
    <row r="172" spans="1:3" x14ac:dyDescent="0.25">
      <c r="A172" s="2" t="s">
        <v>159</v>
      </c>
      <c r="B172" s="40">
        <f>VLOOKUP(B$14,TimeZone!$A$1:$N$15,8,FALSE)</f>
        <v>-21600</v>
      </c>
      <c r="C172" s="10"/>
    </row>
    <row r="173" spans="1:3" x14ac:dyDescent="0.25">
      <c r="A173" s="2" t="s">
        <v>160</v>
      </c>
      <c r="B173" s="40">
        <f>VLOOKUP(B$14,TimeZone!$A$1:$N$15,9,FALSE)</f>
        <v>1</v>
      </c>
      <c r="C173" s="10"/>
    </row>
    <row r="174" spans="1:3" x14ac:dyDescent="0.25">
      <c r="A174" s="2" t="s">
        <v>161</v>
      </c>
      <c r="B174" s="40">
        <f>VLOOKUP(B$14,TimeZone!$A$1:$N$15,10,FALSE)</f>
        <v>3600</v>
      </c>
      <c r="C174" s="10"/>
    </row>
    <row r="175" spans="1:3" x14ac:dyDescent="0.25">
      <c r="A175" s="2" t="s">
        <v>162</v>
      </c>
      <c r="B175" s="40">
        <f>VLOOKUP(B$14,TimeZone!$A$1:$N$15,14,FALSE)</f>
        <v>3657572331</v>
      </c>
      <c r="C175" s="10"/>
    </row>
    <row r="176" spans="1:3" x14ac:dyDescent="0.25">
      <c r="A176" s="2" t="s">
        <v>163</v>
      </c>
      <c r="B176" s="40">
        <f>MOD(B15,24)*3600</f>
        <v>0</v>
      </c>
      <c r="C176" s="10"/>
    </row>
    <row r="177" spans="1:3" x14ac:dyDescent="0.25">
      <c r="A177" s="2" t="s">
        <v>164</v>
      </c>
      <c r="B177" s="40">
        <f>IF(B16="Default",1,IF(OR(B16&lt;1,B16&gt;28),1,B16))</f>
        <v>1</v>
      </c>
      <c r="C177" s="10"/>
    </row>
    <row r="178" spans="1:3" x14ac:dyDescent="0.25">
      <c r="A178" s="2" t="s">
        <v>165</v>
      </c>
      <c r="B178" s="40">
        <f>IF(B17&lt;1,0,IF(B17&gt;300,300,B17))</f>
        <v>30</v>
      </c>
      <c r="C178" s="10"/>
    </row>
    <row r="179" spans="1:3" x14ac:dyDescent="0.25">
      <c r="A179" s="2" t="s">
        <v>166</v>
      </c>
      <c r="B179" s="40">
        <f>IF(B18&lt;1,0,IF(B18&gt;300,300,B18))</f>
        <v>15</v>
      </c>
      <c r="C179" s="10"/>
    </row>
    <row r="180" spans="1:3" x14ac:dyDescent="0.25">
      <c r="A180" s="43" t="s">
        <v>167</v>
      </c>
      <c r="B180" s="44"/>
      <c r="C180" s="45"/>
    </row>
    <row r="181" spans="1:3" x14ac:dyDescent="0.25">
      <c r="A181" s="46" t="s">
        <v>168</v>
      </c>
      <c r="B181" s="44"/>
      <c r="C181" s="45"/>
    </row>
    <row r="182" spans="1:3" x14ac:dyDescent="0.25">
      <c r="A182" s="46" t="s">
        <v>169</v>
      </c>
      <c r="B182" s="44"/>
      <c r="C182" s="45"/>
    </row>
    <row r="183" spans="1:3" x14ac:dyDescent="0.25">
      <c r="A183" s="46" t="s">
        <v>170</v>
      </c>
      <c r="B183" s="44"/>
      <c r="C183" s="45"/>
    </row>
  </sheetData>
  <sheetProtection selectLockedCells="1" selectUnlockedCells="1"/>
  <mergeCells count="5">
    <mergeCell ref="A1:C1"/>
    <mergeCell ref="A31:B31"/>
    <mergeCell ref="A36:B36"/>
    <mergeCell ref="A40:B40"/>
    <mergeCell ref="A45:B45"/>
  </mergeCells>
  <conditionalFormatting sqref="B32">
    <cfRule type="cellIs" dxfId="3" priority="1" stopIfTrue="1" operator="notEqual">
      <formula>"None"</formula>
    </cfRule>
  </conditionalFormatting>
  <conditionalFormatting sqref="B33">
    <cfRule type="cellIs" dxfId="2" priority="2" stopIfTrue="1" operator="notEqual">
      <formula>"Data Looks Ok"</formula>
    </cfRule>
  </conditionalFormatting>
  <conditionalFormatting sqref="B34">
    <cfRule type="cellIs" dxfId="1" priority="3" stopIfTrue="1" operator="equal">
      <formula>"Firmware Build Switch Allowed"</formula>
    </cfRule>
  </conditionalFormatting>
  <conditionalFormatting sqref="B35">
    <cfRule type="cellIs" dxfId="0" priority="4" stopIfTrue="1" operator="equal">
      <formula>"Error: More Radio Assets Needed"</formula>
    </cfRule>
  </conditionalFormatting>
  <dataValidations count="4">
    <dataValidation type="list" operator="equal" allowBlank="1" showErrorMessage="1" sqref="B13 B19:B23 B25" xr:uid="{00000000-0002-0000-0000-000000000000}">
      <formula1>"No,Yes"</formula1>
      <formula2>0</formula2>
    </dataValidation>
    <dataValidation type="list" operator="equal" allowBlank="1" showErrorMessage="1" sqref="B16" xr:uid="{00000000-0002-0000-0000-000001000000}">
      <formula1>"Default,1,2,3,4,5,6,7,8,9,10,11,12,13,14,15,16,17,18,19,20,21,22,23,24,25,26,27,28"</formula1>
      <formula2>0</formula2>
    </dataValidation>
    <dataValidation type="list" operator="equal" allowBlank="1" showErrorMessage="1" sqref="B24" xr:uid="{00000000-0002-0000-0000-000002000000}">
      <formula1>"1,2"</formula1>
      <formula2>0</formula2>
    </dataValidation>
    <dataValidation type="list" operator="equal" allowBlank="1" showErrorMessage="1" sqref="B12" xr:uid="{00000000-0002-0000-0000-000003000000}">
      <formula1>"Manufacturer,Utility"</formula1>
      <formula2>0</formula2>
    </dataValidation>
  </dataValidations>
  <hyperlinks>
    <hyperlink ref="B10" r:id="rId1" xr:uid="{00000000-0004-0000-0000-000000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xr:uid="{00000000-0002-0000-0000-000004000000}">
          <x14:formula1>
            <xm:f>LocationList!$F$2:$F$6</xm:f>
          </x14:formula1>
          <x14:formula2>
            <xm:f>0</xm:f>
          </x14:formula2>
          <xm:sqref>B4</xm:sqref>
        </x14:dataValidation>
        <x14:dataValidation type="list" operator="equal" allowBlank="1" xr:uid="{00000000-0002-0000-0000-000005000000}">
          <x14:formula1>
            <xm:f>LocationList!$J$2:$J$150</xm:f>
          </x14:formula1>
          <x14:formula2>
            <xm:f>0</xm:f>
          </x14:formula2>
          <xm:sqref>B5</xm:sqref>
        </x14:dataValidation>
        <x14:dataValidation type="list" operator="equal" allowBlank="1" xr:uid="{00000000-0002-0000-0000-000006000000}">
          <x14:formula1>
            <xm:f>TimeZone!$A$2:$A$15</xm:f>
          </x14:formula1>
          <x14:formula2>
            <xm:f>0</xm:f>
          </x14:formula2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"/>
  <sheetViews>
    <sheetView workbookViewId="0">
      <selection activeCell="N8" sqref="N8"/>
    </sheetView>
  </sheetViews>
  <sheetFormatPr defaultColWidth="11.5703125" defaultRowHeight="15" x14ac:dyDescent="0.25"/>
  <cols>
    <col min="1" max="1" width="23.28515625" customWidth="1"/>
    <col min="2" max="3" width="19.140625" customWidth="1"/>
    <col min="4" max="4" width="29.42578125" customWidth="1"/>
    <col min="5" max="5" width="13.7109375" customWidth="1"/>
    <col min="6" max="6" width="14.140625" customWidth="1"/>
    <col min="7" max="7" width="39.85546875" customWidth="1"/>
    <col min="8" max="8" width="3.140625" customWidth="1"/>
    <col min="9" max="9" width="3" customWidth="1"/>
    <col min="10" max="12" width="2.85546875" customWidth="1"/>
    <col min="13" max="13" width="3.140625" customWidth="1"/>
    <col min="14" max="14" width="2.85546875" customWidth="1"/>
    <col min="15" max="16" width="3.140625" customWidth="1"/>
    <col min="17" max="23" width="2.85546875" customWidth="1"/>
    <col min="24" max="24" width="3.140625" customWidth="1"/>
    <col min="25" max="37" width="2.85546875" customWidth="1"/>
  </cols>
  <sheetData>
    <row r="1" spans="1:37" ht="14.45" customHeight="1" x14ac:dyDescent="0.25">
      <c r="A1" s="70" t="str">
        <f>IF(CustomerWorksheet!B12="Aclara","Use Form Below","Don't Use Form Below")</f>
        <v>Don't Use Form Below</v>
      </c>
      <c r="B1" s="70"/>
      <c r="C1" s="70"/>
      <c r="D1" s="70"/>
      <c r="E1" s="70"/>
      <c r="F1" s="70"/>
      <c r="G1" s="70"/>
    </row>
    <row r="2" spans="1:37" ht="14.45" customHeight="1" x14ac:dyDescent="0.25">
      <c r="A2" s="71"/>
      <c r="B2" s="71"/>
      <c r="C2" s="71"/>
      <c r="D2" s="71"/>
      <c r="E2" s="71"/>
      <c r="F2" s="71"/>
      <c r="G2" s="71"/>
    </row>
    <row r="3" spans="1:37" ht="14.45" customHeight="1" x14ac:dyDescent="0.25">
      <c r="A3" s="72" t="s">
        <v>171</v>
      </c>
      <c r="B3" s="72"/>
      <c r="C3" s="72"/>
      <c r="D3" s="72"/>
      <c r="E3" s="72"/>
      <c r="F3" s="72"/>
      <c r="G3" s="72"/>
      <c r="H3" s="47">
        <v>1</v>
      </c>
      <c r="I3" s="47">
        <f t="shared" ref="I3:AK3" si="0">H3+1</f>
        <v>2</v>
      </c>
      <c r="J3" s="47">
        <f t="shared" si="0"/>
        <v>3</v>
      </c>
      <c r="K3" s="47">
        <f t="shared" si="0"/>
        <v>4</v>
      </c>
      <c r="L3" s="47">
        <f t="shared" si="0"/>
        <v>5</v>
      </c>
      <c r="M3" s="47">
        <f t="shared" si="0"/>
        <v>6</v>
      </c>
      <c r="N3" s="47">
        <f t="shared" si="0"/>
        <v>7</v>
      </c>
      <c r="O3" s="47">
        <f t="shared" si="0"/>
        <v>8</v>
      </c>
      <c r="P3" s="47">
        <f t="shared" si="0"/>
        <v>9</v>
      </c>
      <c r="Q3" s="47">
        <f t="shared" si="0"/>
        <v>10</v>
      </c>
      <c r="R3" s="47">
        <f t="shared" si="0"/>
        <v>11</v>
      </c>
      <c r="S3" s="47">
        <f t="shared" si="0"/>
        <v>12</v>
      </c>
      <c r="T3" s="47">
        <f t="shared" si="0"/>
        <v>13</v>
      </c>
      <c r="U3" s="47">
        <f t="shared" si="0"/>
        <v>14</v>
      </c>
      <c r="V3" s="47">
        <f t="shared" si="0"/>
        <v>15</v>
      </c>
      <c r="W3" s="47">
        <f t="shared" si="0"/>
        <v>16</v>
      </c>
      <c r="X3" s="47">
        <f t="shared" si="0"/>
        <v>17</v>
      </c>
      <c r="Y3" s="47">
        <f t="shared" si="0"/>
        <v>18</v>
      </c>
      <c r="Z3" s="47">
        <f t="shared" si="0"/>
        <v>19</v>
      </c>
      <c r="AA3" s="47">
        <f t="shared" si="0"/>
        <v>20</v>
      </c>
      <c r="AB3" s="47">
        <f t="shared" si="0"/>
        <v>21</v>
      </c>
      <c r="AC3" s="47">
        <f t="shared" si="0"/>
        <v>22</v>
      </c>
      <c r="AD3" s="47">
        <f t="shared" si="0"/>
        <v>23</v>
      </c>
      <c r="AE3" s="47">
        <f t="shared" si="0"/>
        <v>24</v>
      </c>
      <c r="AF3" s="47">
        <f t="shared" si="0"/>
        <v>25</v>
      </c>
      <c r="AG3" s="47">
        <f t="shared" si="0"/>
        <v>26</v>
      </c>
      <c r="AH3" s="47">
        <f t="shared" si="0"/>
        <v>27</v>
      </c>
      <c r="AI3" s="47">
        <f t="shared" si="0"/>
        <v>28</v>
      </c>
      <c r="AJ3" s="47">
        <f t="shared" si="0"/>
        <v>29</v>
      </c>
      <c r="AK3" s="47">
        <f t="shared" si="0"/>
        <v>30</v>
      </c>
    </row>
    <row r="4" spans="1:37" s="55" customFormat="1" ht="24.95" customHeight="1" x14ac:dyDescent="0.25">
      <c r="A4" s="48" t="s">
        <v>172</v>
      </c>
      <c r="B4" s="49" t="str">
        <f>CustomerWorksheet!B41</f>
        <v>Dothan, City of (AL)</v>
      </c>
      <c r="C4" s="50">
        <f t="shared" ref="C4:C9" si="1">LEN(B4)</f>
        <v>20</v>
      </c>
      <c r="D4" s="51" t="str">
        <f t="shared" ref="D4:D9" si="2">"31"&amp;DEC2HEX(LEN(B4)+9,2)&amp;"30"&amp;DEC2HEX(LEN(B4)+7,2)&amp;E4&amp;IF(F4="UTF-8","0C","13")&amp;DEC2HEX(LEN(B4),2)&amp;G4</f>
        <v>311D301B060355040A0C14446F7468616E2C2043697479206F662028414C29</v>
      </c>
      <c r="E4" s="49" t="s">
        <v>173</v>
      </c>
      <c r="F4" s="52" t="s">
        <v>174</v>
      </c>
      <c r="G4" s="53" t="str">
        <f t="shared" ref="G4:G9" si="3">H4&amp;I4&amp;J4&amp;K4&amp;L4&amp;M4&amp;N4&amp;O4&amp;P4&amp;Q4&amp;R4&amp;S4&amp;T4&amp;U4&amp;V4&amp;W4&amp;X4&amp;Y4&amp;Z4&amp;AA4&amp;AB4&amp;AC4&amp;AD4&amp;AE4&amp;AF4&amp;AG4&amp;AH4&amp;AI4&amp;AJ4&amp;AK4</f>
        <v>446F7468616E2C2043697479206F662028414C29</v>
      </c>
      <c r="H4" s="54" t="str">
        <f t="shared" ref="H4:Q9" si="4">IF(H$3&gt;$C4,"",DEC2HEX(CODE(MID($B4,H$3,1)),2))</f>
        <v>44</v>
      </c>
      <c r="I4" s="54" t="str">
        <f t="shared" si="4"/>
        <v>6F</v>
      </c>
      <c r="J4" s="54" t="str">
        <f t="shared" si="4"/>
        <v>74</v>
      </c>
      <c r="K4" s="54" t="str">
        <f t="shared" si="4"/>
        <v>68</v>
      </c>
      <c r="L4" s="54" t="str">
        <f t="shared" si="4"/>
        <v>61</v>
      </c>
      <c r="M4" s="54" t="str">
        <f t="shared" si="4"/>
        <v>6E</v>
      </c>
      <c r="N4" s="54" t="str">
        <f t="shared" si="4"/>
        <v>2C</v>
      </c>
      <c r="O4" s="54" t="str">
        <f t="shared" si="4"/>
        <v>20</v>
      </c>
      <c r="P4" s="54" t="str">
        <f t="shared" si="4"/>
        <v>43</v>
      </c>
      <c r="Q4" s="54" t="str">
        <f t="shared" si="4"/>
        <v>69</v>
      </c>
      <c r="R4" s="54" t="str">
        <f t="shared" ref="R4:AA9" si="5">IF(R$3&gt;$C4,"",DEC2HEX(CODE(MID($B4,R$3,1)),2))</f>
        <v>74</v>
      </c>
      <c r="S4" s="54" t="str">
        <f t="shared" si="5"/>
        <v>79</v>
      </c>
      <c r="T4" s="54" t="str">
        <f t="shared" si="5"/>
        <v>20</v>
      </c>
      <c r="U4" s="54" t="str">
        <f t="shared" si="5"/>
        <v>6F</v>
      </c>
      <c r="V4" s="54" t="str">
        <f t="shared" si="5"/>
        <v>66</v>
      </c>
      <c r="W4" s="54" t="str">
        <f t="shared" si="5"/>
        <v>20</v>
      </c>
      <c r="X4" s="54" t="str">
        <f t="shared" si="5"/>
        <v>28</v>
      </c>
      <c r="Y4" s="54" t="str">
        <f t="shared" si="5"/>
        <v>41</v>
      </c>
      <c r="Z4" s="54" t="str">
        <f t="shared" si="5"/>
        <v>4C</v>
      </c>
      <c r="AA4" s="54" t="str">
        <f t="shared" si="5"/>
        <v>29</v>
      </c>
      <c r="AB4" s="54" t="str">
        <f t="shared" ref="AB4:AK9" si="6">IF(AB$3&gt;$C4,"",DEC2HEX(CODE(MID($B4,AB$3,1)),2))</f>
        <v/>
      </c>
      <c r="AC4" s="54" t="str">
        <f t="shared" si="6"/>
        <v/>
      </c>
      <c r="AD4" s="54" t="str">
        <f t="shared" si="6"/>
        <v/>
      </c>
      <c r="AE4" s="54" t="str">
        <f t="shared" si="6"/>
        <v/>
      </c>
      <c r="AF4" s="54" t="str">
        <f t="shared" si="6"/>
        <v/>
      </c>
      <c r="AG4" s="54" t="str">
        <f t="shared" si="6"/>
        <v/>
      </c>
      <c r="AH4" s="54" t="str">
        <f t="shared" si="6"/>
        <v/>
      </c>
      <c r="AI4" s="54" t="str">
        <f t="shared" si="6"/>
        <v/>
      </c>
      <c r="AJ4" s="54" t="str">
        <f t="shared" si="6"/>
        <v/>
      </c>
      <c r="AK4" s="54" t="str">
        <f t="shared" si="6"/>
        <v/>
      </c>
    </row>
    <row r="5" spans="1:37" s="55" customFormat="1" ht="24.2" customHeight="1" x14ac:dyDescent="0.25">
      <c r="A5" s="48" t="s">
        <v>175</v>
      </c>
      <c r="B5" s="49" t="str">
        <f>CustomerWorksheet!B42</f>
        <v>US</v>
      </c>
      <c r="C5" s="50">
        <f t="shared" si="1"/>
        <v>2</v>
      </c>
      <c r="D5" s="51" t="str">
        <f t="shared" si="2"/>
        <v>310B3009060355040613025553</v>
      </c>
      <c r="E5" s="49" t="s">
        <v>176</v>
      </c>
      <c r="F5" s="52" t="s">
        <v>177</v>
      </c>
      <c r="G5" s="53" t="str">
        <f t="shared" si="3"/>
        <v>5553</v>
      </c>
      <c r="H5" s="54" t="str">
        <f t="shared" si="4"/>
        <v>55</v>
      </c>
      <c r="I5" s="54" t="str">
        <f t="shared" si="4"/>
        <v>53</v>
      </c>
      <c r="J5" s="54" t="str">
        <f t="shared" si="4"/>
        <v/>
      </c>
      <c r="K5" s="54" t="str">
        <f t="shared" si="4"/>
        <v/>
      </c>
      <c r="L5" s="54" t="str">
        <f t="shared" si="4"/>
        <v/>
      </c>
      <c r="M5" s="54" t="str">
        <f t="shared" si="4"/>
        <v/>
      </c>
      <c r="N5" s="54" t="str">
        <f t="shared" si="4"/>
        <v/>
      </c>
      <c r="O5" s="54" t="str">
        <f t="shared" si="4"/>
        <v/>
      </c>
      <c r="P5" s="54" t="str">
        <f t="shared" si="4"/>
        <v/>
      </c>
      <c r="Q5" s="54" t="str">
        <f t="shared" si="4"/>
        <v/>
      </c>
      <c r="R5" s="54" t="str">
        <f t="shared" si="5"/>
        <v/>
      </c>
      <c r="S5" s="54" t="str">
        <f t="shared" si="5"/>
        <v/>
      </c>
      <c r="T5" s="54" t="str">
        <f t="shared" si="5"/>
        <v/>
      </c>
      <c r="U5" s="54" t="str">
        <f t="shared" si="5"/>
        <v/>
      </c>
      <c r="V5" s="54" t="str">
        <f t="shared" si="5"/>
        <v/>
      </c>
      <c r="W5" s="54" t="str">
        <f t="shared" si="5"/>
        <v/>
      </c>
      <c r="X5" s="54" t="str">
        <f t="shared" si="5"/>
        <v/>
      </c>
      <c r="Y5" s="54" t="str">
        <f t="shared" si="5"/>
        <v/>
      </c>
      <c r="Z5" s="54" t="str">
        <f t="shared" si="5"/>
        <v/>
      </c>
      <c r="AA5" s="54" t="str">
        <f t="shared" si="5"/>
        <v/>
      </c>
      <c r="AB5" s="54" t="str">
        <f t="shared" si="6"/>
        <v/>
      </c>
      <c r="AC5" s="54" t="str">
        <f t="shared" si="6"/>
        <v/>
      </c>
      <c r="AD5" s="54" t="str">
        <f t="shared" si="6"/>
        <v/>
      </c>
      <c r="AE5" s="54" t="str">
        <f t="shared" si="6"/>
        <v/>
      </c>
      <c r="AF5" s="54" t="str">
        <f t="shared" si="6"/>
        <v/>
      </c>
      <c r="AG5" s="54" t="str">
        <f t="shared" si="6"/>
        <v/>
      </c>
      <c r="AH5" s="54" t="str">
        <f t="shared" si="6"/>
        <v/>
      </c>
      <c r="AI5" s="54" t="str">
        <f t="shared" si="6"/>
        <v/>
      </c>
      <c r="AJ5" s="54" t="str">
        <f t="shared" si="6"/>
        <v/>
      </c>
      <c r="AK5" s="54" t="str">
        <f t="shared" si="6"/>
        <v/>
      </c>
    </row>
    <row r="6" spans="1:37" s="55" customFormat="1" ht="23.65" customHeight="1" x14ac:dyDescent="0.25">
      <c r="A6" s="48" t="s">
        <v>178</v>
      </c>
      <c r="B6" s="49" t="str">
        <f>CustomerWorksheet!B43</f>
        <v>Alabama</v>
      </c>
      <c r="C6" s="50">
        <f t="shared" si="1"/>
        <v>7</v>
      </c>
      <c r="D6" s="51" t="str">
        <f t="shared" si="2"/>
        <v>3110300E06035504080C07416C6162616D61</v>
      </c>
      <c r="E6" s="49" t="s">
        <v>179</v>
      </c>
      <c r="F6" s="52" t="s">
        <v>174</v>
      </c>
      <c r="G6" s="53" t="str">
        <f t="shared" si="3"/>
        <v>416C6162616D61</v>
      </c>
      <c r="H6" s="54" t="str">
        <f t="shared" si="4"/>
        <v>41</v>
      </c>
      <c r="I6" s="54" t="str">
        <f t="shared" si="4"/>
        <v>6C</v>
      </c>
      <c r="J6" s="54" t="str">
        <f t="shared" si="4"/>
        <v>61</v>
      </c>
      <c r="K6" s="54" t="str">
        <f t="shared" si="4"/>
        <v>62</v>
      </c>
      <c r="L6" s="54" t="str">
        <f t="shared" si="4"/>
        <v>61</v>
      </c>
      <c r="M6" s="54" t="str">
        <f t="shared" si="4"/>
        <v>6D</v>
      </c>
      <c r="N6" s="54" t="str">
        <f t="shared" si="4"/>
        <v>61</v>
      </c>
      <c r="O6" s="54" t="str">
        <f t="shared" si="4"/>
        <v/>
      </c>
      <c r="P6" s="54" t="str">
        <f t="shared" si="4"/>
        <v/>
      </c>
      <c r="Q6" s="54" t="str">
        <f t="shared" si="4"/>
        <v/>
      </c>
      <c r="R6" s="54" t="str">
        <f t="shared" si="5"/>
        <v/>
      </c>
      <c r="S6" s="54" t="str">
        <f t="shared" si="5"/>
        <v/>
      </c>
      <c r="T6" s="54" t="str">
        <f t="shared" si="5"/>
        <v/>
      </c>
      <c r="U6" s="54" t="str">
        <f t="shared" si="5"/>
        <v/>
      </c>
      <c r="V6" s="54" t="str">
        <f t="shared" si="5"/>
        <v/>
      </c>
      <c r="W6" s="54" t="str">
        <f t="shared" si="5"/>
        <v/>
      </c>
      <c r="X6" s="54" t="str">
        <f t="shared" si="5"/>
        <v/>
      </c>
      <c r="Y6" s="54" t="str">
        <f t="shared" si="5"/>
        <v/>
      </c>
      <c r="Z6" s="54" t="str">
        <f t="shared" si="5"/>
        <v/>
      </c>
      <c r="AA6" s="54" t="str">
        <f t="shared" si="5"/>
        <v/>
      </c>
      <c r="AB6" s="54" t="str">
        <f t="shared" si="6"/>
        <v/>
      </c>
      <c r="AC6" s="54" t="str">
        <f t="shared" si="6"/>
        <v/>
      </c>
      <c r="AD6" s="54" t="str">
        <f t="shared" si="6"/>
        <v/>
      </c>
      <c r="AE6" s="54" t="str">
        <f t="shared" si="6"/>
        <v/>
      </c>
      <c r="AF6" s="54" t="str">
        <f t="shared" si="6"/>
        <v/>
      </c>
      <c r="AG6" s="54" t="str">
        <f t="shared" si="6"/>
        <v/>
      </c>
      <c r="AH6" s="54" t="str">
        <f t="shared" si="6"/>
        <v/>
      </c>
      <c r="AI6" s="54" t="str">
        <f t="shared" si="6"/>
        <v/>
      </c>
      <c r="AJ6" s="54" t="str">
        <f t="shared" si="6"/>
        <v/>
      </c>
      <c r="AK6" s="54" t="str">
        <f t="shared" si="6"/>
        <v/>
      </c>
    </row>
    <row r="7" spans="1:37" s="55" customFormat="1" ht="26.1" customHeight="1" x14ac:dyDescent="0.25">
      <c r="A7" s="48" t="s">
        <v>180</v>
      </c>
      <c r="B7" s="49" t="str">
        <f>CustomerWorksheet!B44</f>
        <v>Dothan</v>
      </c>
      <c r="C7" s="50">
        <f t="shared" si="1"/>
        <v>6</v>
      </c>
      <c r="D7" s="51" t="str">
        <f t="shared" si="2"/>
        <v>310F300D06035504070C06446F7468616E</v>
      </c>
      <c r="E7" s="49" t="s">
        <v>181</v>
      </c>
      <c r="F7" s="52" t="s">
        <v>174</v>
      </c>
      <c r="G7" s="53" t="str">
        <f t="shared" si="3"/>
        <v>446F7468616E</v>
      </c>
      <c r="H7" s="54" t="str">
        <f t="shared" si="4"/>
        <v>44</v>
      </c>
      <c r="I7" s="54" t="str">
        <f t="shared" si="4"/>
        <v>6F</v>
      </c>
      <c r="J7" s="54" t="str">
        <f t="shared" si="4"/>
        <v>74</v>
      </c>
      <c r="K7" s="54" t="str">
        <f t="shared" si="4"/>
        <v>68</v>
      </c>
      <c r="L7" s="54" t="str">
        <f t="shared" si="4"/>
        <v>61</v>
      </c>
      <c r="M7" s="54" t="str">
        <f t="shared" si="4"/>
        <v>6E</v>
      </c>
      <c r="N7" s="54" t="str">
        <f t="shared" si="4"/>
        <v/>
      </c>
      <c r="O7" s="54" t="str">
        <f t="shared" si="4"/>
        <v/>
      </c>
      <c r="P7" s="54" t="str">
        <f t="shared" si="4"/>
        <v/>
      </c>
      <c r="Q7" s="54" t="str">
        <f t="shared" si="4"/>
        <v/>
      </c>
      <c r="R7" s="54" t="str">
        <f t="shared" si="5"/>
        <v/>
      </c>
      <c r="S7" s="54" t="str">
        <f t="shared" si="5"/>
        <v/>
      </c>
      <c r="T7" s="54" t="str">
        <f t="shared" si="5"/>
        <v/>
      </c>
      <c r="U7" s="54" t="str">
        <f t="shared" si="5"/>
        <v/>
      </c>
      <c r="V7" s="54" t="str">
        <f t="shared" si="5"/>
        <v/>
      </c>
      <c r="W7" s="54" t="str">
        <f t="shared" si="5"/>
        <v/>
      </c>
      <c r="X7" s="54" t="str">
        <f t="shared" si="5"/>
        <v/>
      </c>
      <c r="Y7" s="54" t="str">
        <f t="shared" si="5"/>
        <v/>
      </c>
      <c r="Z7" s="54" t="str">
        <f t="shared" si="5"/>
        <v/>
      </c>
      <c r="AA7" s="54" t="str">
        <f t="shared" si="5"/>
        <v/>
      </c>
      <c r="AB7" s="54" t="str">
        <f t="shared" si="6"/>
        <v/>
      </c>
      <c r="AC7" s="54" t="str">
        <f t="shared" si="6"/>
        <v/>
      </c>
      <c r="AD7" s="54" t="str">
        <f t="shared" si="6"/>
        <v/>
      </c>
      <c r="AE7" s="54" t="str">
        <f t="shared" si="6"/>
        <v/>
      </c>
      <c r="AF7" s="54" t="str">
        <f t="shared" si="6"/>
        <v/>
      </c>
      <c r="AG7" s="54" t="str">
        <f t="shared" si="6"/>
        <v/>
      </c>
      <c r="AH7" s="54" t="str">
        <f t="shared" si="6"/>
        <v/>
      </c>
      <c r="AI7" s="54" t="str">
        <f t="shared" si="6"/>
        <v/>
      </c>
      <c r="AJ7" s="54" t="str">
        <f t="shared" si="6"/>
        <v/>
      </c>
      <c r="AK7" s="54" t="str">
        <f t="shared" si="6"/>
        <v/>
      </c>
    </row>
    <row r="8" spans="1:37" s="55" customFormat="1" ht="24.95" customHeight="1" x14ac:dyDescent="0.25">
      <c r="A8" s="48" t="s">
        <v>182</v>
      </c>
      <c r="B8" s="56" t="s">
        <v>183</v>
      </c>
      <c r="C8" s="50">
        <f t="shared" si="1"/>
        <v>2</v>
      </c>
      <c r="D8" s="51" t="str">
        <f t="shared" si="2"/>
        <v>310B300906035504030C024845</v>
      </c>
      <c r="E8" s="49" t="s">
        <v>184</v>
      </c>
      <c r="F8" s="52" t="s">
        <v>174</v>
      </c>
      <c r="G8" s="53" t="str">
        <f t="shared" si="3"/>
        <v>4845</v>
      </c>
      <c r="H8" s="54" t="str">
        <f t="shared" si="4"/>
        <v>48</v>
      </c>
      <c r="I8" s="54" t="str">
        <f t="shared" si="4"/>
        <v>45</v>
      </c>
      <c r="J8" s="54" t="str">
        <f t="shared" si="4"/>
        <v/>
      </c>
      <c r="K8" s="54" t="str">
        <f t="shared" si="4"/>
        <v/>
      </c>
      <c r="L8" s="54" t="str">
        <f t="shared" si="4"/>
        <v/>
      </c>
      <c r="M8" s="54" t="str">
        <f t="shared" si="4"/>
        <v/>
      </c>
      <c r="N8" s="54" t="str">
        <f t="shared" si="4"/>
        <v/>
      </c>
      <c r="O8" s="54" t="str">
        <f t="shared" si="4"/>
        <v/>
      </c>
      <c r="P8" s="54" t="str">
        <f t="shared" si="4"/>
        <v/>
      </c>
      <c r="Q8" s="54" t="str">
        <f t="shared" si="4"/>
        <v/>
      </c>
      <c r="R8" s="54" t="str">
        <f t="shared" si="5"/>
        <v/>
      </c>
      <c r="S8" s="54" t="str">
        <f t="shared" si="5"/>
        <v/>
      </c>
      <c r="T8" s="54" t="str">
        <f t="shared" si="5"/>
        <v/>
      </c>
      <c r="U8" s="54" t="str">
        <f t="shared" si="5"/>
        <v/>
      </c>
      <c r="V8" s="54" t="str">
        <f t="shared" si="5"/>
        <v/>
      </c>
      <c r="W8" s="54" t="str">
        <f t="shared" si="5"/>
        <v/>
      </c>
      <c r="X8" s="54" t="str">
        <f t="shared" si="5"/>
        <v/>
      </c>
      <c r="Y8" s="54" t="str">
        <f t="shared" si="5"/>
        <v/>
      </c>
      <c r="Z8" s="54" t="str">
        <f t="shared" si="5"/>
        <v/>
      </c>
      <c r="AA8" s="54" t="str">
        <f t="shared" si="5"/>
        <v/>
      </c>
      <c r="AB8" s="54" t="str">
        <f t="shared" si="6"/>
        <v/>
      </c>
      <c r="AC8" s="54" t="str">
        <f t="shared" si="6"/>
        <v/>
      </c>
      <c r="AD8" s="54" t="str">
        <f t="shared" si="6"/>
        <v/>
      </c>
      <c r="AE8" s="54" t="str">
        <f t="shared" si="6"/>
        <v/>
      </c>
      <c r="AF8" s="54" t="str">
        <f t="shared" si="6"/>
        <v/>
      </c>
      <c r="AG8" s="54" t="str">
        <f t="shared" si="6"/>
        <v/>
      </c>
      <c r="AH8" s="54" t="str">
        <f t="shared" si="6"/>
        <v/>
      </c>
      <c r="AI8" s="54" t="str">
        <f t="shared" si="6"/>
        <v/>
      </c>
      <c r="AJ8" s="54" t="str">
        <f t="shared" si="6"/>
        <v/>
      </c>
      <c r="AK8" s="54" t="str">
        <f t="shared" si="6"/>
        <v/>
      </c>
    </row>
    <row r="9" spans="1:37" s="55" customFormat="1" ht="25.5" customHeight="1" x14ac:dyDescent="0.25">
      <c r="A9" s="48" t="s">
        <v>185</v>
      </c>
      <c r="B9" s="56" t="s">
        <v>186</v>
      </c>
      <c r="C9" s="50">
        <f t="shared" si="1"/>
        <v>2</v>
      </c>
      <c r="D9" s="51" t="str">
        <f t="shared" si="2"/>
        <v>310B300906035504030C024D53</v>
      </c>
      <c r="E9" s="49" t="s">
        <v>184</v>
      </c>
      <c r="F9" s="52" t="s">
        <v>174</v>
      </c>
      <c r="G9" s="53" t="str">
        <f t="shared" si="3"/>
        <v>4D53</v>
      </c>
      <c r="H9" s="54" t="str">
        <f t="shared" si="4"/>
        <v>4D</v>
      </c>
      <c r="I9" s="54" t="str">
        <f t="shared" si="4"/>
        <v>53</v>
      </c>
      <c r="J9" s="54" t="str">
        <f t="shared" si="4"/>
        <v/>
      </c>
      <c r="K9" s="54" t="str">
        <f t="shared" si="4"/>
        <v/>
      </c>
      <c r="L9" s="54" t="str">
        <f t="shared" si="4"/>
        <v/>
      </c>
      <c r="M9" s="54" t="str">
        <f t="shared" si="4"/>
        <v/>
      </c>
      <c r="N9" s="54" t="str">
        <f t="shared" si="4"/>
        <v/>
      </c>
      <c r="O9" s="54" t="str">
        <f t="shared" si="4"/>
        <v/>
      </c>
      <c r="P9" s="54" t="str">
        <f t="shared" si="4"/>
        <v/>
      </c>
      <c r="Q9" s="54" t="str">
        <f t="shared" si="4"/>
        <v/>
      </c>
      <c r="R9" s="54" t="str">
        <f t="shared" si="5"/>
        <v/>
      </c>
      <c r="S9" s="54" t="str">
        <f t="shared" si="5"/>
        <v/>
      </c>
      <c r="T9" s="54" t="str">
        <f t="shared" si="5"/>
        <v/>
      </c>
      <c r="U9" s="54" t="str">
        <f t="shared" si="5"/>
        <v/>
      </c>
      <c r="V9" s="54" t="str">
        <f t="shared" si="5"/>
        <v/>
      </c>
      <c r="W9" s="54" t="str">
        <f t="shared" si="5"/>
        <v/>
      </c>
      <c r="X9" s="54" t="str">
        <f t="shared" si="5"/>
        <v/>
      </c>
      <c r="Y9" s="54" t="str">
        <f t="shared" si="5"/>
        <v/>
      </c>
      <c r="Z9" s="54" t="str">
        <f t="shared" si="5"/>
        <v/>
      </c>
      <c r="AA9" s="54" t="str">
        <f t="shared" si="5"/>
        <v/>
      </c>
      <c r="AB9" s="54" t="str">
        <f t="shared" si="6"/>
        <v/>
      </c>
      <c r="AC9" s="54" t="str">
        <f t="shared" si="6"/>
        <v/>
      </c>
      <c r="AD9" s="54" t="str">
        <f t="shared" si="6"/>
        <v/>
      </c>
      <c r="AE9" s="54" t="str">
        <f t="shared" si="6"/>
        <v/>
      </c>
      <c r="AF9" s="54" t="str">
        <f t="shared" si="6"/>
        <v/>
      </c>
      <c r="AG9" s="54" t="str">
        <f t="shared" si="6"/>
        <v/>
      </c>
      <c r="AH9" s="54" t="str">
        <f t="shared" si="6"/>
        <v/>
      </c>
      <c r="AI9" s="54" t="str">
        <f t="shared" si="6"/>
        <v/>
      </c>
      <c r="AJ9" s="54" t="str">
        <f t="shared" si="6"/>
        <v/>
      </c>
      <c r="AK9" s="54" t="str">
        <f t="shared" si="6"/>
        <v/>
      </c>
    </row>
    <row r="10" spans="1:37" x14ac:dyDescent="0.25">
      <c r="A10" s="48" t="s">
        <v>187</v>
      </c>
      <c r="B10" s="73">
        <f>SUM(2,LEN($B$4)+11,LEN($B$5)+11,LEN($B$6)+11,LEN($B$7)+11,LEN($B$8)+11)</f>
        <v>94</v>
      </c>
      <c r="C10" s="73"/>
      <c r="D10" s="73"/>
      <c r="E10" s="73"/>
      <c r="F10" s="73"/>
      <c r="G10" s="73"/>
    </row>
    <row r="11" spans="1:37" x14ac:dyDescent="0.25">
      <c r="A11" s="48" t="s">
        <v>188</v>
      </c>
      <c r="B11" s="73">
        <f>SUM(2,LEN($B$4)+11,LEN($B$5)+11,LEN($B$6)+11,LEN($B$7)+11,LEN($B$9)+11)</f>
        <v>94</v>
      </c>
      <c r="C11" s="73"/>
      <c r="D11" s="73"/>
      <c r="E11" s="73"/>
      <c r="F11" s="73"/>
      <c r="G11" s="73"/>
    </row>
    <row r="12" spans="1:37" x14ac:dyDescent="0.25">
      <c r="A12" s="48" t="s">
        <v>189</v>
      </c>
      <c r="B12" s="73" t="str">
        <f>IF(MIN(C4:C9)=0,"Please fill in all cells",IF(LEN(B13)&lt;&gt;(B10+2)*2,"HE Cert Error",IF(LEN(B14)&lt;&gt;(B11+2)*2,"MS Cert Error",IF(OR(MAX(B10:B11)+2&gt;111,MAX(C4:C9)&gt;30),"Text String is to large","Data Looks Ok"))))</f>
        <v>Data Looks Ok</v>
      </c>
      <c r="C12" s="73"/>
      <c r="D12" s="73"/>
      <c r="E12" s="73"/>
      <c r="F12" s="73"/>
      <c r="G12" s="73"/>
    </row>
    <row r="13" spans="1:37" x14ac:dyDescent="0.25">
      <c r="A13" s="48" t="s">
        <v>141</v>
      </c>
      <c r="B13" s="69" t="str">
        <f>"30"&amp;DEC2HEX(B10,2)&amp;"30"&amp;DEC2HEX(B10-2,2)&amp;$D$5&amp;$D$6&amp;$D$7&amp;$D$4&amp;$D8</f>
        <v>305E305C310B30090603550406130255533110300E06035504080C07416C6162616D61310F300D06035504070C06446F7468616E311D301B060355040A0C14446F7468616E2C2043697479206F662028414C29310B300906035504030C024845</v>
      </c>
      <c r="C13" s="69"/>
      <c r="D13" s="69"/>
      <c r="E13" s="69"/>
      <c r="F13" s="69"/>
      <c r="G13" s="69"/>
    </row>
    <row r="14" spans="1:37" x14ac:dyDescent="0.25">
      <c r="A14" s="48" t="s">
        <v>143</v>
      </c>
      <c r="B14" s="69" t="str">
        <f>"30"&amp;DEC2HEX(B11,2)&amp;"30"&amp;DEC2HEX(B11-2,2)&amp;$D$5&amp;$D$6&amp;$D$7&amp;$D$4&amp;$D9</f>
        <v>305E305C310B30090603550406130255533110300E06035504080C07416C6162616D61310F300D06035504070C06446F7468616E311D301B060355040A0C14446F7468616E2C2043697479206F662028414C29310B300906035504030C024D53</v>
      </c>
      <c r="C14" s="69"/>
      <c r="D14" s="69"/>
      <c r="E14" s="69"/>
      <c r="F14" s="69"/>
      <c r="G14" s="69"/>
    </row>
    <row r="15" spans="1:37" ht="12.75" customHeight="1" x14ac:dyDescent="0.25">
      <c r="A15" s="48" t="s">
        <v>145</v>
      </c>
      <c r="B15" s="69" t="s">
        <v>146</v>
      </c>
      <c r="C15" s="69"/>
      <c r="D15" s="69"/>
      <c r="E15" s="69"/>
      <c r="F15" s="69"/>
      <c r="G15" s="69"/>
    </row>
  </sheetData>
  <sheetProtection sheet="1"/>
  <mergeCells count="9">
    <mergeCell ref="B13:G13"/>
    <mergeCell ref="B14:G14"/>
    <mergeCell ref="B15:G15"/>
    <mergeCell ref="A1:G1"/>
    <mergeCell ref="A2:G2"/>
    <mergeCell ref="A3:G3"/>
    <mergeCell ref="B10:G10"/>
    <mergeCell ref="B11:G11"/>
    <mergeCell ref="B12:G12"/>
  </mergeCells>
  <dataValidations count="1">
    <dataValidation type="list" operator="equal" allowBlank="1" sqref="F4:F9" xr:uid="{00000000-0002-0000-0100-000000000000}">
      <formula1>"Printable String,UTF-8"</formula1>
      <formula2>0</formula2>
    </dataValidation>
  </dataValidation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tabSelected="1" workbookViewId="0">
      <selection activeCell="J6" sqref="J6"/>
    </sheetView>
  </sheetViews>
  <sheetFormatPr defaultRowHeight="15" x14ac:dyDescent="0.25"/>
  <cols>
    <col min="1" max="1" width="20.5703125" customWidth="1"/>
    <col min="2" max="2" width="24.28515625" customWidth="1"/>
    <col min="5" max="5" width="11.140625" customWidth="1"/>
    <col min="8" max="8" width="11.42578125" customWidth="1"/>
    <col min="14" max="14" width="18.85546875" customWidth="1"/>
  </cols>
  <sheetData>
    <row r="1" spans="1:15" x14ac:dyDescent="0.25">
      <c r="A1" s="57" t="s">
        <v>190</v>
      </c>
      <c r="B1" s="57" t="s">
        <v>191</v>
      </c>
      <c r="C1" s="57" t="s">
        <v>192</v>
      </c>
      <c r="D1" s="57" t="s">
        <v>193</v>
      </c>
      <c r="E1" s="57" t="s">
        <v>194</v>
      </c>
      <c r="F1" s="57" t="s">
        <v>157</v>
      </c>
      <c r="G1" s="57" t="s">
        <v>158</v>
      </c>
      <c r="H1" s="57" t="s">
        <v>159</v>
      </c>
      <c r="I1" s="57" t="s">
        <v>160</v>
      </c>
      <c r="J1" s="57" t="s">
        <v>161</v>
      </c>
      <c r="K1" s="57" t="s">
        <v>480</v>
      </c>
      <c r="L1" s="57" t="s">
        <v>481</v>
      </c>
      <c r="M1" s="57" t="s">
        <v>162</v>
      </c>
      <c r="N1" s="57" t="s">
        <v>195</v>
      </c>
      <c r="O1" s="58"/>
    </row>
    <row r="2" spans="1:15" x14ac:dyDescent="0.25">
      <c r="A2" s="59" t="s">
        <v>196</v>
      </c>
      <c r="B2" s="59">
        <v>-10</v>
      </c>
      <c r="C2" s="59" t="s">
        <v>22</v>
      </c>
      <c r="D2" s="59"/>
      <c r="E2" s="59"/>
      <c r="F2" s="59" t="s">
        <v>197</v>
      </c>
      <c r="G2" s="59" t="s">
        <v>197</v>
      </c>
      <c r="H2" s="59">
        <v>-36000</v>
      </c>
      <c r="I2" s="59">
        <v>0</v>
      </c>
      <c r="J2" s="59">
        <v>0</v>
      </c>
      <c r="K2" s="59">
        <v>0</v>
      </c>
      <c r="L2" s="59">
        <v>0</v>
      </c>
      <c r="M2" s="59" t="s">
        <v>198</v>
      </c>
      <c r="N2" s="59">
        <f t="shared" ref="N2:N15" si="0">HEX2DEC(M2)</f>
        <v>3207954882</v>
      </c>
    </row>
    <row r="3" spans="1:15" x14ac:dyDescent="0.25">
      <c r="A3" s="59" t="s">
        <v>199</v>
      </c>
      <c r="B3" s="59">
        <v>-9</v>
      </c>
      <c r="C3" s="59" t="s">
        <v>29</v>
      </c>
      <c r="D3" s="59" t="s">
        <v>200</v>
      </c>
      <c r="E3" s="59" t="s">
        <v>201</v>
      </c>
      <c r="F3" s="59" t="s">
        <v>202</v>
      </c>
      <c r="G3" s="59" t="s">
        <v>203</v>
      </c>
      <c r="H3" s="59">
        <v>-32400</v>
      </c>
      <c r="I3" s="59">
        <v>1</v>
      </c>
      <c r="J3" s="59">
        <v>3600</v>
      </c>
      <c r="K3" s="59">
        <v>12901810688</v>
      </c>
      <c r="L3" s="59">
        <v>47261483520</v>
      </c>
      <c r="M3" s="59" t="s">
        <v>204</v>
      </c>
      <c r="N3" s="59">
        <f t="shared" si="0"/>
        <v>2946951692</v>
      </c>
    </row>
    <row r="4" spans="1:15" x14ac:dyDescent="0.25">
      <c r="A4" s="59" t="s">
        <v>205</v>
      </c>
      <c r="B4" s="59">
        <v>-8</v>
      </c>
      <c r="C4" s="59" t="s">
        <v>29</v>
      </c>
      <c r="D4" s="59" t="s">
        <v>200</v>
      </c>
      <c r="E4" s="59" t="s">
        <v>201</v>
      </c>
      <c r="F4" s="59" t="s">
        <v>202</v>
      </c>
      <c r="G4" s="59" t="s">
        <v>203</v>
      </c>
      <c r="H4" s="60">
        <v>-28800</v>
      </c>
      <c r="I4" s="59">
        <v>1</v>
      </c>
      <c r="J4" s="59">
        <v>3600</v>
      </c>
      <c r="K4" s="59">
        <v>12901810688</v>
      </c>
      <c r="L4" s="59">
        <v>47261483520</v>
      </c>
      <c r="M4" s="59" t="s">
        <v>206</v>
      </c>
      <c r="N4" s="59">
        <f t="shared" si="0"/>
        <v>1590939921</v>
      </c>
    </row>
    <row r="5" spans="1:15" x14ac:dyDescent="0.25">
      <c r="A5" s="59" t="s">
        <v>207</v>
      </c>
      <c r="B5" s="59">
        <v>-7</v>
      </c>
      <c r="C5" s="59" t="s">
        <v>29</v>
      </c>
      <c r="D5" s="59" t="s">
        <v>200</v>
      </c>
      <c r="E5" s="59" t="s">
        <v>201</v>
      </c>
      <c r="F5" s="59" t="s">
        <v>202</v>
      </c>
      <c r="G5" s="59" t="s">
        <v>203</v>
      </c>
      <c r="H5" s="60">
        <v>-25200</v>
      </c>
      <c r="I5" s="59">
        <v>1</v>
      </c>
      <c r="J5" s="59">
        <v>3600</v>
      </c>
      <c r="K5" s="59">
        <v>12901810688</v>
      </c>
      <c r="L5" s="59">
        <v>47261483520</v>
      </c>
      <c r="M5" s="59" t="s">
        <v>208</v>
      </c>
      <c r="N5" s="59">
        <f t="shared" si="0"/>
        <v>4177055880</v>
      </c>
    </row>
    <row r="6" spans="1:15" x14ac:dyDescent="0.25">
      <c r="A6" s="59" t="s">
        <v>209</v>
      </c>
      <c r="B6" s="59">
        <v>-7</v>
      </c>
      <c r="C6" s="59" t="s">
        <v>22</v>
      </c>
      <c r="D6" s="59"/>
      <c r="E6" s="59"/>
      <c r="F6" s="59" t="s">
        <v>197</v>
      </c>
      <c r="G6" s="59" t="s">
        <v>197</v>
      </c>
      <c r="H6" s="60">
        <v>-25200</v>
      </c>
      <c r="I6" s="59">
        <v>0</v>
      </c>
      <c r="J6" s="59">
        <v>0</v>
      </c>
      <c r="K6" s="59">
        <v>0</v>
      </c>
      <c r="L6" s="59">
        <v>0</v>
      </c>
      <c r="M6" s="59" t="s">
        <v>210</v>
      </c>
      <c r="N6" s="59">
        <f t="shared" si="0"/>
        <v>2660277922</v>
      </c>
    </row>
    <row r="7" spans="1:15" x14ac:dyDescent="0.25">
      <c r="A7" s="59" t="s">
        <v>24</v>
      </c>
      <c r="B7" s="59">
        <v>-6</v>
      </c>
      <c r="C7" s="59" t="s">
        <v>29</v>
      </c>
      <c r="D7" s="59" t="s">
        <v>200</v>
      </c>
      <c r="E7" s="59" t="s">
        <v>201</v>
      </c>
      <c r="F7" s="59" t="s">
        <v>202</v>
      </c>
      <c r="G7" s="59" t="s">
        <v>203</v>
      </c>
      <c r="H7" s="60">
        <v>-21600</v>
      </c>
      <c r="I7" s="59">
        <v>1</v>
      </c>
      <c r="J7" s="59">
        <v>3600</v>
      </c>
      <c r="K7" s="59">
        <v>12901810688</v>
      </c>
      <c r="L7" s="59">
        <v>47261483520</v>
      </c>
      <c r="M7" s="59" t="s">
        <v>211</v>
      </c>
      <c r="N7" s="59">
        <f t="shared" si="0"/>
        <v>3657572331</v>
      </c>
    </row>
    <row r="8" spans="1:15" x14ac:dyDescent="0.25">
      <c r="A8" s="59" t="s">
        <v>212</v>
      </c>
      <c r="B8" s="59">
        <v>-6</v>
      </c>
      <c r="C8" s="59" t="s">
        <v>22</v>
      </c>
      <c r="D8" s="59"/>
      <c r="E8" s="59"/>
      <c r="F8" s="59" t="s">
        <v>197</v>
      </c>
      <c r="G8" s="59" t="s">
        <v>197</v>
      </c>
      <c r="H8" s="60">
        <v>-21600</v>
      </c>
      <c r="I8" s="59">
        <v>0</v>
      </c>
      <c r="J8" s="59">
        <v>0</v>
      </c>
      <c r="K8" s="59">
        <v>0</v>
      </c>
      <c r="L8" s="59">
        <v>0</v>
      </c>
      <c r="M8" s="59" t="s">
        <v>213</v>
      </c>
      <c r="N8" s="59">
        <f t="shared" si="0"/>
        <v>3239460856</v>
      </c>
    </row>
    <row r="9" spans="1:15" x14ac:dyDescent="0.25">
      <c r="A9" s="59" t="s">
        <v>214</v>
      </c>
      <c r="B9" s="59">
        <v>-5</v>
      </c>
      <c r="C9" s="59" t="s">
        <v>29</v>
      </c>
      <c r="D9" s="59" t="s">
        <v>200</v>
      </c>
      <c r="E9" s="59" t="s">
        <v>201</v>
      </c>
      <c r="F9" s="59" t="s">
        <v>202</v>
      </c>
      <c r="G9" s="59" t="s">
        <v>203</v>
      </c>
      <c r="H9" s="60">
        <v>-18000</v>
      </c>
      <c r="I9" s="59">
        <v>1</v>
      </c>
      <c r="J9" s="59">
        <v>3600</v>
      </c>
      <c r="K9" s="59">
        <v>12901810688</v>
      </c>
      <c r="L9" s="59">
        <v>47261483520</v>
      </c>
      <c r="M9" s="59" t="s">
        <v>215</v>
      </c>
      <c r="N9" s="59">
        <f t="shared" si="0"/>
        <v>1923853993</v>
      </c>
    </row>
    <row r="10" spans="1:15" x14ac:dyDescent="0.25">
      <c r="A10" s="59" t="s">
        <v>216</v>
      </c>
      <c r="B10" s="59">
        <v>-5</v>
      </c>
      <c r="C10" s="59" t="s">
        <v>22</v>
      </c>
      <c r="D10" s="59"/>
      <c r="E10" s="59"/>
      <c r="F10" s="59" t="s">
        <v>197</v>
      </c>
      <c r="G10" s="59" t="s">
        <v>197</v>
      </c>
      <c r="H10" s="60">
        <v>-18000</v>
      </c>
      <c r="I10" s="59">
        <v>0</v>
      </c>
      <c r="J10" s="59">
        <v>0</v>
      </c>
      <c r="K10" s="59">
        <v>0</v>
      </c>
      <c r="L10" s="59">
        <v>0</v>
      </c>
      <c r="M10" s="59" t="s">
        <v>217</v>
      </c>
      <c r="N10" s="59">
        <f t="shared" si="0"/>
        <v>2391977616</v>
      </c>
    </row>
    <row r="11" spans="1:15" x14ac:dyDescent="0.25">
      <c r="A11" s="59" t="s">
        <v>218</v>
      </c>
      <c r="B11" s="59">
        <v>-4</v>
      </c>
      <c r="C11" s="59" t="s">
        <v>29</v>
      </c>
      <c r="D11" s="59" t="s">
        <v>200</v>
      </c>
      <c r="E11" s="59" t="s">
        <v>201</v>
      </c>
      <c r="F11" s="59" t="s">
        <v>202</v>
      </c>
      <c r="G11" s="59" t="s">
        <v>203</v>
      </c>
      <c r="H11" s="60">
        <v>-14400</v>
      </c>
      <c r="I11" s="59">
        <v>1</v>
      </c>
      <c r="J11" s="59">
        <v>3600</v>
      </c>
      <c r="K11" s="59">
        <v>12901810688</v>
      </c>
      <c r="L11" s="59">
        <v>47261483520</v>
      </c>
      <c r="M11" s="59" t="s">
        <v>219</v>
      </c>
      <c r="N11" s="59">
        <f t="shared" si="0"/>
        <v>1914090231</v>
      </c>
    </row>
    <row r="12" spans="1:15" x14ac:dyDescent="0.25">
      <c r="A12" s="59" t="s">
        <v>220</v>
      </c>
      <c r="B12" s="59">
        <v>-4</v>
      </c>
      <c r="C12" s="59" t="s">
        <v>22</v>
      </c>
      <c r="D12" s="59"/>
      <c r="E12" s="59"/>
      <c r="F12" s="59" t="s">
        <v>197</v>
      </c>
      <c r="G12" s="59" t="s">
        <v>197</v>
      </c>
      <c r="H12" s="60">
        <v>-14400</v>
      </c>
      <c r="I12" s="59">
        <v>0</v>
      </c>
      <c r="J12" s="59">
        <v>0</v>
      </c>
      <c r="K12" s="59">
        <v>0</v>
      </c>
      <c r="L12" s="59">
        <v>0</v>
      </c>
      <c r="M12" s="59" t="s">
        <v>221</v>
      </c>
      <c r="N12" s="59">
        <f t="shared" si="0"/>
        <v>3687288032</v>
      </c>
    </row>
    <row r="13" spans="1:15" x14ac:dyDescent="0.25">
      <c r="A13" s="59" t="s">
        <v>222</v>
      </c>
      <c r="B13" s="59">
        <v>-3.5</v>
      </c>
      <c r="C13" s="59" t="s">
        <v>29</v>
      </c>
      <c r="D13" s="59" t="s">
        <v>200</v>
      </c>
      <c r="E13" s="59" t="s">
        <v>201</v>
      </c>
      <c r="F13" s="59" t="s">
        <v>202</v>
      </c>
      <c r="G13" s="59" t="s">
        <v>203</v>
      </c>
      <c r="H13" s="60">
        <v>-12600</v>
      </c>
      <c r="I13" s="59">
        <v>1</v>
      </c>
      <c r="J13" s="59">
        <v>3600</v>
      </c>
      <c r="K13" s="59">
        <v>12901810688</v>
      </c>
      <c r="L13" s="59">
        <v>47261483520</v>
      </c>
      <c r="M13" s="59" t="s">
        <v>223</v>
      </c>
      <c r="N13" s="59">
        <f t="shared" si="0"/>
        <v>710518365</v>
      </c>
    </row>
    <row r="14" spans="1:15" x14ac:dyDescent="0.25">
      <c r="A14" s="59" t="s">
        <v>224</v>
      </c>
      <c r="B14" s="59">
        <v>7</v>
      </c>
      <c r="C14" s="59" t="s">
        <v>22</v>
      </c>
      <c r="D14" s="59"/>
      <c r="E14" s="59"/>
      <c r="F14" s="59" t="s">
        <v>197</v>
      </c>
      <c r="G14" s="59" t="s">
        <v>197</v>
      </c>
      <c r="H14" s="60">
        <v>25200</v>
      </c>
      <c r="I14" s="59">
        <v>0</v>
      </c>
      <c r="J14" s="59">
        <v>0</v>
      </c>
      <c r="K14" s="59">
        <v>0</v>
      </c>
      <c r="L14" s="59">
        <v>0</v>
      </c>
      <c r="M14" s="59" t="s">
        <v>225</v>
      </c>
      <c r="N14" s="59">
        <f t="shared" si="0"/>
        <v>1435306477</v>
      </c>
    </row>
    <row r="15" spans="1:15" x14ac:dyDescent="0.25">
      <c r="A15" s="59" t="s">
        <v>226</v>
      </c>
      <c r="B15" s="59">
        <v>8</v>
      </c>
      <c r="C15" s="59" t="s">
        <v>22</v>
      </c>
      <c r="D15" s="59"/>
      <c r="E15" s="59"/>
      <c r="F15" s="59" t="s">
        <v>197</v>
      </c>
      <c r="G15" s="59" t="s">
        <v>197</v>
      </c>
      <c r="H15" s="60">
        <v>28800</v>
      </c>
      <c r="I15" s="59">
        <v>0</v>
      </c>
      <c r="J15" s="59">
        <v>0</v>
      </c>
      <c r="K15" s="59">
        <v>0</v>
      </c>
      <c r="L15" s="59">
        <v>0</v>
      </c>
      <c r="M15" s="59" t="s">
        <v>227</v>
      </c>
      <c r="N15" s="59">
        <f t="shared" si="0"/>
        <v>1734379679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A17" sqref="A17"/>
    </sheetView>
  </sheetViews>
  <sheetFormatPr defaultRowHeight="15" x14ac:dyDescent="0.25"/>
  <cols>
    <col min="1" max="1" width="11.28515625" customWidth="1"/>
    <col min="2" max="2" width="17.5703125" customWidth="1"/>
    <col min="3" max="3" width="14.85546875" customWidth="1"/>
    <col min="4" max="4" width="10.5703125" customWidth="1"/>
    <col min="5" max="5" width="12" customWidth="1"/>
    <col min="6" max="6" width="10.42578125" customWidth="1"/>
    <col min="7" max="7" width="16.42578125" customWidth="1"/>
    <col min="8" max="8" width="8" customWidth="1"/>
    <col min="9" max="9" width="16.140625" customWidth="1"/>
    <col min="10" max="10" width="9.85546875" customWidth="1"/>
    <col min="11" max="11" width="13.42578125" customWidth="1"/>
    <col min="12" max="12" width="9.5703125" customWidth="1"/>
  </cols>
  <sheetData>
    <row r="1" spans="1:12" x14ac:dyDescent="0.25">
      <c r="A1" t="s">
        <v>228</v>
      </c>
      <c r="B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</row>
    <row r="2" spans="1:12" x14ac:dyDescent="0.25">
      <c r="A2" s="23">
        <v>169811</v>
      </c>
      <c r="B2" s="23" t="s">
        <v>239</v>
      </c>
      <c r="C2" s="23">
        <v>1</v>
      </c>
      <c r="D2" s="23" t="s">
        <v>240</v>
      </c>
      <c r="E2" s="23"/>
      <c r="F2" s="23" t="s">
        <v>240</v>
      </c>
      <c r="G2" s="23" t="s">
        <v>241</v>
      </c>
      <c r="H2" s="23">
        <v>1</v>
      </c>
      <c r="I2" s="23" t="s">
        <v>240</v>
      </c>
      <c r="J2" s="23">
        <v>457.66250000000002</v>
      </c>
      <c r="K2" s="61" t="s">
        <v>242</v>
      </c>
      <c r="L2" s="23" t="s">
        <v>243</v>
      </c>
    </row>
    <row r="3" spans="1:12" x14ac:dyDescent="0.25">
      <c r="A3" s="23">
        <v>169811</v>
      </c>
      <c r="B3" s="23" t="s">
        <v>239</v>
      </c>
      <c r="C3" s="23">
        <v>1</v>
      </c>
      <c r="D3" s="23" t="s">
        <v>240</v>
      </c>
      <c r="E3" s="23"/>
      <c r="F3" s="23" t="s">
        <v>240</v>
      </c>
      <c r="G3" s="23" t="s">
        <v>241</v>
      </c>
      <c r="H3" s="23">
        <v>1</v>
      </c>
      <c r="I3" s="23" t="s">
        <v>240</v>
      </c>
      <c r="J3" s="23">
        <v>467.51249999999999</v>
      </c>
      <c r="K3" s="61" t="s">
        <v>244</v>
      </c>
      <c r="L3" s="23" t="s">
        <v>243</v>
      </c>
    </row>
    <row r="4" spans="1:12" x14ac:dyDescent="0.25">
      <c r="A4" s="23">
        <v>169811</v>
      </c>
      <c r="B4" s="23" t="s">
        <v>239</v>
      </c>
      <c r="C4" s="23">
        <v>2</v>
      </c>
      <c r="D4" s="23" t="s">
        <v>240</v>
      </c>
      <c r="E4" s="23"/>
      <c r="F4" s="23" t="s">
        <v>240</v>
      </c>
      <c r="G4" s="23" t="s">
        <v>241</v>
      </c>
      <c r="H4" s="23">
        <v>1</v>
      </c>
      <c r="I4" s="23" t="s">
        <v>240</v>
      </c>
      <c r="J4" s="23">
        <v>456.28750000000002</v>
      </c>
      <c r="K4" s="61" t="s">
        <v>245</v>
      </c>
      <c r="L4" s="23" t="s">
        <v>246</v>
      </c>
    </row>
    <row r="5" spans="1:12" x14ac:dyDescent="0.25">
      <c r="A5" s="23">
        <v>169811</v>
      </c>
      <c r="B5" s="23" t="s">
        <v>239</v>
      </c>
      <c r="C5" s="23">
        <v>2</v>
      </c>
      <c r="D5" s="23" t="s">
        <v>240</v>
      </c>
      <c r="E5" s="23"/>
      <c r="F5" s="23" t="s">
        <v>240</v>
      </c>
      <c r="G5" s="23" t="s">
        <v>241</v>
      </c>
      <c r="H5" s="23">
        <v>1</v>
      </c>
      <c r="I5" s="23" t="s">
        <v>240</v>
      </c>
      <c r="J5" s="23">
        <v>456.3125</v>
      </c>
      <c r="K5" s="61" t="s">
        <v>245</v>
      </c>
      <c r="L5" s="23" t="s">
        <v>246</v>
      </c>
    </row>
    <row r="6" spans="1:12" x14ac:dyDescent="0.25">
      <c r="A6" s="23">
        <v>169811</v>
      </c>
      <c r="B6" s="23" t="s">
        <v>239</v>
      </c>
      <c r="C6" s="23">
        <v>2</v>
      </c>
      <c r="D6" s="23" t="s">
        <v>240</v>
      </c>
      <c r="E6" s="23"/>
      <c r="F6" s="23" t="s">
        <v>240</v>
      </c>
      <c r="G6" s="23" t="s">
        <v>241</v>
      </c>
      <c r="H6" s="23">
        <v>1</v>
      </c>
      <c r="I6" s="23" t="s">
        <v>240</v>
      </c>
      <c r="J6" s="23">
        <v>456.48750000000001</v>
      </c>
      <c r="K6" s="61" t="s">
        <v>245</v>
      </c>
      <c r="L6" s="23" t="s">
        <v>246</v>
      </c>
    </row>
    <row r="7" spans="1:12" x14ac:dyDescent="0.25">
      <c r="A7" s="23">
        <v>169811</v>
      </c>
      <c r="B7" s="23" t="s">
        <v>239</v>
      </c>
      <c r="C7" s="23">
        <v>2</v>
      </c>
      <c r="D7" s="23" t="s">
        <v>240</v>
      </c>
      <c r="E7" s="23"/>
      <c r="F7" s="23" t="s">
        <v>240</v>
      </c>
      <c r="G7" s="23" t="s">
        <v>241</v>
      </c>
      <c r="H7" s="23">
        <v>1</v>
      </c>
      <c r="I7" s="23" t="s">
        <v>240</v>
      </c>
      <c r="J7" s="23">
        <v>456.6875</v>
      </c>
      <c r="K7" s="61" t="s">
        <v>245</v>
      </c>
      <c r="L7" s="23" t="s">
        <v>246</v>
      </c>
    </row>
    <row r="8" spans="1:12" x14ac:dyDescent="0.25">
      <c r="A8" s="23">
        <v>169811</v>
      </c>
      <c r="B8" s="23" t="s">
        <v>239</v>
      </c>
      <c r="C8" s="23">
        <v>2</v>
      </c>
      <c r="D8" s="23" t="s">
        <v>240</v>
      </c>
      <c r="E8" s="23"/>
      <c r="F8" s="23" t="s">
        <v>240</v>
      </c>
      <c r="G8" s="23" t="s">
        <v>241</v>
      </c>
      <c r="H8" s="23">
        <v>1</v>
      </c>
      <c r="I8" s="23" t="s">
        <v>240</v>
      </c>
      <c r="J8" s="23">
        <v>456.73750000000001</v>
      </c>
      <c r="K8" s="61" t="s">
        <v>245</v>
      </c>
      <c r="L8" s="23" t="s">
        <v>246</v>
      </c>
    </row>
    <row r="9" spans="1:12" x14ac:dyDescent="0.25">
      <c r="A9" s="23">
        <v>169811</v>
      </c>
      <c r="B9" s="23" t="s">
        <v>239</v>
      </c>
      <c r="C9" s="23">
        <v>2</v>
      </c>
      <c r="D9" s="23" t="s">
        <v>240</v>
      </c>
      <c r="E9" s="23"/>
      <c r="F9" s="23" t="s">
        <v>240</v>
      </c>
      <c r="G9" s="23" t="s">
        <v>241</v>
      </c>
      <c r="H9" s="23">
        <v>1</v>
      </c>
      <c r="I9" s="23" t="s">
        <v>240</v>
      </c>
      <c r="J9" s="23">
        <v>457.16250000000002</v>
      </c>
      <c r="K9" s="61" t="s">
        <v>245</v>
      </c>
      <c r="L9" s="23" t="s">
        <v>246</v>
      </c>
    </row>
    <row r="10" spans="1:12" x14ac:dyDescent="0.25">
      <c r="A10" s="23">
        <v>169811</v>
      </c>
      <c r="B10" s="23" t="s">
        <v>239</v>
      </c>
      <c r="C10" s="23">
        <v>2</v>
      </c>
      <c r="D10" s="23" t="s">
        <v>240</v>
      </c>
      <c r="E10" s="23"/>
      <c r="F10" s="23" t="s">
        <v>240</v>
      </c>
      <c r="G10" s="23" t="s">
        <v>241</v>
      </c>
      <c r="H10" s="23">
        <v>1</v>
      </c>
      <c r="I10" s="23" t="s">
        <v>240</v>
      </c>
      <c r="J10" s="23">
        <v>457.1875</v>
      </c>
      <c r="K10" s="61" t="s">
        <v>247</v>
      </c>
      <c r="L10" s="23" t="s">
        <v>246</v>
      </c>
    </row>
    <row r="11" spans="1:12" x14ac:dyDescent="0.25">
      <c r="A11" s="23">
        <v>169811</v>
      </c>
      <c r="B11" s="23" t="s">
        <v>239</v>
      </c>
      <c r="C11" s="23">
        <v>2</v>
      </c>
      <c r="D11" s="23" t="s">
        <v>240</v>
      </c>
      <c r="E11" s="23"/>
      <c r="F11" s="23" t="s">
        <v>240</v>
      </c>
      <c r="G11" s="23" t="s">
        <v>241</v>
      </c>
      <c r="H11" s="23">
        <v>1</v>
      </c>
      <c r="I11" s="23" t="s">
        <v>240</v>
      </c>
      <c r="J11" s="23">
        <v>462.41250000000002</v>
      </c>
      <c r="K11" s="61" t="s">
        <v>248</v>
      </c>
      <c r="L11" s="23" t="s">
        <v>246</v>
      </c>
    </row>
    <row r="12" spans="1:12" x14ac:dyDescent="0.25">
      <c r="A12" s="23">
        <v>169811</v>
      </c>
      <c r="B12" s="23" t="s">
        <v>239</v>
      </c>
      <c r="C12" s="23">
        <v>2</v>
      </c>
      <c r="D12" s="23" t="s">
        <v>240</v>
      </c>
      <c r="E12" s="23"/>
      <c r="F12" s="23" t="s">
        <v>240</v>
      </c>
      <c r="G12" s="23" t="s">
        <v>249</v>
      </c>
      <c r="H12" s="23">
        <v>1</v>
      </c>
      <c r="I12" s="23" t="s">
        <v>240</v>
      </c>
      <c r="J12" s="23">
        <v>456.33749999999998</v>
      </c>
      <c r="K12" s="61" t="s">
        <v>245</v>
      </c>
      <c r="L12" s="23" t="s">
        <v>246</v>
      </c>
    </row>
    <row r="13" spans="1:12" x14ac:dyDescent="0.25">
      <c r="J13" s="23"/>
      <c r="K13" s="61"/>
    </row>
    <row r="14" spans="1:12" x14ac:dyDescent="0.25">
      <c r="J14" s="23"/>
      <c r="K14" s="61"/>
    </row>
    <row r="15" spans="1:12" x14ac:dyDescent="0.25">
      <c r="J15" s="23"/>
      <c r="K15" s="61"/>
    </row>
    <row r="16" spans="1:12" x14ac:dyDescent="0.25">
      <c r="J16" s="23"/>
      <c r="K16" s="61"/>
    </row>
    <row r="17" spans="10:11" x14ac:dyDescent="0.25">
      <c r="J17" s="23"/>
      <c r="K17" s="61"/>
    </row>
    <row r="18" spans="10:11" x14ac:dyDescent="0.25">
      <c r="J18" s="23"/>
      <c r="K18" s="61"/>
    </row>
    <row r="19" spans="10:11" x14ac:dyDescent="0.25">
      <c r="J19" s="23"/>
      <c r="K19" s="61"/>
    </row>
    <row r="20" spans="10:11" x14ac:dyDescent="0.25">
      <c r="J20" s="23"/>
      <c r="K20" s="61"/>
    </row>
    <row r="21" spans="10:11" x14ac:dyDescent="0.25">
      <c r="J21" s="23"/>
      <c r="K21" s="61"/>
    </row>
  </sheetData>
  <sheetProtection selectLockedCells="1" selectUnlockedCells="1"/>
  <dataValidations count="1">
    <dataValidation type="list" operator="equal" allowBlank="1" showErrorMessage="1" sqref="K2:K21" xr:uid="{00000000-0002-0000-0300-000000000000}">
      <formula1>"F1,F2,INBOUND,OUTBOUND,UNASSIGN"</formula1>
      <formula2>0</formula2>
    </dataValidation>
  </dataValidation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2"/>
  <sheetViews>
    <sheetView topLeftCell="A41" workbookViewId="0">
      <selection activeCell="A61" sqref="A61"/>
    </sheetView>
  </sheetViews>
  <sheetFormatPr defaultRowHeight="15" x14ac:dyDescent="0.25"/>
  <sheetData>
    <row r="1" spans="1:1" x14ac:dyDescent="0.25">
      <c r="A1" t="s">
        <v>250</v>
      </c>
    </row>
    <row r="2" spans="1:1" x14ac:dyDescent="0.25">
      <c r="A2" t="s">
        <v>251</v>
      </c>
    </row>
    <row r="3" spans="1:1" x14ac:dyDescent="0.25">
      <c r="A3" s="62" t="s">
        <v>252</v>
      </c>
    </row>
    <row r="4" spans="1:1" x14ac:dyDescent="0.25">
      <c r="A4" s="62" t="str">
        <f>"           &lt;CustomerID&gt;"&amp;CustomerWorksheet!B28&amp;"&lt;/CustomerID&gt;"</f>
        <v>           &lt;CustomerID&gt;169811&lt;/CustomerID&gt;</v>
      </c>
    </row>
    <row r="5" spans="1:1" x14ac:dyDescent="0.25">
      <c r="A5" s="62" t="str">
        <f>"           &lt;CustomerName&gt;"&amp;CustomerWorksheet!B2&amp;"&lt;/CustomerName&gt;"</f>
        <v>           &lt;CustomerName&gt;Dothan, City of (AL)&lt;/CustomerName&gt;</v>
      </c>
    </row>
    <row r="6" spans="1:1" x14ac:dyDescent="0.25">
      <c r="A6" s="62" t="str">
        <f>"           &lt;Drawing&gt;"&amp;CustomerWorksheet!B26&amp;"&lt;/Drawing&gt;"</f>
        <v>           &lt;Drawing&gt;&lt;/Drawing&gt;</v>
      </c>
    </row>
    <row r="7" spans="1:1" x14ac:dyDescent="0.25">
      <c r="A7" s="62" t="str">
        <f>"           &lt;Product&gt;"&amp;CustomerWorksheet!B27&amp;"&lt;/Product&gt;"</f>
        <v>           &lt;Product&gt;&lt;/Product&gt;</v>
      </c>
    </row>
    <row r="8" spans="1:1" x14ac:dyDescent="0.25">
      <c r="A8" s="62" t="s">
        <v>253</v>
      </c>
    </row>
    <row r="9" spans="1:1" x14ac:dyDescent="0.25">
      <c r="A9" s="62" t="s">
        <v>254</v>
      </c>
    </row>
    <row r="10" spans="1:1" x14ac:dyDescent="0.25">
      <c r="A10" s="62" t="str">
        <f>"           &lt;appSecurityAuthMode&gt;"&amp;CustomerWorksheet!B154&amp;"&lt;/appSecurityAuthMode&gt;"</f>
        <v>           &lt;appSecurityAuthMode&gt;462412500,456287500,456312500,456337500,456487500,456687500,456737500,457162500&lt;/appSecurityAuthMode&gt;</v>
      </c>
    </row>
    <row r="11" spans="1:1" x14ac:dyDescent="0.25">
      <c r="A11" s="62" t="str">
        <f>"           &lt;dtlsNetworkHESubject&gt;"&amp;CustomerWorksheet!B155&amp;"&lt;/dtlsNetworkHESubject&gt;"</f>
        <v>           &lt;dtlsNetworkHESubject&gt;467512500,467512500,457662500,457662500&lt;/dtlsNetworkHESubject&gt;</v>
      </c>
    </row>
    <row r="12" spans="1:1" x14ac:dyDescent="0.25">
      <c r="A12" s="62" t="str">
        <f>"           &lt;dtlsNetworkMSSubject&gt;"&amp;CustomerWorksheet!B156&amp;"&lt;/dtlsNetworkMSSubject&gt;"</f>
        <v>           &lt;dtlsNetworkMSSubject&gt;462412500,462412500,456000000,458000000&lt;/dtlsNetworkMSSubject&gt;</v>
      </c>
    </row>
    <row r="13" spans="1:1" x14ac:dyDescent="0.25">
      <c r="A13" s="62" t="str">
        <f>"           &lt;dtlsNetworkRootCA&gt;"&amp;CustomerWorksheet!B157&amp;"&lt;/dtlsNetworkRootCA&gt;"</f>
        <v>           &lt;dtlsNetworkRootCA&gt;1&lt;/dtlsNetworkRootCA&gt;</v>
      </c>
    </row>
    <row r="14" spans="1:1" x14ac:dyDescent="0.25">
      <c r="A14" s="62" t="str">
        <f>"           &lt;flashSecurityEnabled&gt;"&amp;CustomerWorksheet!B152&amp;"&lt;/flashSecurityEnabled&gt;"</f>
        <v>           &lt;flashSecurityEnabled&gt;456287500,456312500,456337500,456487500,456687500,456737500,457162500,457662500,462412500,467512500,,,,,,,,&lt;/flashSecurityEnabled&gt;</v>
      </c>
    </row>
    <row r="15" spans="1:1" x14ac:dyDescent="0.25">
      <c r="A15" s="62" t="str">
        <f>"           &lt;ipHEContext&gt;"&amp;CustomerWorksheet!B158&amp;"&lt;/ipHEContext&gt;"</f>
        <v>           &lt;ipHEContext&gt;0&lt;/ipHEContext&gt;</v>
      </c>
    </row>
    <row r="16" spans="1:1" x14ac:dyDescent="0.25">
      <c r="A16" s="62" t="str">
        <f>"           &lt;macChannelSets&gt;"&amp;CustomerWorksheet!B151&amp;"&lt;/macChannelSets&gt;"</f>
        <v>           &lt;macChannelSets&gt;&lt;/macChannelSets&gt;</v>
      </c>
    </row>
    <row r="17" spans="1:1" x14ac:dyDescent="0.25">
      <c r="A17" s="62" t="str">
        <f>"           &lt;macChannelSetsSTAR&gt;"&amp;CustomerWorksheet!B150&amp;"&lt;/macChannelSetsSTAR&gt;"</f>
        <v>           &lt;macChannelSetsSTAR&gt;462412500,456287500,456312500,456337500,456487500,456687500,456737500,457162500&lt;/macChannelSetsSTAR&gt;</v>
      </c>
    </row>
    <row r="18" spans="1:1" x14ac:dyDescent="0.25">
      <c r="A18" s="62" t="str">
        <f>"           &lt;macNetworkId&gt;"&amp;CustomerWorksheet!B159&amp;"&lt;/macNetworkId&gt;"</f>
        <v>           &lt;macNetworkId&gt;2&lt;/macNetworkId&gt;</v>
      </c>
    </row>
    <row r="19" spans="1:1" x14ac:dyDescent="0.25">
      <c r="A19" s="62" t="str">
        <f ca="1">"           &lt;phyAvailableFrequencies&gt;"&amp;CustomerWorksheet!B147&amp;"&lt;/phyAvailableFrequencies&gt;"</f>
        <v>           &lt;phyAvailableFrequencies&gt;467512500&lt;/phyAvailableFrequencies&gt;</v>
      </c>
    </row>
    <row r="20" spans="1:1" x14ac:dyDescent="0.25">
      <c r="A20" s="62" t="str">
        <f>"           &lt;realtimeThreshold&gt;"&amp;CustomerWorksheet!B162&amp;"&lt;/realtimeThreshold&gt;"</f>
        <v>           &lt;realtimeThreshold&gt;308201A43082014AA003020102020100300A06082A8648CE3D040302302B310F300D060355040A0C0641636C6172613118301606035504030C0F5574696C69747920526F6F742043413020170D3135303631303134303030305A180F39393939313233313233353935395A302B310F300D060355040A0C0641636C6172613118301606035504030C0F5574696C69747920526F6F742043413059301306072A8648CE3D020106082A8648CE3D030107034200046D6AB634B5E43A877DAFD4A366A39D0649C2E12343C78AF3E9B8E709D8D964F90FA95DC67041DBF1CC76D4E33A18C2978DEEAD8ACF65A331F3FADD3D4A86F555A353D05B300C0603551D13040530030101FF300B0603551D0F040403020106301D0603551D0E041604141BC0464EFCFBE686CF552DBF57C874D22AB71CE9301F0603551D230418301680141BC0464EFCFBE686CF552DBF57C874D22AB71CE9300A06082A8648CE3D040302034800304502204DA370417281033DB1139AAF2D7859F9B291E4DE2C2D8F7D955DC7B41EA88980022100D8C622BD34548441D4CC9472226B2CC541C3A46D4EB6A5035DFA4E9A6529FD8C&lt;/realtimeThreshold&gt;</v>
      </c>
    </row>
    <row r="21" spans="1:1" x14ac:dyDescent="0.25">
      <c r="A21" s="62" t="str">
        <f>"           &lt;shipMode&gt;"&amp;CustomerWorksheet!B163&amp;"&lt;/shipMode&gt;"</f>
        <v>           &lt;shipMode&gt;0&lt;/shipMode&gt;</v>
      </c>
    </row>
    <row r="22" spans="1:1" x14ac:dyDescent="0.25">
      <c r="A22" s="62" t="s">
        <v>255</v>
      </c>
    </row>
    <row r="23" spans="1:1" x14ac:dyDescent="0.25">
      <c r="A23" s="62" t="str">
        <f>"     &lt;SRFNI-XCVR slot="&amp;CHAR(34)&amp;2&amp;CHAR(34)&amp;"&gt;"</f>
        <v>     &lt;SRFNI-XCVR slot="2"&gt;</v>
      </c>
    </row>
    <row r="24" spans="1:1" x14ac:dyDescent="0.25">
      <c r="A24" s="62" t="str">
        <f>"           &lt;comDeviceGatewayConfig&gt;"&amp;CustomerWorksheet!B128&amp;"&lt;/comDeviceGatewayConfig&gt;"</f>
        <v>           &lt;comDeviceGatewayConfig&gt;0,0,1,0,0,0,0,0,0&lt;/comDeviceGatewayConfig&gt;</v>
      </c>
    </row>
    <row r="25" spans="1:1" x14ac:dyDescent="0.25">
      <c r="A25" s="62" t="str">
        <f>"           &lt;phyRxFrequencies&gt;"&amp;CustomerWorksheet!B129&amp;"&lt;/phyRxFrequencies&gt;"</f>
        <v>           &lt;phyRxFrequencies&gt;&lt;/phyRxFrequencies&gt;</v>
      </c>
    </row>
    <row r="26" spans="1:1" x14ac:dyDescent="0.25">
      <c r="A26" s="62" t="str">
        <f>"           &lt;phyTxFrequencies&gt;"&amp;CustomerWorksheet!B130&amp;"&lt;/phyTxFrequencies&gt;"</f>
        <v>           &lt;phyTxFrequencies&gt;STAR&lt;/phyTxFrequencies&gt;</v>
      </c>
    </row>
    <row r="27" spans="1:1" x14ac:dyDescent="0.25">
      <c r="A27" s="62" t="str">
        <f ca="1">"           &lt;phyRxDetection&gt;"&amp;CustomerWorksheet!B131&amp;"&lt;/phyRxDetection&gt;"</f>
        <v>           &lt;phyRxDetection&gt;,467512500,457662500,457662500,457662500,467512500,457662500,457662500,457662500&lt;/phyRxDetection&gt;</v>
      </c>
    </row>
    <row r="28" spans="1:1" x14ac:dyDescent="0.25">
      <c r="A28" s="62" t="str">
        <f>"           &lt;phyRxFraming&gt;"&amp;CustomerWorksheet!B132&amp;"&lt;/phyRxFraming&gt;"</f>
        <v>           &lt;phyRxFraming&gt;462412500,467512500&lt;/phyRxFraming&gt;</v>
      </c>
    </row>
    <row r="29" spans="1:1" x14ac:dyDescent="0.25">
      <c r="A29" s="62" t="str">
        <f>"           &lt;phyRxMode&gt;"&amp;CustomerWorksheet!B133&amp;"&lt;/phyRxMode&gt;"</f>
        <v>           &lt;phyRxMode&gt;0,1,1,2,4,1,1,2,4&lt;/phyRxMode&gt;</v>
      </c>
    </row>
    <row r="30" spans="1:1" x14ac:dyDescent="0.25">
      <c r="A30" s="62" t="s">
        <v>256</v>
      </c>
    </row>
    <row r="31" spans="1:1" x14ac:dyDescent="0.25">
      <c r="A31" s="62" t="str">
        <f>"     &lt;SRFNI-XCVR slot="&amp;CHAR(34)&amp;3&amp;CHAR(34)&amp;"&gt;"</f>
        <v>     &lt;SRFNI-XCVR slot="3"&gt;</v>
      </c>
    </row>
    <row r="32" spans="1:1" x14ac:dyDescent="0.25">
      <c r="A32" s="62" t="str">
        <f ca="1">"           &lt;comDeviceGatewayConfig&gt;"&amp;CustomerWorksheet!B120&amp;"&lt;/comDeviceGatewayConfig&gt;"</f>
        <v>           &lt;comDeviceGatewayConfig&gt;457662500&lt;/comDeviceGatewayConfig&gt;</v>
      </c>
    </row>
    <row r="33" spans="1:1" x14ac:dyDescent="0.25">
      <c r="A33" s="62" t="str">
        <f>"           &lt;phyRxFrequencies&gt;"&amp;CustomerWorksheet!B121&amp;"&lt;/phyRxFrequencies&gt;"</f>
        <v>           &lt;phyRxFrequencies&gt;&lt;/phyRxFrequencies&gt;</v>
      </c>
    </row>
    <row r="34" spans="1:1" x14ac:dyDescent="0.25">
      <c r="A34" s="62" t="str">
        <f>"           &lt;phyTxFrequencies&gt;"&amp;CustomerWorksheet!B122&amp;"&lt;/phyTxFrequencies&gt;"</f>
        <v>           &lt;phyTxFrequencies&gt;SRFN&lt;/phyTxFrequencies&gt;</v>
      </c>
    </row>
    <row r="35" spans="1:1" x14ac:dyDescent="0.25">
      <c r="A35" s="62" t="str">
        <f ca="1">"           &lt;phyRxDetection&gt;"&amp;CustomerWorksheet!B123&amp;"&lt;/phyRxDetection&gt;"</f>
        <v>           &lt;phyRxDetection&gt;,462412500,456287500,456312500,456337500,456487500,456687500,456737500,457162500&lt;/phyRxDetection&gt;</v>
      </c>
    </row>
    <row r="36" spans="1:1" x14ac:dyDescent="0.25">
      <c r="A36" s="62" t="str">
        <f>"           &lt;phyRxFraming&gt;"&amp;CustomerWorksheet!B124&amp;"&lt;/phyRxFraming&gt;"</f>
        <v>           &lt;phyRxFraming&gt;462412500,467512500&lt;/phyRxFraming&gt;</v>
      </c>
    </row>
    <row r="37" spans="1:1" x14ac:dyDescent="0.25">
      <c r="A37" s="62" t="str">
        <f>"           &lt;phyRxMode&gt;"&amp;CustomerWorksheet!B125&amp;"&lt;/phyRxMode&gt;"</f>
        <v>           &lt;phyRxMode&gt;0,0,0,0,0,0,0,0,0&lt;/phyRxMode&gt;</v>
      </c>
    </row>
    <row r="38" spans="1:1" x14ac:dyDescent="0.25">
      <c r="A38" s="62" t="s">
        <v>256</v>
      </c>
    </row>
    <row r="39" spans="1:1" x14ac:dyDescent="0.25">
      <c r="A39" s="62" t="s">
        <v>257</v>
      </c>
    </row>
    <row r="40" spans="1:1" x14ac:dyDescent="0.25">
      <c r="A40" s="62" t="s">
        <v>258</v>
      </c>
    </row>
    <row r="41" spans="1:1" x14ac:dyDescent="0.25">
      <c r="A41" s="62" t="s">
        <v>259</v>
      </c>
    </row>
    <row r="42" spans="1:1" x14ac:dyDescent="0.25">
      <c r="A42" s="62" t="str">
        <f>"     &lt;EXPORT-FORMAT&gt;"&amp;CustomerWorksheet!B29&amp;"&lt;/EXPORT-FORMAT&gt;"</f>
        <v>     &lt;EXPORT-FORMAT&gt;EF00001&lt;/EXPORT-FORMAT&gt;</v>
      </c>
    </row>
    <row r="43" spans="1:1" x14ac:dyDescent="0.25">
      <c r="A43" s="62" t="s">
        <v>260</v>
      </c>
    </row>
    <row r="44" spans="1:1" x14ac:dyDescent="0.25">
      <c r="A44" s="62" t="str">
        <f>"           &lt;comDeviceGatewayConfig&gt;"&amp;"EP"&amp;"&lt;/comDeviceGatewayConfig&gt;"</f>
        <v>           &lt;comDeviceGatewayConfig&gt;EP&lt;/comDeviceGatewayConfig&gt;</v>
      </c>
    </row>
    <row r="45" spans="1:1" x14ac:dyDescent="0.25">
      <c r="A45" s="62" t="str">
        <f ca="1">"           &lt;EPRxFrequencies&gt;"&amp;CustomerWorksheet!B141&amp;"&lt;/EPRxFrequencies&gt;"</f>
        <v>           &lt;EPRxFrequencies&gt;457662500,457662500&lt;/EPRxFrequencies&gt;</v>
      </c>
    </row>
    <row r="46" spans="1:1" x14ac:dyDescent="0.25">
      <c r="A46" s="62" t="str">
        <f>"           &lt;EPTxFrequencies&gt;"&amp;CustomerWorksheet!B136&amp;"&lt;/EPTxFrequencies&gt;"</f>
        <v>           &lt;EPTxFrequencies&gt;0,0,0,0,0,0,0,0,0&lt;/EPTxFrequencies&gt;</v>
      </c>
    </row>
    <row r="47" spans="1:1" x14ac:dyDescent="0.25">
      <c r="A47" s="62" t="s">
        <v>261</v>
      </c>
    </row>
    <row r="48" spans="1:1" x14ac:dyDescent="0.25">
      <c r="A48" s="62" t="s">
        <v>262</v>
      </c>
    </row>
    <row r="49" spans="1:1" x14ac:dyDescent="0.25">
      <c r="A49" s="62" t="str">
        <f>"           &lt;comDeviceGatewayConfig&gt;"&amp;"EP"&amp;"&lt;/comDeviceGatewayConfig&gt;"</f>
        <v>           &lt;comDeviceGatewayConfig&gt;EP&lt;/comDeviceGatewayConfig&gt;</v>
      </c>
    </row>
    <row r="50" spans="1:1" x14ac:dyDescent="0.25">
      <c r="A50" s="62" t="str">
        <f ca="1">"           &lt;EPRxFrequencies&gt;"&amp;CustomerWorksheet!B142&amp;"&lt;/EPRxFrequencies&gt;"</f>
        <v>           &lt;EPRxFrequencies&gt;457662500,457662500&lt;/EPRxFrequencies&gt;</v>
      </c>
    </row>
    <row r="51" spans="1:1" x14ac:dyDescent="0.25">
      <c r="A51" s="62" t="str">
        <f>"           &lt;EPTxFrequencies&gt;"&amp;CustomerWorksheet!B137&amp;"&lt;/EPTxFrequencies&gt;"</f>
        <v>           &lt;EPTxFrequencies&gt;&lt;/EPTxFrequencies&gt;</v>
      </c>
    </row>
    <row r="52" spans="1:1" x14ac:dyDescent="0.25">
      <c r="A52" s="62" t="s">
        <v>263</v>
      </c>
    </row>
    <row r="53" spans="1:1" x14ac:dyDescent="0.25">
      <c r="A53" s="62" t="s">
        <v>264</v>
      </c>
    </row>
    <row r="54" spans="1:1" x14ac:dyDescent="0.25">
      <c r="A54" s="62" t="str">
        <f>"           &lt;comDeviceGatewayConfig&gt;"&amp;"EP"&amp;"&lt;/comDeviceGatewayConfig&gt;"</f>
        <v>           &lt;comDeviceGatewayConfig&gt;EP&lt;/comDeviceGatewayConfig&gt;</v>
      </c>
    </row>
    <row r="55" spans="1:1" x14ac:dyDescent="0.25">
      <c r="A55" s="62" t="str">
        <f ca="1">"           &lt;EPRxFrequenciesSTAR7200&gt;"&amp;CustomerWorksheet!B143&amp;"&lt;/EPRxFrequenciesSTAR7200&gt;"</f>
        <v>           &lt;EPRxFrequenciesSTAR7200&gt;457662500&lt;/EPRxFrequenciesSTAR7200&gt;</v>
      </c>
    </row>
    <row r="56" spans="1:1" x14ac:dyDescent="0.25">
      <c r="A56" s="62" t="str">
        <f ca="1">"           &lt;EPTxFrequenciesSTAR7200&gt;"&amp;CustomerWorksheet!B138&amp;"&lt;/EPTxFrequenciesSTAR7200&gt;"</f>
        <v>           &lt;EPTxFrequenciesSTAR7200&gt;462412500,456312500,456337500,456487500,456687500,456737500,457162500&lt;/EPTxFrequenciesSTAR7200&gt;</v>
      </c>
    </row>
    <row r="57" spans="1:1" x14ac:dyDescent="0.25">
      <c r="A57" s="62" t="str">
        <f ca="1">"           &lt;EPRxFrequenciesSTAR2400&gt;"&amp;CustomerWorksheet!B144&amp;"&lt;/EPRxFrequenciesSTAR2400&gt;"</f>
        <v>           &lt;EPRxFrequenciesSTAR2400&gt;457662500&lt;/EPRxFrequenciesSTAR2400&gt;</v>
      </c>
    </row>
    <row r="58" spans="1:1" x14ac:dyDescent="0.25">
      <c r="A58" s="62" t="str">
        <f ca="1">"           &lt;EPTxFrequenciesSTAR2400&gt;"&amp;CustomerWorksheet!B139&amp;"&lt;/EPTxFrequenciesSTAR2400&gt;"</f>
        <v>           &lt;EPTxFrequenciesSTAR2400&gt;456287500&lt;/EPTxFrequenciesSTAR2400&gt;</v>
      </c>
    </row>
    <row r="59" spans="1:1" x14ac:dyDescent="0.25">
      <c r="A59" s="62" t="str">
        <f ca="1">"           &lt;EPRxFrequenciesSTAR2400Legacy&gt;"&amp;CustomerWorksheet!B145&amp;"&lt;/EPRxFrequenciesSTAR2400Legacy&gt;"</f>
        <v>           &lt;EPRxFrequenciesSTAR2400Legacy&gt;467512500&lt;/EPRxFrequenciesSTAR2400Legacy&gt;</v>
      </c>
    </row>
    <row r="60" spans="1:1" x14ac:dyDescent="0.25">
      <c r="A60" s="62" t="str">
        <f ca="1">"           &lt;EPTxFrequenciesSTAR2400Legacy&gt;"&amp;CustomerWorksheet!B140&amp;"&lt;/EPTxFrequenciesSTAR2400Legacy&gt;"</f>
        <v>           &lt;EPTxFrequenciesSTAR2400Legacy&gt;467512500,457662500,467512500,457662500&lt;/EPTxFrequenciesSTAR2400Legacy&gt;</v>
      </c>
    </row>
    <row r="61" spans="1:1" x14ac:dyDescent="0.25">
      <c r="A61" s="62" t="s">
        <v>265</v>
      </c>
    </row>
    <row r="62" spans="1:1" x14ac:dyDescent="0.25">
      <c r="A62" t="s">
        <v>266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0"/>
  <sheetViews>
    <sheetView workbookViewId="0">
      <selection activeCell="D1" sqref="D1"/>
    </sheetView>
  </sheetViews>
  <sheetFormatPr defaultRowHeight="15" x14ac:dyDescent="0.25"/>
  <cols>
    <col min="1" max="2" width="14.85546875" style="23" customWidth="1"/>
    <col min="3" max="3" width="3.5703125" style="23" customWidth="1"/>
    <col min="4" max="4" width="9" style="63" customWidth="1"/>
    <col min="5" max="5" width="9" style="23" customWidth="1"/>
    <col min="6" max="6" width="12.28515625" style="23" customWidth="1"/>
    <col min="7" max="7" width="10.85546875" style="23" customWidth="1"/>
    <col min="8" max="9" width="9" style="23" customWidth="1"/>
    <col min="10" max="10" width="28.42578125" style="23" customWidth="1"/>
    <col min="11" max="11" width="9" style="23" customWidth="1"/>
  </cols>
  <sheetData>
    <row r="1" spans="1:11" x14ac:dyDescent="0.25">
      <c r="A1" s="23" t="s">
        <v>5</v>
      </c>
      <c r="B1" s="23" t="s">
        <v>267</v>
      </c>
      <c r="C1" s="64" t="s">
        <v>268</v>
      </c>
      <c r="D1" s="63" t="s">
        <v>7</v>
      </c>
      <c r="E1" s="23" t="s">
        <v>269</v>
      </c>
      <c r="F1" s="23" t="s">
        <v>270</v>
      </c>
      <c r="G1" s="23" t="s">
        <v>271</v>
      </c>
      <c r="H1" s="23" t="s">
        <v>272</v>
      </c>
      <c r="I1" s="23" t="s">
        <v>273</v>
      </c>
      <c r="J1" s="23" t="s">
        <v>274</v>
      </c>
      <c r="K1" s="23" t="s">
        <v>275</v>
      </c>
    </row>
    <row r="2" spans="1:11" x14ac:dyDescent="0.25">
      <c r="A2" s="23" t="s">
        <v>276</v>
      </c>
      <c r="B2" s="23" t="s">
        <v>277</v>
      </c>
      <c r="C2" s="64"/>
      <c r="D2" s="63" t="s">
        <v>278</v>
      </c>
      <c r="E2" s="23" t="s">
        <v>279</v>
      </c>
      <c r="F2" s="23" t="str">
        <f>A2</f>
        <v>Canada</v>
      </c>
      <c r="G2" s="23">
        <f t="shared" ref="G2:G33" si="0">IF(F2="","",COUNTIF($A$1:$A$150,F2))</f>
        <v>13</v>
      </c>
      <c r="H2" s="23">
        <f>MATCH(CustomerWorksheet!$B$4,A2:A150,0)+1</f>
        <v>47</v>
      </c>
      <c r="I2" s="23">
        <f>MATCH(CustomerWorksheet!$B$4,A2:A150,0)</f>
        <v>46</v>
      </c>
      <c r="J2" s="23" t="str">
        <f t="shared" ref="J2:J33" si="1">IF(LEN(I2)&gt;0,IF(ISERROR(INDEX(D$2:D$150,I2,0)),"",INDEX(D$2:D$150,I2,0)),"")</f>
        <v>Alabama</v>
      </c>
      <c r="K2" s="23" t="str">
        <f t="shared" ref="K2:K33" si="2">IF(LEN(I2)&gt;0,IF(ISERROR(INDEX(E$2:E$150,I2,0)),"",INDEX(E$2:E$150,I2,0)),"")</f>
        <v>AL</v>
      </c>
    </row>
    <row r="3" spans="1:11" x14ac:dyDescent="0.25">
      <c r="A3" s="23" t="s">
        <v>276</v>
      </c>
      <c r="B3" s="23" t="s">
        <v>277</v>
      </c>
      <c r="C3" s="64"/>
      <c r="D3" s="63" t="s">
        <v>280</v>
      </c>
      <c r="E3" s="23" t="s">
        <v>281</v>
      </c>
      <c r="F3" s="23" t="str">
        <f t="array" aca="1" ref="F3" ca="1">IF(INDIRECT(ADDRESS(2+SUM(G$2:G2),1))=0,"",INDIRECT(ADDRESS(2+SUM(G$2:G2),1)))</f>
        <v>Mexico</v>
      </c>
      <c r="G3" s="23">
        <f t="shared" ca="1" si="0"/>
        <v>32</v>
      </c>
      <c r="H3" s="23">
        <f>MATCH(CustomerWorksheet!$B$4,A2:A150,1)</f>
        <v>104</v>
      </c>
      <c r="I3" s="23">
        <f>IF(I2="","",IF(I2&gt;=MATCH(CustomerWorksheet!$B$4,$A$2:$A$150,1),"",I2+1))</f>
        <v>47</v>
      </c>
      <c r="J3" s="23" t="str">
        <f t="shared" si="1"/>
        <v>Alaska</v>
      </c>
      <c r="K3" s="23" t="str">
        <f t="shared" si="2"/>
        <v>AK</v>
      </c>
    </row>
    <row r="4" spans="1:11" x14ac:dyDescent="0.25">
      <c r="A4" s="23" t="s">
        <v>276</v>
      </c>
      <c r="B4" s="23" t="s">
        <v>277</v>
      </c>
      <c r="C4" s="64"/>
      <c r="D4" s="63" t="s">
        <v>282</v>
      </c>
      <c r="E4" s="23" t="s">
        <v>283</v>
      </c>
      <c r="F4" s="23" t="str">
        <f t="array" aca="1" ref="F4" ca="1">IF(INDIRECT(ADDRESS(2+SUM(G$2:G3),1))=0,"",INDIRECT(ADDRESS(2+SUM(G$2:G3),1)))</f>
        <v>United States</v>
      </c>
      <c r="G4" s="23">
        <f t="shared" ca="1" si="0"/>
        <v>59</v>
      </c>
      <c r="I4" s="23">
        <f>IF(I3="","",IF(I3&gt;=MATCH(CustomerWorksheet!$B$4,$A$2:$A$150,1),"",I3+1))</f>
        <v>48</v>
      </c>
      <c r="J4" s="23" t="str">
        <f t="shared" si="1"/>
        <v>American Samoa</v>
      </c>
      <c r="K4" s="23" t="str">
        <f t="shared" si="2"/>
        <v>AS</v>
      </c>
    </row>
    <row r="5" spans="1:11" x14ac:dyDescent="0.25">
      <c r="A5" s="23" t="s">
        <v>276</v>
      </c>
      <c r="B5" s="23" t="s">
        <v>277</v>
      </c>
      <c r="C5" s="64"/>
      <c r="D5" s="63" t="s">
        <v>284</v>
      </c>
      <c r="E5" s="23" t="s">
        <v>285</v>
      </c>
      <c r="F5" s="23" t="str">
        <f t="array" aca="1" ref="F5" ca="1">IF(INDIRECT(ADDRESS(2+SUM(G$2:G4),1))=0,"",INDIRECT(ADDRESS(2+SUM(G$2:G4),1)))</f>
        <v/>
      </c>
      <c r="G5" s="23" t="str">
        <f t="shared" ca="1" si="0"/>
        <v/>
      </c>
      <c r="I5" s="23">
        <f>IF(I4="","",IF(I4&gt;=MATCH(CustomerWorksheet!$B$4,$A$2:$A$150,1),"",I4+1))</f>
        <v>49</v>
      </c>
      <c r="J5" s="23" t="str">
        <f t="shared" si="1"/>
        <v>Arizona</v>
      </c>
      <c r="K5" s="23" t="str">
        <f t="shared" si="2"/>
        <v>AZ</v>
      </c>
    </row>
    <row r="6" spans="1:11" x14ac:dyDescent="0.25">
      <c r="A6" s="23" t="s">
        <v>276</v>
      </c>
      <c r="B6" s="23" t="s">
        <v>277</v>
      </c>
      <c r="C6" s="64"/>
      <c r="D6" s="65" t="s">
        <v>286</v>
      </c>
      <c r="E6" s="23" t="s">
        <v>287</v>
      </c>
      <c r="F6" s="23" t="str">
        <f t="array" aca="1" ref="F6" ca="1">IF(INDIRECT(ADDRESS(2+SUM(G$2:G5),1))=0,"",INDIRECT(ADDRESS(2+SUM(G$2:G5),1)))</f>
        <v/>
      </c>
      <c r="G6" s="23" t="str">
        <f t="shared" ca="1" si="0"/>
        <v/>
      </c>
      <c r="I6" s="23">
        <f>IF(I5="","",IF(I5&gt;=MATCH(CustomerWorksheet!$B$4,$A$2:$A$150,1),"",I5+1))</f>
        <v>50</v>
      </c>
      <c r="J6" s="23" t="str">
        <f t="shared" si="1"/>
        <v>Arkansas</v>
      </c>
      <c r="K6" s="23" t="str">
        <f t="shared" si="2"/>
        <v>AR</v>
      </c>
    </row>
    <row r="7" spans="1:11" x14ac:dyDescent="0.25">
      <c r="A7" s="23" t="s">
        <v>276</v>
      </c>
      <c r="B7" s="23" t="s">
        <v>277</v>
      </c>
      <c r="C7" s="64" t="s">
        <v>288</v>
      </c>
      <c r="D7" s="63" t="s">
        <v>289</v>
      </c>
      <c r="E7" s="23" t="s">
        <v>290</v>
      </c>
      <c r="F7" s="23" t="str">
        <f t="array" aca="1" ref="F7" ca="1">IF(INDIRECT(ADDRESS(2+SUM(G$2:G6),1))=0,"",INDIRECT(ADDRESS(2+SUM(G$2:G6),1)))</f>
        <v/>
      </c>
      <c r="G7" s="23" t="str">
        <f t="shared" ca="1" si="0"/>
        <v/>
      </c>
      <c r="I7" s="23">
        <f>IF(I6="","",IF(I6&gt;=MATCH(CustomerWorksheet!$B$4,$A$2:$A$150,1),"",I6+1))</f>
        <v>51</v>
      </c>
      <c r="J7" s="23" t="str">
        <f t="shared" si="1"/>
        <v>California</v>
      </c>
      <c r="K7" s="23" t="str">
        <f t="shared" si="2"/>
        <v>CA</v>
      </c>
    </row>
    <row r="8" spans="1:11" x14ac:dyDescent="0.25">
      <c r="A8" s="23" t="s">
        <v>276</v>
      </c>
      <c r="B8" s="23" t="s">
        <v>277</v>
      </c>
      <c r="C8" s="64"/>
      <c r="D8" s="63" t="s">
        <v>291</v>
      </c>
      <c r="E8" s="23" t="s">
        <v>292</v>
      </c>
      <c r="F8" s="23" t="str">
        <f t="array" aca="1" ref="F8" ca="1">IF(INDIRECT(ADDRESS(2+SUM(G$2:G7),1))=0,"",INDIRECT(ADDRESS(2+SUM(G$2:G7),1)))</f>
        <v/>
      </c>
      <c r="G8" s="23" t="str">
        <f t="shared" ca="1" si="0"/>
        <v/>
      </c>
      <c r="I8" s="23">
        <f>IF(I7="","",IF(I7&gt;=MATCH(CustomerWorksheet!$B$4,$A$2:$A$150,1),"",I7+1))</f>
        <v>52</v>
      </c>
      <c r="J8" s="23" t="str">
        <f t="shared" si="1"/>
        <v>Colorado</v>
      </c>
      <c r="K8" s="23" t="str">
        <f t="shared" si="2"/>
        <v>CO</v>
      </c>
    </row>
    <row r="9" spans="1:11" x14ac:dyDescent="0.25">
      <c r="A9" s="23" t="s">
        <v>276</v>
      </c>
      <c r="B9" s="23" t="s">
        <v>277</v>
      </c>
      <c r="C9" s="64" t="s">
        <v>288</v>
      </c>
      <c r="D9" s="63" t="s">
        <v>293</v>
      </c>
      <c r="E9" s="23" t="s">
        <v>294</v>
      </c>
      <c r="F9" s="23" t="str">
        <f t="array" aca="1" ref="F9" ca="1">IF(INDIRECT(ADDRESS(2+SUM(G$2:G8),1))=0,"",INDIRECT(ADDRESS(2+SUM(G$2:G8),1)))</f>
        <v/>
      </c>
      <c r="G9" s="23" t="str">
        <f t="shared" ca="1" si="0"/>
        <v/>
      </c>
      <c r="I9" s="23">
        <f>IF(I8="","",IF(I8&gt;=MATCH(CustomerWorksheet!$B$4,$A$2:$A$150,1),"",I8+1))</f>
        <v>53</v>
      </c>
      <c r="J9" s="23" t="str">
        <f t="shared" si="1"/>
        <v>Connecticut</v>
      </c>
      <c r="K9" s="23" t="str">
        <f t="shared" si="2"/>
        <v>CT</v>
      </c>
    </row>
    <row r="10" spans="1:11" x14ac:dyDescent="0.25">
      <c r="A10" s="23" t="s">
        <v>276</v>
      </c>
      <c r="B10" s="23" t="s">
        <v>277</v>
      </c>
      <c r="C10" s="64"/>
      <c r="D10" s="63" t="s">
        <v>295</v>
      </c>
      <c r="E10" s="23" t="s">
        <v>296</v>
      </c>
      <c r="F10" s="23" t="str">
        <f t="array" aca="1" ref="F10" ca="1">IF(INDIRECT(ADDRESS(2+SUM(G$2:G9),1))=0,"",INDIRECT(ADDRESS(2+SUM(G$2:G9),1)))</f>
        <v/>
      </c>
      <c r="G10" s="23" t="str">
        <f t="shared" ca="1" si="0"/>
        <v/>
      </c>
      <c r="I10" s="23">
        <f>IF(I9="","",IF(I9&gt;=MATCH(CustomerWorksheet!$B$4,$A$2:$A$150,1),"",I9+1))</f>
        <v>54</v>
      </c>
      <c r="J10" s="23" t="str">
        <f t="shared" si="1"/>
        <v>Delaware</v>
      </c>
      <c r="K10" s="23" t="str">
        <f t="shared" si="2"/>
        <v>DE</v>
      </c>
    </row>
    <row r="11" spans="1:11" x14ac:dyDescent="0.25">
      <c r="A11" s="23" t="s">
        <v>276</v>
      </c>
      <c r="B11" s="23" t="s">
        <v>277</v>
      </c>
      <c r="C11" s="64"/>
      <c r="D11" s="63" t="s">
        <v>297</v>
      </c>
      <c r="E11" s="23" t="s">
        <v>298</v>
      </c>
      <c r="F11" s="23" t="str">
        <f t="array" aca="1" ref="F11" ca="1">IF(INDIRECT(ADDRESS(2+SUM(G$2:G10),1))=0,"",INDIRECT(ADDRESS(2+SUM(G$2:G10),1)))</f>
        <v/>
      </c>
      <c r="G11" s="23" t="str">
        <f t="shared" ca="1" si="0"/>
        <v/>
      </c>
      <c r="I11" s="23">
        <f>IF(I10="","",IF(I10&gt;=MATCH(CustomerWorksheet!$B$4,$A$2:$A$150,1),"",I10+1))</f>
        <v>55</v>
      </c>
      <c r="J11" s="23" t="str">
        <f t="shared" si="1"/>
        <v>District of Columbia</v>
      </c>
      <c r="K11" s="23" t="str">
        <f t="shared" si="2"/>
        <v>DC</v>
      </c>
    </row>
    <row r="12" spans="1:11" x14ac:dyDescent="0.25">
      <c r="A12" s="23" t="s">
        <v>276</v>
      </c>
      <c r="B12" s="23" t="s">
        <v>277</v>
      </c>
      <c r="C12" s="64"/>
      <c r="D12" s="63" t="s">
        <v>299</v>
      </c>
      <c r="E12" s="23" t="s">
        <v>300</v>
      </c>
      <c r="F12" s="23" t="str">
        <f t="array" aca="1" ref="F12" ca="1">IF(INDIRECT(ADDRESS(2+SUM(G$2:G11),1))=0,"",INDIRECT(ADDRESS(2+SUM(G$2:G11),1)))</f>
        <v/>
      </c>
      <c r="G12" s="23" t="str">
        <f t="shared" ca="1" si="0"/>
        <v/>
      </c>
      <c r="I12" s="23">
        <f>IF(I11="","",IF(I11&gt;=MATCH(CustomerWorksheet!$B$4,$A$2:$A$150,1),"",I11+1))</f>
        <v>56</v>
      </c>
      <c r="J12" s="23" t="str">
        <f t="shared" si="1"/>
        <v>Federated States of Micronesia</v>
      </c>
      <c r="K12" s="23" t="str">
        <f t="shared" si="2"/>
        <v>FM</v>
      </c>
    </row>
    <row r="13" spans="1:11" x14ac:dyDescent="0.25">
      <c r="A13" s="23" t="s">
        <v>276</v>
      </c>
      <c r="B13" s="23" t="s">
        <v>277</v>
      </c>
      <c r="C13" s="64"/>
      <c r="D13" s="63" t="s">
        <v>301</v>
      </c>
      <c r="E13" s="23" t="s">
        <v>302</v>
      </c>
      <c r="F13" s="23" t="str">
        <f t="array" aca="1" ref="F13" ca="1">IF(INDIRECT(ADDRESS(2+SUM(G$2:G12),1))=0,"",INDIRECT(ADDRESS(2+SUM(G$2:G12),1)))</f>
        <v/>
      </c>
      <c r="G13" s="23" t="str">
        <f t="shared" ca="1" si="0"/>
        <v/>
      </c>
      <c r="I13" s="23">
        <f>IF(I12="","",IF(I12&gt;=MATCH(CustomerWorksheet!$B$4,$A$2:$A$150,1),"",I12+1))</f>
        <v>57</v>
      </c>
      <c r="J13" s="23" t="str">
        <f t="shared" si="1"/>
        <v>Florida</v>
      </c>
      <c r="K13" s="23" t="str">
        <f t="shared" si="2"/>
        <v>FL</v>
      </c>
    </row>
    <row r="14" spans="1:11" x14ac:dyDescent="0.25">
      <c r="A14" s="23" t="s">
        <v>276</v>
      </c>
      <c r="B14" s="23" t="s">
        <v>277</v>
      </c>
      <c r="C14" s="64" t="s">
        <v>288</v>
      </c>
      <c r="D14" s="63" t="s">
        <v>303</v>
      </c>
      <c r="E14" s="23" t="s">
        <v>304</v>
      </c>
      <c r="F14" s="23" t="str">
        <f t="array" aca="1" ref="F14" ca="1">IF(INDIRECT(ADDRESS(2+SUM(G$2:G13),1))=0,"",INDIRECT(ADDRESS(2+SUM(G$2:G13),1)))</f>
        <v/>
      </c>
      <c r="G14" s="23" t="str">
        <f t="shared" ca="1" si="0"/>
        <v/>
      </c>
      <c r="I14" s="23">
        <f>IF(I13="","",IF(I13&gt;=MATCH(CustomerWorksheet!$B$4,$A$2:$A$150,1),"",I13+1))</f>
        <v>58</v>
      </c>
      <c r="J14" s="23" t="str">
        <f t="shared" si="1"/>
        <v>Georgia</v>
      </c>
      <c r="K14" s="23" t="str">
        <f t="shared" si="2"/>
        <v>GA</v>
      </c>
    </row>
    <row r="15" spans="1:11" x14ac:dyDescent="0.25">
      <c r="A15" s="23" t="s">
        <v>305</v>
      </c>
      <c r="B15" s="23" t="s">
        <v>306</v>
      </c>
      <c r="D15" s="63" t="s">
        <v>307</v>
      </c>
      <c r="E15" s="23" t="s">
        <v>308</v>
      </c>
      <c r="F15" s="23" t="str">
        <f t="array" aca="1" ref="F15" ca="1">IF(INDIRECT(ADDRESS(2+SUM(G$2:G14),1))=0,"",INDIRECT(ADDRESS(2+SUM(G$2:G14),1)))</f>
        <v/>
      </c>
      <c r="G15" s="23" t="str">
        <f t="shared" ca="1" si="0"/>
        <v/>
      </c>
      <c r="I15" s="23">
        <f>IF(I14="","",IF(I14&gt;=MATCH(CustomerWorksheet!$B$4,$A$2:$A$150,1),"",I14+1))</f>
        <v>59</v>
      </c>
      <c r="J15" s="23" t="str">
        <f t="shared" si="1"/>
        <v>Guam</v>
      </c>
      <c r="K15" s="23" t="str">
        <f t="shared" si="2"/>
        <v>GU</v>
      </c>
    </row>
    <row r="16" spans="1:11" x14ac:dyDescent="0.25">
      <c r="A16" s="23" t="s">
        <v>305</v>
      </c>
      <c r="B16" s="23" t="s">
        <v>306</v>
      </c>
      <c r="D16" s="63" t="s">
        <v>309</v>
      </c>
      <c r="E16" s="23" t="s">
        <v>281</v>
      </c>
      <c r="F16" s="23" t="str">
        <f t="array" aca="1" ref="F16" ca="1">IF(INDIRECT(ADDRESS(2+SUM(G$2:G15),1))=0,"",INDIRECT(ADDRESS(2+SUM(G$2:G15),1)))</f>
        <v/>
      </c>
      <c r="G16" s="23" t="str">
        <f t="shared" ca="1" si="0"/>
        <v/>
      </c>
      <c r="I16" s="23">
        <f>IF(I15="","",IF(I15&gt;=MATCH(CustomerWorksheet!$B$4,$A$2:$A$150,1),"",I15+1))</f>
        <v>60</v>
      </c>
      <c r="J16" s="23" t="str">
        <f t="shared" si="1"/>
        <v>Hawaii</v>
      </c>
      <c r="K16" s="23" t="str">
        <f t="shared" si="2"/>
        <v>HI</v>
      </c>
    </row>
    <row r="17" spans="1:11" x14ac:dyDescent="0.25">
      <c r="A17" s="23" t="s">
        <v>305</v>
      </c>
      <c r="B17" s="23" t="s">
        <v>306</v>
      </c>
      <c r="D17" s="63" t="s">
        <v>310</v>
      </c>
      <c r="E17" s="23" t="s">
        <v>311</v>
      </c>
      <c r="F17" s="23" t="str">
        <f t="array" aca="1" ref="F17" ca="1">IF(INDIRECT(ADDRESS(2+SUM(G$2:G16),1))=0,"",INDIRECT(ADDRESS(2+SUM(G$2:G16),1)))</f>
        <v/>
      </c>
      <c r="G17" s="23" t="str">
        <f t="shared" ca="1" si="0"/>
        <v/>
      </c>
      <c r="I17" s="23">
        <f>IF(I16="","",IF(I16&gt;=MATCH(CustomerWorksheet!$B$4,$A$2:$A$150,1),"",I16+1))</f>
        <v>61</v>
      </c>
      <c r="J17" s="23" t="str">
        <f t="shared" si="1"/>
        <v>Idaho</v>
      </c>
      <c r="K17" s="23" t="str">
        <f t="shared" si="2"/>
        <v>ID</v>
      </c>
    </row>
    <row r="18" spans="1:11" x14ac:dyDescent="0.25">
      <c r="A18" s="23" t="s">
        <v>305</v>
      </c>
      <c r="B18" s="23" t="s">
        <v>306</v>
      </c>
      <c r="D18" s="63" t="s">
        <v>312</v>
      </c>
      <c r="E18" s="23" t="s">
        <v>313</v>
      </c>
      <c r="F18" s="23" t="str">
        <f t="array" aca="1" ref="F18" ca="1">IF(INDIRECT(ADDRESS(2+SUM(G$2:G17),1))=0,"",INDIRECT(ADDRESS(2+SUM(G$2:G17),1)))</f>
        <v/>
      </c>
      <c r="G18" s="23" t="str">
        <f t="shared" ca="1" si="0"/>
        <v/>
      </c>
      <c r="I18" s="23">
        <f>IF(I17="","",IF(I17&gt;=MATCH(CustomerWorksheet!$B$4,$A$2:$A$150,1),"",I17+1))</f>
        <v>62</v>
      </c>
      <c r="J18" s="23" t="str">
        <f t="shared" si="1"/>
        <v>Illinois</v>
      </c>
      <c r="K18" s="23" t="str">
        <f t="shared" si="2"/>
        <v>IL</v>
      </c>
    </row>
    <row r="19" spans="1:11" x14ac:dyDescent="0.25">
      <c r="A19" s="23" t="s">
        <v>305</v>
      </c>
      <c r="B19" s="23" t="s">
        <v>306</v>
      </c>
      <c r="D19" s="63" t="s">
        <v>314</v>
      </c>
      <c r="E19" s="23" t="s">
        <v>315</v>
      </c>
      <c r="F19" s="23" t="str">
        <f t="array" aca="1" ref="F19" ca="1">IF(INDIRECT(ADDRESS(2+SUM(G$2:G18),1))=0,"",INDIRECT(ADDRESS(2+SUM(G$2:G18),1)))</f>
        <v/>
      </c>
      <c r="G19" s="23" t="str">
        <f t="shared" ca="1" si="0"/>
        <v/>
      </c>
      <c r="I19" s="23">
        <f>IF(I18="","",IF(I18&gt;=MATCH(CustomerWorksheet!$B$4,$A$2:$A$150,1),"",I18+1))</f>
        <v>63</v>
      </c>
      <c r="J19" s="23" t="str">
        <f t="shared" si="1"/>
        <v>Indiana</v>
      </c>
      <c r="K19" s="23" t="str">
        <f t="shared" si="2"/>
        <v>IN</v>
      </c>
    </row>
    <row r="20" spans="1:11" x14ac:dyDescent="0.25">
      <c r="A20" s="23" t="s">
        <v>305</v>
      </c>
      <c r="B20" s="23" t="s">
        <v>306</v>
      </c>
      <c r="D20" s="63" t="s">
        <v>316</v>
      </c>
      <c r="E20" s="23" t="s">
        <v>317</v>
      </c>
      <c r="F20" s="23" t="str">
        <f t="array" aca="1" ref="F20" ca="1">IF(INDIRECT(ADDRESS(2+SUM(G$2:G19),1))=0,"",INDIRECT(ADDRESS(2+SUM(G$2:G19),1)))</f>
        <v/>
      </c>
      <c r="G20" s="23" t="str">
        <f t="shared" ca="1" si="0"/>
        <v/>
      </c>
      <c r="I20" s="23">
        <f>IF(I19="","",IF(I19&gt;=MATCH(CustomerWorksheet!$B$4,$A$2:$A$150,1),"",I19+1))</f>
        <v>64</v>
      </c>
      <c r="J20" s="23" t="str">
        <f t="shared" si="1"/>
        <v>Iowa</v>
      </c>
      <c r="K20" s="23" t="str">
        <f t="shared" si="2"/>
        <v>IA</v>
      </c>
    </row>
    <row r="21" spans="1:11" x14ac:dyDescent="0.25">
      <c r="A21" s="23" t="s">
        <v>305</v>
      </c>
      <c r="B21" s="23" t="s">
        <v>306</v>
      </c>
      <c r="D21" s="63" t="s">
        <v>318</v>
      </c>
      <c r="E21" s="23" t="s">
        <v>319</v>
      </c>
      <c r="F21" s="23" t="str">
        <f t="array" aca="1" ref="F21" ca="1">IF(INDIRECT(ADDRESS(2+SUM(G$2:G20),1))=0,"",INDIRECT(ADDRESS(2+SUM(G$2:G20),1)))</f>
        <v/>
      </c>
      <c r="G21" s="23" t="str">
        <f t="shared" ca="1" si="0"/>
        <v/>
      </c>
      <c r="I21" s="23">
        <f>IF(I20="","",IF(I20&gt;=MATCH(CustomerWorksheet!$B$4,$A$2:$A$150,1),"",I20+1))</f>
        <v>65</v>
      </c>
      <c r="J21" s="23" t="str">
        <f t="shared" si="1"/>
        <v>Kansas</v>
      </c>
      <c r="K21" s="23" t="str">
        <f t="shared" si="2"/>
        <v>KS</v>
      </c>
    </row>
    <row r="22" spans="1:11" x14ac:dyDescent="0.25">
      <c r="A22" s="23" t="s">
        <v>305</v>
      </c>
      <c r="B22" s="23" t="s">
        <v>306</v>
      </c>
      <c r="D22" s="63" t="s">
        <v>320</v>
      </c>
      <c r="E22" s="23" t="s">
        <v>321</v>
      </c>
      <c r="F22" s="23" t="str">
        <f t="array" aca="1" ref="F22" ca="1">IF(INDIRECT(ADDRESS(2+SUM(G$2:G21),1))=0,"",INDIRECT(ADDRESS(2+SUM(G$2:G21),1)))</f>
        <v/>
      </c>
      <c r="G22" s="23" t="str">
        <f t="shared" ca="1" si="0"/>
        <v/>
      </c>
      <c r="I22" s="23">
        <f>IF(I21="","",IF(I21&gt;=MATCH(CustomerWorksheet!$B$4,$A$2:$A$150,1),"",I21+1))</f>
        <v>66</v>
      </c>
      <c r="J22" s="23" t="str">
        <f t="shared" si="1"/>
        <v>Kentucky</v>
      </c>
      <c r="K22" s="23" t="str">
        <f t="shared" si="2"/>
        <v>KY</v>
      </c>
    </row>
    <row r="23" spans="1:11" x14ac:dyDescent="0.25">
      <c r="A23" s="23" t="s">
        <v>305</v>
      </c>
      <c r="B23" s="23" t="s">
        <v>306</v>
      </c>
      <c r="D23" s="63" t="s">
        <v>322</v>
      </c>
      <c r="E23" s="23" t="s">
        <v>323</v>
      </c>
      <c r="F23" s="23" t="str">
        <f t="array" aca="1" ref="F23" ca="1">IF(INDIRECT(ADDRESS(2+SUM(G$2:G22),1))=0,"",INDIRECT(ADDRESS(2+SUM(G$2:G22),1)))</f>
        <v/>
      </c>
      <c r="G23" s="23" t="str">
        <f t="shared" ca="1" si="0"/>
        <v/>
      </c>
      <c r="I23" s="23">
        <f>IF(I22="","",IF(I22&gt;=MATCH(CustomerWorksheet!$B$4,$A$2:$A$150,1),"",I22+1))</f>
        <v>67</v>
      </c>
      <c r="J23" s="23" t="str">
        <f t="shared" si="1"/>
        <v>Louisiana</v>
      </c>
      <c r="K23" s="23" t="str">
        <f t="shared" si="2"/>
        <v>LA</v>
      </c>
    </row>
    <row r="24" spans="1:11" x14ac:dyDescent="0.25">
      <c r="A24" s="23" t="s">
        <v>305</v>
      </c>
      <c r="B24" s="23" t="s">
        <v>306</v>
      </c>
      <c r="D24" s="63" t="s">
        <v>324</v>
      </c>
      <c r="E24" s="23" t="s">
        <v>325</v>
      </c>
      <c r="F24" s="23" t="str">
        <f t="array" aca="1" ref="F24" ca="1">IF(INDIRECT(ADDRESS(2+SUM(G$2:G23),1))=0,"",INDIRECT(ADDRESS(2+SUM(G$2:G23),1)))</f>
        <v/>
      </c>
      <c r="G24" s="23" t="str">
        <f t="shared" ca="1" si="0"/>
        <v/>
      </c>
      <c r="I24" s="23">
        <f>IF(I23="","",IF(I23&gt;=MATCH(CustomerWorksheet!$B$4,$A$2:$A$150,1),"",I23+1))</f>
        <v>68</v>
      </c>
      <c r="J24" s="23" t="str">
        <f t="shared" si="1"/>
        <v>Maine</v>
      </c>
      <c r="K24" s="23" t="str">
        <f t="shared" si="2"/>
        <v>ME</v>
      </c>
    </row>
    <row r="25" spans="1:11" x14ac:dyDescent="0.25">
      <c r="A25" s="23" t="s">
        <v>305</v>
      </c>
      <c r="B25" s="23" t="s">
        <v>306</v>
      </c>
      <c r="D25" s="63" t="s">
        <v>326</v>
      </c>
      <c r="E25" s="23" t="s">
        <v>327</v>
      </c>
      <c r="F25" s="23" t="str">
        <f t="array" aca="1" ref="F25" ca="1">IF(INDIRECT(ADDRESS(2+SUM(G$2:G24),1))=0,"",INDIRECT(ADDRESS(2+SUM(G$2:G24),1)))</f>
        <v/>
      </c>
      <c r="G25" s="23" t="str">
        <f t="shared" ca="1" si="0"/>
        <v/>
      </c>
      <c r="I25" s="23">
        <f>IF(I24="","",IF(I24&gt;=MATCH(CustomerWorksheet!$B$4,$A$2:$A$150,1),"",I24+1))</f>
        <v>69</v>
      </c>
      <c r="J25" s="23" t="str">
        <f t="shared" si="1"/>
        <v>Marshall Islands</v>
      </c>
      <c r="K25" s="23" t="str">
        <f t="shared" si="2"/>
        <v>MH</v>
      </c>
    </row>
    <row r="26" spans="1:11" x14ac:dyDescent="0.25">
      <c r="A26" s="23" t="s">
        <v>305</v>
      </c>
      <c r="B26" s="23" t="s">
        <v>306</v>
      </c>
      <c r="D26" s="63" t="s">
        <v>328</v>
      </c>
      <c r="E26" s="23" t="s">
        <v>329</v>
      </c>
      <c r="F26" s="23" t="str">
        <f t="array" aca="1" ref="F26" ca="1">IF(INDIRECT(ADDRESS(2+SUM(G$2:G25),1))=0,"",INDIRECT(ADDRESS(2+SUM(G$2:G25),1)))</f>
        <v/>
      </c>
      <c r="G26" s="23" t="str">
        <f t="shared" ca="1" si="0"/>
        <v/>
      </c>
      <c r="I26" s="23">
        <f>IF(I25="","",IF(I25&gt;=MATCH(CustomerWorksheet!$B$4,$A$2:$A$150,1),"",I25+1))</f>
        <v>70</v>
      </c>
      <c r="J26" s="23" t="str">
        <f t="shared" si="1"/>
        <v>Maryland</v>
      </c>
      <c r="K26" s="23" t="str">
        <f t="shared" si="2"/>
        <v>MD</v>
      </c>
    </row>
    <row r="27" spans="1:11" x14ac:dyDescent="0.25">
      <c r="A27" s="23" t="s">
        <v>305</v>
      </c>
      <c r="B27" s="23" t="s">
        <v>306</v>
      </c>
      <c r="D27" s="63" t="s">
        <v>330</v>
      </c>
      <c r="E27" s="23" t="s">
        <v>331</v>
      </c>
      <c r="F27" s="23" t="str">
        <f t="array" aca="1" ref="F27" ca="1">IF(INDIRECT(ADDRESS(2+SUM(G$2:G26),1))=0,"",INDIRECT(ADDRESS(2+SUM(G$2:G26),1)))</f>
        <v/>
      </c>
      <c r="G27" s="23" t="str">
        <f t="shared" ca="1" si="0"/>
        <v/>
      </c>
      <c r="I27" s="23">
        <f>IF(I26="","",IF(I26&gt;=MATCH(CustomerWorksheet!$B$4,$A$2:$A$150,1),"",I26+1))</f>
        <v>71</v>
      </c>
      <c r="J27" s="23" t="str">
        <f t="shared" si="1"/>
        <v>Massachusetts</v>
      </c>
      <c r="K27" s="23" t="str">
        <f t="shared" si="2"/>
        <v>MA</v>
      </c>
    </row>
    <row r="28" spans="1:11" x14ac:dyDescent="0.25">
      <c r="A28" s="23" t="s">
        <v>305</v>
      </c>
      <c r="B28" s="23" t="s">
        <v>306</v>
      </c>
      <c r="D28" s="63" t="s">
        <v>332</v>
      </c>
      <c r="E28" s="23" t="s">
        <v>333</v>
      </c>
      <c r="F28" s="23" t="str">
        <f t="array" aca="1" ref="F28" ca="1">IF(INDIRECT(ADDRESS(2+SUM(G$2:G27),1))=0,"",INDIRECT(ADDRESS(2+SUM(G$2:G27),1)))</f>
        <v/>
      </c>
      <c r="G28" s="23" t="str">
        <f t="shared" ca="1" si="0"/>
        <v/>
      </c>
      <c r="I28" s="23">
        <f>IF(I27="","",IF(I27&gt;=MATCH(CustomerWorksheet!$B$4,$A$2:$A$150,1),"",I27+1))</f>
        <v>72</v>
      </c>
      <c r="J28" s="23" t="str">
        <f t="shared" si="1"/>
        <v>Michigan</v>
      </c>
      <c r="K28" s="23" t="str">
        <f t="shared" si="2"/>
        <v>MI</v>
      </c>
    </row>
    <row r="29" spans="1:11" x14ac:dyDescent="0.25">
      <c r="A29" s="23" t="s">
        <v>305</v>
      </c>
      <c r="B29" s="23" t="s">
        <v>306</v>
      </c>
      <c r="D29" s="63" t="s">
        <v>334</v>
      </c>
      <c r="E29" s="23" t="s">
        <v>335</v>
      </c>
      <c r="F29" s="23" t="str">
        <f t="array" aca="1" ref="F29" ca="1">IF(INDIRECT(ADDRESS(2+SUM(G$2:G28),1))=0,"",INDIRECT(ADDRESS(2+SUM(G$2:G28),1)))</f>
        <v/>
      </c>
      <c r="G29" s="23" t="str">
        <f t="shared" ca="1" si="0"/>
        <v/>
      </c>
      <c r="I29" s="23">
        <f>IF(I28="","",IF(I28&gt;=MATCH(CustomerWorksheet!$B$4,$A$2:$A$150,1),"",I28+1))</f>
        <v>73</v>
      </c>
      <c r="J29" s="23" t="str">
        <f t="shared" si="1"/>
        <v>Minnesota</v>
      </c>
      <c r="K29" s="23" t="str">
        <f t="shared" si="2"/>
        <v>MN</v>
      </c>
    </row>
    <row r="30" spans="1:11" x14ac:dyDescent="0.25">
      <c r="A30" s="23" t="s">
        <v>305</v>
      </c>
      <c r="B30" s="23" t="s">
        <v>306</v>
      </c>
      <c r="D30" s="63" t="s">
        <v>336</v>
      </c>
      <c r="E30" s="23" t="s">
        <v>337</v>
      </c>
      <c r="F30" s="23" t="str">
        <f t="array" aca="1" ref="F30" ca="1">IF(INDIRECT(ADDRESS(2+SUM(G$2:G29),1))=0,"",INDIRECT(ADDRESS(2+SUM(G$2:G29),1)))</f>
        <v/>
      </c>
      <c r="G30" s="23" t="str">
        <f t="shared" ca="1" si="0"/>
        <v/>
      </c>
      <c r="I30" s="23">
        <f>IF(I29="","",IF(I29&gt;=MATCH(CustomerWorksheet!$B$4,$A$2:$A$150,1),"",I29+1))</f>
        <v>74</v>
      </c>
      <c r="J30" s="23" t="str">
        <f t="shared" si="1"/>
        <v>Mississippi</v>
      </c>
      <c r="K30" s="23" t="str">
        <f t="shared" si="2"/>
        <v>MS</v>
      </c>
    </row>
    <row r="31" spans="1:11" x14ac:dyDescent="0.25">
      <c r="A31" s="23" t="s">
        <v>305</v>
      </c>
      <c r="B31" s="23" t="s">
        <v>306</v>
      </c>
      <c r="D31" s="63" t="s">
        <v>338</v>
      </c>
      <c r="E31" s="23" t="s">
        <v>339</v>
      </c>
      <c r="F31" s="23" t="str">
        <f t="array" aca="1" ref="F31" ca="1">IF(INDIRECT(ADDRESS(2+SUM(G$2:G30),1))=0,"",INDIRECT(ADDRESS(2+SUM(G$2:G30),1)))</f>
        <v/>
      </c>
      <c r="G31" s="23" t="str">
        <f t="shared" ca="1" si="0"/>
        <v/>
      </c>
      <c r="I31" s="23">
        <f>IF(I30="","",IF(I30&gt;=MATCH(CustomerWorksheet!$B$4,$A$2:$A$150,1),"",I30+1))</f>
        <v>75</v>
      </c>
      <c r="J31" s="23" t="str">
        <f t="shared" si="1"/>
        <v>Missouri</v>
      </c>
      <c r="K31" s="23" t="str">
        <f t="shared" si="2"/>
        <v>MO</v>
      </c>
    </row>
    <row r="32" spans="1:11" x14ac:dyDescent="0.25">
      <c r="A32" s="23" t="s">
        <v>305</v>
      </c>
      <c r="B32" s="23" t="s">
        <v>306</v>
      </c>
      <c r="D32" s="63" t="s">
        <v>340</v>
      </c>
      <c r="E32" s="23" t="s">
        <v>341</v>
      </c>
      <c r="F32" s="23" t="str">
        <f t="array" aca="1" ref="F32" ca="1">IF(INDIRECT(ADDRESS(2+SUM(G$2:G31),1))=0,"",INDIRECT(ADDRESS(2+SUM(G$2:G31),1)))</f>
        <v/>
      </c>
      <c r="G32" s="23" t="str">
        <f t="shared" ca="1" si="0"/>
        <v/>
      </c>
      <c r="I32" s="23">
        <f>IF(I31="","",IF(I31&gt;=MATCH(CustomerWorksheet!$B$4,$A$2:$A$150,1),"",I31+1))</f>
        <v>76</v>
      </c>
      <c r="J32" s="23" t="str">
        <f t="shared" si="1"/>
        <v>Montana</v>
      </c>
      <c r="K32" s="23" t="str">
        <f t="shared" si="2"/>
        <v>MT</v>
      </c>
    </row>
    <row r="33" spans="1:11" x14ac:dyDescent="0.25">
      <c r="A33" s="23" t="s">
        <v>305</v>
      </c>
      <c r="B33" s="23" t="s">
        <v>306</v>
      </c>
      <c r="D33" s="63" t="s">
        <v>342</v>
      </c>
      <c r="E33" s="23" t="s">
        <v>287</v>
      </c>
      <c r="F33" s="23" t="str">
        <f t="array" aca="1" ref="F33" ca="1">IF(INDIRECT(ADDRESS(2+SUM(G$2:G32),1))=0,"",INDIRECT(ADDRESS(2+SUM(G$2:G32),1)))</f>
        <v/>
      </c>
      <c r="G33" s="23" t="str">
        <f t="shared" ca="1" si="0"/>
        <v/>
      </c>
      <c r="I33" s="23">
        <f>IF(I32="","",IF(I32&gt;=MATCH(CustomerWorksheet!$B$4,$A$2:$A$150,1),"",I32+1))</f>
        <v>77</v>
      </c>
      <c r="J33" s="23" t="str">
        <f t="shared" si="1"/>
        <v>Nebraska</v>
      </c>
      <c r="K33" s="23" t="str">
        <f t="shared" si="2"/>
        <v>NE</v>
      </c>
    </row>
    <row r="34" spans="1:11" x14ac:dyDescent="0.25">
      <c r="A34" s="23" t="s">
        <v>305</v>
      </c>
      <c r="B34" s="23" t="s">
        <v>306</v>
      </c>
      <c r="D34" s="63" t="s">
        <v>343</v>
      </c>
      <c r="E34" s="23" t="s">
        <v>344</v>
      </c>
      <c r="F34" s="23" t="str">
        <f t="array" aca="1" ref="F34" ca="1">IF(INDIRECT(ADDRESS(2+SUM(G$2:G33),1))=0,"",INDIRECT(ADDRESS(2+SUM(G$2:G33),1)))</f>
        <v/>
      </c>
      <c r="G34" s="23" t="str">
        <f t="shared" ref="G34:G65" ca="1" si="3">IF(F34="","",COUNTIF($A$1:$A$150,F34))</f>
        <v/>
      </c>
      <c r="I34" s="23">
        <f>IF(I33="","",IF(I33&gt;=MATCH(CustomerWorksheet!$B$4,$A$2:$A$150,1),"",I33+1))</f>
        <v>78</v>
      </c>
      <c r="J34" s="23" t="str">
        <f t="shared" ref="J34:J65" si="4">IF(LEN(I34)&gt;0,IF(ISERROR(INDEX(D$2:D$150,I34,0)),"",INDEX(D$2:D$150,I34,0)),"")</f>
        <v>Nevada</v>
      </c>
      <c r="K34" s="23" t="str">
        <f t="shared" ref="K34:K65" si="5">IF(LEN(I34)&gt;0,IF(ISERROR(INDEX(E$2:E$150,I34,0)),"",INDEX(E$2:E$150,I34,0)),"")</f>
        <v>NV</v>
      </c>
    </row>
    <row r="35" spans="1:11" x14ac:dyDescent="0.25">
      <c r="A35" s="23" t="s">
        <v>305</v>
      </c>
      <c r="B35" s="23" t="s">
        <v>306</v>
      </c>
      <c r="D35" s="63" t="s">
        <v>345</v>
      </c>
      <c r="E35" s="23" t="s">
        <v>346</v>
      </c>
      <c r="F35" s="23" t="str">
        <f t="array" aca="1" ref="F35" ca="1">IF(INDIRECT(ADDRESS(2+SUM(G$2:G34),1))=0,"",INDIRECT(ADDRESS(2+SUM(G$2:G34),1)))</f>
        <v/>
      </c>
      <c r="G35" s="23" t="str">
        <f t="shared" ca="1" si="3"/>
        <v/>
      </c>
      <c r="I35" s="23">
        <f>IF(I34="","",IF(I34&gt;=MATCH(CustomerWorksheet!$B$4,$A$2:$A$150,1),"",I34+1))</f>
        <v>79</v>
      </c>
      <c r="J35" s="23" t="str">
        <f t="shared" si="4"/>
        <v>New Hampshire</v>
      </c>
      <c r="K35" s="23" t="str">
        <f t="shared" si="5"/>
        <v>NH</v>
      </c>
    </row>
    <row r="36" spans="1:11" x14ac:dyDescent="0.25">
      <c r="A36" s="23" t="s">
        <v>305</v>
      </c>
      <c r="B36" s="23" t="s">
        <v>306</v>
      </c>
      <c r="D36" s="63" t="s">
        <v>347</v>
      </c>
      <c r="E36" s="23" t="s">
        <v>348</v>
      </c>
      <c r="F36" s="23" t="str">
        <f t="array" aca="1" ref="F36" ca="1">IF(INDIRECT(ADDRESS(2+SUM(G$2:G35),1))=0,"",INDIRECT(ADDRESS(2+SUM(G$2:G35),1)))</f>
        <v/>
      </c>
      <c r="G36" s="23" t="str">
        <f t="shared" ca="1" si="3"/>
        <v/>
      </c>
      <c r="I36" s="23">
        <f>IF(I35="","",IF(I35&gt;=MATCH(CustomerWorksheet!$B$4,$A$2:$A$150,1),"",I35+1))</f>
        <v>80</v>
      </c>
      <c r="J36" s="23" t="str">
        <f t="shared" si="4"/>
        <v>New Jersey</v>
      </c>
      <c r="K36" s="23" t="str">
        <f t="shared" si="5"/>
        <v>NJ</v>
      </c>
    </row>
    <row r="37" spans="1:11" x14ac:dyDescent="0.25">
      <c r="A37" s="23" t="s">
        <v>305</v>
      </c>
      <c r="B37" s="23" t="s">
        <v>306</v>
      </c>
      <c r="D37" s="63" t="s">
        <v>349</v>
      </c>
      <c r="E37" s="23" t="s">
        <v>350</v>
      </c>
      <c r="F37" s="23" t="str">
        <f t="array" aca="1" ref="F37" ca="1">IF(INDIRECT(ADDRESS(2+SUM(G$2:G36),1))=0,"",INDIRECT(ADDRESS(2+SUM(G$2:G36),1)))</f>
        <v/>
      </c>
      <c r="G37" s="23" t="str">
        <f t="shared" ca="1" si="3"/>
        <v/>
      </c>
      <c r="I37" s="23">
        <f>IF(I36="","",IF(I36&gt;=MATCH(CustomerWorksheet!$B$4,$A$2:$A$150,1),"",I36+1))</f>
        <v>81</v>
      </c>
      <c r="J37" s="23" t="str">
        <f t="shared" si="4"/>
        <v>New Mexico</v>
      </c>
      <c r="K37" s="23" t="str">
        <f t="shared" si="5"/>
        <v>NM</v>
      </c>
    </row>
    <row r="38" spans="1:11" x14ac:dyDescent="0.25">
      <c r="A38" s="23" t="s">
        <v>305</v>
      </c>
      <c r="B38" s="23" t="s">
        <v>306</v>
      </c>
      <c r="D38" s="63" t="s">
        <v>351</v>
      </c>
      <c r="E38" s="23" t="s">
        <v>352</v>
      </c>
      <c r="F38" s="23" t="str">
        <f t="array" aca="1" ref="F38" ca="1">IF(INDIRECT(ADDRESS(2+SUM(G$2:G37),1))=0,"",INDIRECT(ADDRESS(2+SUM(G$2:G37),1)))</f>
        <v/>
      </c>
      <c r="G38" s="23" t="str">
        <f t="shared" ca="1" si="3"/>
        <v/>
      </c>
      <c r="I38" s="23">
        <f>IF(I37="","",IF(I37&gt;=MATCH(CustomerWorksheet!$B$4,$A$2:$A$150,1),"",I37+1))</f>
        <v>82</v>
      </c>
      <c r="J38" s="23" t="str">
        <f t="shared" si="4"/>
        <v>New York</v>
      </c>
      <c r="K38" s="23" t="str">
        <f t="shared" si="5"/>
        <v>NY</v>
      </c>
    </row>
    <row r="39" spans="1:11" x14ac:dyDescent="0.25">
      <c r="A39" s="23" t="s">
        <v>305</v>
      </c>
      <c r="B39" s="23" t="s">
        <v>306</v>
      </c>
      <c r="D39" s="63" t="s">
        <v>353</v>
      </c>
      <c r="E39" s="23" t="s">
        <v>354</v>
      </c>
      <c r="F39" s="23" t="str">
        <f t="array" aca="1" ref="F39" ca="1">IF(INDIRECT(ADDRESS(2+SUM(G$2:G38),1))=0,"",INDIRECT(ADDRESS(2+SUM(G$2:G38),1)))</f>
        <v/>
      </c>
      <c r="G39" s="23" t="str">
        <f t="shared" ca="1" si="3"/>
        <v/>
      </c>
      <c r="I39" s="23">
        <f>IF(I38="","",IF(I38&gt;=MATCH(CustomerWorksheet!$B$4,$A$2:$A$150,1),"",I38+1))</f>
        <v>83</v>
      </c>
      <c r="J39" s="23" t="str">
        <f t="shared" si="4"/>
        <v>North Carolina</v>
      </c>
      <c r="K39" s="23" t="str">
        <f t="shared" si="5"/>
        <v>NC</v>
      </c>
    </row>
    <row r="40" spans="1:11" x14ac:dyDescent="0.25">
      <c r="A40" s="23" t="s">
        <v>305</v>
      </c>
      <c r="B40" s="23" t="s">
        <v>306</v>
      </c>
      <c r="D40" s="63" t="s">
        <v>355</v>
      </c>
      <c r="E40" s="23" t="s">
        <v>356</v>
      </c>
      <c r="F40" s="23" t="str">
        <f t="array" aca="1" ref="F40" ca="1">IF(INDIRECT(ADDRESS(2+SUM(G$2:G39),1))=0,"",INDIRECT(ADDRESS(2+SUM(G$2:G39),1)))</f>
        <v/>
      </c>
      <c r="G40" s="23" t="str">
        <f t="shared" ca="1" si="3"/>
        <v/>
      </c>
      <c r="I40" s="23">
        <f>IF(I39="","",IF(I39&gt;=MATCH(CustomerWorksheet!$B$4,$A$2:$A$150,1),"",I39+1))</f>
        <v>84</v>
      </c>
      <c r="J40" s="23" t="str">
        <f t="shared" si="4"/>
        <v>North Dakota</v>
      </c>
      <c r="K40" s="23" t="str">
        <f t="shared" si="5"/>
        <v>ND</v>
      </c>
    </row>
    <row r="41" spans="1:11" x14ac:dyDescent="0.25">
      <c r="A41" s="23" t="s">
        <v>305</v>
      </c>
      <c r="B41" s="23" t="s">
        <v>306</v>
      </c>
      <c r="D41" s="63" t="s">
        <v>357</v>
      </c>
      <c r="E41" s="23" t="s">
        <v>358</v>
      </c>
      <c r="F41" s="23" t="str">
        <f t="array" aca="1" ref="F41" ca="1">IF(INDIRECT(ADDRESS(2+SUM(G$2:G40),1))=0,"",INDIRECT(ADDRESS(2+SUM(G$2:G40),1)))</f>
        <v/>
      </c>
      <c r="G41" s="23" t="str">
        <f t="shared" ca="1" si="3"/>
        <v/>
      </c>
      <c r="I41" s="23">
        <f>IF(I40="","",IF(I40&gt;=MATCH(CustomerWorksheet!$B$4,$A$2:$A$150,1),"",I40+1))</f>
        <v>85</v>
      </c>
      <c r="J41" s="23" t="str">
        <f t="shared" si="4"/>
        <v>Northern Mariana Islands</v>
      </c>
      <c r="K41" s="23" t="str">
        <f t="shared" si="5"/>
        <v>MP</v>
      </c>
    </row>
    <row r="42" spans="1:11" x14ac:dyDescent="0.25">
      <c r="A42" s="23" t="s">
        <v>305</v>
      </c>
      <c r="B42" s="23" t="s">
        <v>306</v>
      </c>
      <c r="D42" s="63" t="s">
        <v>359</v>
      </c>
      <c r="E42" s="23" t="s">
        <v>360</v>
      </c>
      <c r="F42" s="23" t="str">
        <f t="array" aca="1" ref="F42" ca="1">IF(INDIRECT(ADDRESS(2+SUM(G$2:G41),1))=0,"",INDIRECT(ADDRESS(2+SUM(G$2:G41),1)))</f>
        <v/>
      </c>
      <c r="G42" s="23" t="str">
        <f t="shared" ca="1" si="3"/>
        <v/>
      </c>
      <c r="I42" s="23">
        <f>IF(I41="","",IF(I41&gt;=MATCH(CustomerWorksheet!$B$4,$A$2:$A$150,1),"",I41+1))</f>
        <v>86</v>
      </c>
      <c r="J42" s="23" t="str">
        <f t="shared" si="4"/>
        <v>Ohio</v>
      </c>
      <c r="K42" s="23" t="str">
        <f t="shared" si="5"/>
        <v>OH</v>
      </c>
    </row>
    <row r="43" spans="1:11" x14ac:dyDescent="0.25">
      <c r="A43" s="23" t="s">
        <v>305</v>
      </c>
      <c r="B43" s="23" t="s">
        <v>306</v>
      </c>
      <c r="D43" s="63" t="s">
        <v>361</v>
      </c>
      <c r="E43" s="23" t="s">
        <v>362</v>
      </c>
      <c r="F43" s="23" t="str">
        <f t="array" aca="1" ref="F43" ca="1">IF(INDIRECT(ADDRESS(2+SUM(G$2:G42),1))=0,"",INDIRECT(ADDRESS(2+SUM(G$2:G42),1)))</f>
        <v/>
      </c>
      <c r="G43" s="23" t="str">
        <f t="shared" ca="1" si="3"/>
        <v/>
      </c>
      <c r="I43" s="23">
        <f>IF(I42="","",IF(I42&gt;=MATCH(CustomerWorksheet!$B$4,$A$2:$A$150,1),"",I42+1))</f>
        <v>87</v>
      </c>
      <c r="J43" s="23" t="str">
        <f t="shared" si="4"/>
        <v>Oklahoma</v>
      </c>
      <c r="K43" s="23" t="str">
        <f t="shared" si="5"/>
        <v>OK</v>
      </c>
    </row>
    <row r="44" spans="1:11" x14ac:dyDescent="0.25">
      <c r="A44" s="23" t="s">
        <v>305</v>
      </c>
      <c r="B44" s="23" t="s">
        <v>306</v>
      </c>
      <c r="D44" s="63" t="s">
        <v>363</v>
      </c>
      <c r="E44" s="23" t="s">
        <v>364</v>
      </c>
      <c r="F44" s="23" t="str">
        <f t="array" aca="1" ref="F44" ca="1">IF(INDIRECT(ADDRESS(2+SUM(G$2:G43),1))=0,"",INDIRECT(ADDRESS(2+SUM(G$2:G43),1)))</f>
        <v/>
      </c>
      <c r="G44" s="23" t="str">
        <f t="shared" ca="1" si="3"/>
        <v/>
      </c>
      <c r="I44" s="23">
        <f>IF(I43="","",IF(I43&gt;=MATCH(CustomerWorksheet!$B$4,$A$2:$A$150,1),"",I43+1))</f>
        <v>88</v>
      </c>
      <c r="J44" s="23" t="str">
        <f t="shared" si="4"/>
        <v>Oregon</v>
      </c>
      <c r="K44" s="23" t="str">
        <f t="shared" si="5"/>
        <v>OR</v>
      </c>
    </row>
    <row r="45" spans="1:11" x14ac:dyDescent="0.25">
      <c r="A45" s="23" t="s">
        <v>305</v>
      </c>
      <c r="B45" s="23" t="s">
        <v>306</v>
      </c>
      <c r="D45" s="63" t="s">
        <v>365</v>
      </c>
      <c r="E45" s="23" t="s">
        <v>366</v>
      </c>
      <c r="F45" s="23" t="str">
        <f t="array" aca="1" ref="F45" ca="1">IF(INDIRECT(ADDRESS(2+SUM(G$2:G44),1))=0,"",INDIRECT(ADDRESS(2+SUM(G$2:G44),1)))</f>
        <v/>
      </c>
      <c r="G45" s="23" t="str">
        <f t="shared" ca="1" si="3"/>
        <v/>
      </c>
      <c r="I45" s="23">
        <f>IF(I44="","",IF(I44&gt;=MATCH(CustomerWorksheet!$B$4,$A$2:$A$150,1),"",I44+1))</f>
        <v>89</v>
      </c>
      <c r="J45" s="23" t="str">
        <f t="shared" si="4"/>
        <v>Palau</v>
      </c>
      <c r="K45" s="23" t="str">
        <f t="shared" si="5"/>
        <v>PW</v>
      </c>
    </row>
    <row r="46" spans="1:11" x14ac:dyDescent="0.25">
      <c r="A46" s="23" t="s">
        <v>305</v>
      </c>
      <c r="B46" s="23" t="s">
        <v>306</v>
      </c>
      <c r="D46" s="63" t="s">
        <v>367</v>
      </c>
      <c r="E46" s="23" t="s">
        <v>368</v>
      </c>
      <c r="F46" s="23" t="str">
        <f t="array" aca="1" ref="F46" ca="1">IF(INDIRECT(ADDRESS(2+SUM(G$2:G45),1))=0,"",INDIRECT(ADDRESS(2+SUM(G$2:G45),1)))</f>
        <v/>
      </c>
      <c r="G46" s="23" t="str">
        <f t="shared" ca="1" si="3"/>
        <v/>
      </c>
      <c r="I46" s="23">
        <f>IF(I45="","",IF(I45&gt;=MATCH(CustomerWorksheet!$B$4,$A$2:$A$150,1),"",I45+1))</f>
        <v>90</v>
      </c>
      <c r="J46" s="23" t="str">
        <f t="shared" si="4"/>
        <v>Pennsylvania</v>
      </c>
      <c r="K46" s="23" t="str">
        <f t="shared" si="5"/>
        <v>PA</v>
      </c>
    </row>
    <row r="47" spans="1:11" x14ac:dyDescent="0.25">
      <c r="A47" s="23" t="s">
        <v>6</v>
      </c>
      <c r="B47" s="23" t="s">
        <v>200</v>
      </c>
      <c r="C47" s="64"/>
      <c r="D47" s="63" t="s">
        <v>8</v>
      </c>
      <c r="E47" s="23" t="s">
        <v>369</v>
      </c>
      <c r="F47" s="23" t="str">
        <f t="array" aca="1" ref="F47" ca="1">IF(INDIRECT(ADDRESS(2+SUM(G$2:G46),1))=0,"",INDIRECT(ADDRESS(2+SUM(G$2:G46),1)))</f>
        <v/>
      </c>
      <c r="G47" s="23" t="str">
        <f t="shared" ca="1" si="3"/>
        <v/>
      </c>
      <c r="I47" s="23">
        <f>IF(I46="","",IF(I46&gt;=MATCH(CustomerWorksheet!$B$4,$A$2:$A$150,1),"",I46+1))</f>
        <v>91</v>
      </c>
      <c r="J47" s="23" t="str">
        <f t="shared" si="4"/>
        <v>Puerto Rico</v>
      </c>
      <c r="K47" s="23" t="str">
        <f t="shared" si="5"/>
        <v>PR</v>
      </c>
    </row>
    <row r="48" spans="1:11" x14ac:dyDescent="0.25">
      <c r="A48" s="23" t="s">
        <v>6</v>
      </c>
      <c r="B48" s="23" t="s">
        <v>200</v>
      </c>
      <c r="C48" s="64"/>
      <c r="D48" s="63" t="s">
        <v>370</v>
      </c>
      <c r="E48" s="23" t="s">
        <v>371</v>
      </c>
      <c r="F48" s="23" t="str">
        <f t="array" aca="1" ref="F48" ca="1">IF(INDIRECT(ADDRESS(2+SUM(G$2:G47),1))=0,"",INDIRECT(ADDRESS(2+SUM(G$2:G47),1)))</f>
        <v/>
      </c>
      <c r="G48" s="23" t="str">
        <f t="shared" ca="1" si="3"/>
        <v/>
      </c>
      <c r="I48" s="23">
        <f>IF(I47="","",IF(I47&gt;=MATCH(CustomerWorksheet!$B$4,$A$2:$A$150,1),"",I47+1))</f>
        <v>92</v>
      </c>
      <c r="J48" s="23" t="str">
        <f t="shared" si="4"/>
        <v>Rhode Island</v>
      </c>
      <c r="K48" s="23" t="str">
        <f t="shared" si="5"/>
        <v>RI</v>
      </c>
    </row>
    <row r="49" spans="1:15" x14ac:dyDescent="0.25">
      <c r="A49" s="23" t="s">
        <v>6</v>
      </c>
      <c r="B49" s="23" t="s">
        <v>200</v>
      </c>
      <c r="C49" s="64" t="s">
        <v>288</v>
      </c>
      <c r="D49" s="63" t="s">
        <v>372</v>
      </c>
      <c r="E49" s="23" t="s">
        <v>373</v>
      </c>
      <c r="F49" s="23" t="str">
        <f t="array" aca="1" ref="F49" ca="1">IF(INDIRECT(ADDRESS(2+SUM(G$2:G48),1))=0,"",INDIRECT(ADDRESS(2+SUM(G$2:G48),1)))</f>
        <v/>
      </c>
      <c r="G49" s="23" t="str">
        <f t="shared" ca="1" si="3"/>
        <v/>
      </c>
      <c r="I49" s="23">
        <f>IF(I48="","",IF(I48&gt;=MATCH(CustomerWorksheet!$B$4,$A$2:$A$150,1),"",I48+1))</f>
        <v>93</v>
      </c>
      <c r="J49" s="23" t="str">
        <f t="shared" si="4"/>
        <v>South Carolina</v>
      </c>
      <c r="K49" s="23" t="str">
        <f t="shared" si="5"/>
        <v>SC</v>
      </c>
    </row>
    <row r="50" spans="1:15" x14ac:dyDescent="0.25">
      <c r="A50" s="23" t="s">
        <v>6</v>
      </c>
      <c r="B50" s="23" t="s">
        <v>200</v>
      </c>
      <c r="C50" s="64"/>
      <c r="D50" s="63" t="s">
        <v>374</v>
      </c>
      <c r="E50" s="23" t="s">
        <v>375</v>
      </c>
      <c r="F50" s="23" t="str">
        <f t="array" aca="1" ref="F50" ca="1">IF(INDIRECT(ADDRESS(2+SUM(G$2:G49),1))=0,"",INDIRECT(ADDRESS(2+SUM(G$2:G49),1)))</f>
        <v/>
      </c>
      <c r="G50" s="23" t="str">
        <f t="shared" ca="1" si="3"/>
        <v/>
      </c>
      <c r="I50" s="23">
        <f>IF(I49="","",IF(I49&gt;=MATCH(CustomerWorksheet!$B$4,$A$2:$A$150,1),"",I49+1))</f>
        <v>94</v>
      </c>
      <c r="J50" s="23" t="str">
        <f t="shared" si="4"/>
        <v>South Dakota</v>
      </c>
      <c r="K50" s="23" t="str">
        <f t="shared" si="5"/>
        <v>SD</v>
      </c>
    </row>
    <row r="51" spans="1:15" x14ac:dyDescent="0.25">
      <c r="A51" s="23" t="s">
        <v>6</v>
      </c>
      <c r="B51" s="23" t="s">
        <v>200</v>
      </c>
      <c r="C51" s="64"/>
      <c r="D51" s="63" t="s">
        <v>376</v>
      </c>
      <c r="E51" s="23" t="s">
        <v>377</v>
      </c>
      <c r="F51" s="23" t="str">
        <f t="array" aca="1" ref="F51" ca="1">IF(INDIRECT(ADDRESS(2+SUM(G$2:G50),1))=0,"",INDIRECT(ADDRESS(2+SUM(G$2:G50),1)))</f>
        <v/>
      </c>
      <c r="G51" s="23" t="str">
        <f t="shared" ca="1" si="3"/>
        <v/>
      </c>
      <c r="I51" s="23">
        <f>IF(I50="","",IF(I50&gt;=MATCH(CustomerWorksheet!$B$4,$A$2:$A$150,1),"",I50+1))</f>
        <v>95</v>
      </c>
      <c r="J51" s="23" t="str">
        <f t="shared" si="4"/>
        <v>Tennessee</v>
      </c>
      <c r="K51" s="23" t="str">
        <f t="shared" si="5"/>
        <v>TN</v>
      </c>
    </row>
    <row r="52" spans="1:15" x14ac:dyDescent="0.25">
      <c r="A52" s="23" t="s">
        <v>6</v>
      </c>
      <c r="B52" s="23" t="s">
        <v>200</v>
      </c>
      <c r="C52" s="64"/>
      <c r="D52" s="63" t="s">
        <v>378</v>
      </c>
      <c r="E52" s="23" t="s">
        <v>277</v>
      </c>
      <c r="F52" s="23" t="str">
        <f t="array" aca="1" ref="F52" ca="1">IF(INDIRECT(ADDRESS(2+SUM(G$2:G51),1))=0,"",INDIRECT(ADDRESS(2+SUM(G$2:G51),1)))</f>
        <v/>
      </c>
      <c r="G52" s="23" t="str">
        <f t="shared" ca="1" si="3"/>
        <v/>
      </c>
      <c r="I52" s="23">
        <f>IF(I51="","",IF(I51&gt;=MATCH(CustomerWorksheet!$B$4,$A$2:$A$150,1),"",I51+1))</f>
        <v>96</v>
      </c>
      <c r="J52" s="23" t="str">
        <f t="shared" si="4"/>
        <v>Texas</v>
      </c>
      <c r="K52" s="23" t="str">
        <f t="shared" si="5"/>
        <v>TX</v>
      </c>
    </row>
    <row r="53" spans="1:15" x14ac:dyDescent="0.25">
      <c r="A53" s="23" t="s">
        <v>6</v>
      </c>
      <c r="B53" s="23" t="s">
        <v>200</v>
      </c>
      <c r="C53" s="64"/>
      <c r="D53" s="63" t="s">
        <v>379</v>
      </c>
      <c r="E53" s="23" t="s">
        <v>319</v>
      </c>
      <c r="F53" s="23" t="str">
        <f t="array" aca="1" ref="F53" ca="1">IF(INDIRECT(ADDRESS(2+SUM(G$2:G52),1))=0,"",INDIRECT(ADDRESS(2+SUM(G$2:G52),1)))</f>
        <v/>
      </c>
      <c r="G53" s="23" t="str">
        <f t="shared" ca="1" si="3"/>
        <v/>
      </c>
      <c r="I53" s="23">
        <f>IF(I52="","",IF(I52&gt;=MATCH(CustomerWorksheet!$B$4,$A$2:$A$150,1),"",I52+1))</f>
        <v>97</v>
      </c>
      <c r="J53" s="23" t="str">
        <f t="shared" si="4"/>
        <v>U.S. Virgin Islands</v>
      </c>
      <c r="K53" s="23" t="str">
        <f t="shared" si="5"/>
        <v>VI</v>
      </c>
    </row>
    <row r="54" spans="1:15" x14ac:dyDescent="0.25">
      <c r="A54" s="23" t="s">
        <v>6</v>
      </c>
      <c r="B54" s="23" t="s">
        <v>200</v>
      </c>
      <c r="C54" s="64"/>
      <c r="D54" s="63" t="s">
        <v>380</v>
      </c>
      <c r="E54" s="23" t="s">
        <v>381</v>
      </c>
      <c r="F54" s="23" t="str">
        <f t="array" aca="1" ref="F54" ca="1">IF(INDIRECT(ADDRESS(2+SUM(G$2:G53),1))=0,"",INDIRECT(ADDRESS(2+SUM(G$2:G53),1)))</f>
        <v/>
      </c>
      <c r="G54" s="23" t="str">
        <f t="shared" ca="1" si="3"/>
        <v/>
      </c>
      <c r="I54" s="23">
        <f>IF(I53="","",IF(I53&gt;=MATCH(CustomerWorksheet!$B$4,$A$2:$A$150,1),"",I53+1))</f>
        <v>98</v>
      </c>
      <c r="J54" s="23" t="str">
        <f t="shared" si="4"/>
        <v>Utah</v>
      </c>
      <c r="K54" s="23" t="str">
        <f t="shared" si="5"/>
        <v>UT</v>
      </c>
    </row>
    <row r="55" spans="1:15" x14ac:dyDescent="0.25">
      <c r="A55" s="23" t="s">
        <v>6</v>
      </c>
      <c r="B55" s="23" t="s">
        <v>200</v>
      </c>
      <c r="C55" s="64"/>
      <c r="D55" s="63" t="s">
        <v>382</v>
      </c>
      <c r="E55" s="23" t="s">
        <v>383</v>
      </c>
      <c r="F55" s="23" t="str">
        <f t="array" aca="1" ref="F55" ca="1">IF(INDIRECT(ADDRESS(2+SUM(G$2:G54),1))=0,"",INDIRECT(ADDRESS(2+SUM(G$2:G54),1)))</f>
        <v/>
      </c>
      <c r="G55" s="23" t="str">
        <f t="shared" ca="1" si="3"/>
        <v/>
      </c>
      <c r="I55" s="23">
        <f>IF(I54="","",IF(I54&gt;=MATCH(CustomerWorksheet!$B$4,$A$2:$A$150,1),"",I54+1))</f>
        <v>99</v>
      </c>
      <c r="J55" s="23" t="str">
        <f t="shared" si="4"/>
        <v>Vermont</v>
      </c>
      <c r="K55" s="23" t="str">
        <f t="shared" si="5"/>
        <v>VT</v>
      </c>
    </row>
    <row r="56" spans="1:15" x14ac:dyDescent="0.25">
      <c r="A56" s="23" t="s">
        <v>6</v>
      </c>
      <c r="B56" s="23" t="s">
        <v>200</v>
      </c>
      <c r="C56" s="64"/>
      <c r="D56" s="63" t="s">
        <v>384</v>
      </c>
      <c r="E56" s="23" t="s">
        <v>385</v>
      </c>
      <c r="F56" s="23" t="str">
        <f t="array" aca="1" ref="F56" ca="1">IF(INDIRECT(ADDRESS(2+SUM(G$2:G55),1))=0,"",INDIRECT(ADDRESS(2+SUM(G$2:G55),1)))</f>
        <v/>
      </c>
      <c r="G56" s="23" t="str">
        <f t="shared" ca="1" si="3"/>
        <v/>
      </c>
      <c r="I56" s="23">
        <f>IF(I55="","",IF(I55&gt;=MATCH(CustomerWorksheet!$B$4,$A$2:$A$150,1),"",I55+1))</f>
        <v>100</v>
      </c>
      <c r="J56" s="23" t="str">
        <f t="shared" si="4"/>
        <v>Virginia</v>
      </c>
      <c r="K56" s="23" t="str">
        <f t="shared" si="5"/>
        <v>VA</v>
      </c>
    </row>
    <row r="57" spans="1:15" x14ac:dyDescent="0.25">
      <c r="A57" s="23" t="s">
        <v>6</v>
      </c>
      <c r="B57" s="23" t="s">
        <v>200</v>
      </c>
      <c r="C57" s="64" t="s">
        <v>288</v>
      </c>
      <c r="D57" s="63" t="s">
        <v>386</v>
      </c>
      <c r="E57" s="23" t="s">
        <v>387</v>
      </c>
      <c r="F57" s="23" t="str">
        <f t="array" aca="1" ref="F57" ca="1">IF(INDIRECT(ADDRESS(2+SUM(G$2:G56),1))=0,"",INDIRECT(ADDRESS(2+SUM(G$2:G56),1)))</f>
        <v/>
      </c>
      <c r="G57" s="23" t="str">
        <f t="shared" ca="1" si="3"/>
        <v/>
      </c>
      <c r="I57" s="23">
        <f>IF(I56="","",IF(I56&gt;=MATCH(CustomerWorksheet!$B$4,$A$2:$A$150,1),"",I56+1))</f>
        <v>101</v>
      </c>
      <c r="J57" s="23" t="str">
        <f t="shared" si="4"/>
        <v>Washington</v>
      </c>
      <c r="K57" s="23" t="str">
        <f t="shared" si="5"/>
        <v>WA</v>
      </c>
    </row>
    <row r="58" spans="1:15" x14ac:dyDescent="0.25">
      <c r="A58" s="23" t="s">
        <v>6</v>
      </c>
      <c r="B58" s="23" t="s">
        <v>200</v>
      </c>
      <c r="C58" s="64"/>
      <c r="D58" s="63" t="s">
        <v>388</v>
      </c>
      <c r="E58" s="23" t="s">
        <v>389</v>
      </c>
      <c r="F58" s="23" t="str">
        <f t="array" aca="1" ref="F58" ca="1">IF(INDIRECT(ADDRESS(2+SUM(G$2:G57),1))=0,"",INDIRECT(ADDRESS(2+SUM(G$2:G57),1)))</f>
        <v/>
      </c>
      <c r="G58" s="23" t="str">
        <f t="shared" ca="1" si="3"/>
        <v/>
      </c>
      <c r="I58" s="23">
        <f>IF(I57="","",IF(I57&gt;=MATCH(CustomerWorksheet!$B$4,$A$2:$A$150,1),"",I57+1))</f>
        <v>102</v>
      </c>
      <c r="J58" s="23" t="str">
        <f t="shared" si="4"/>
        <v>West Virginia</v>
      </c>
      <c r="K58" s="23" t="str">
        <f t="shared" si="5"/>
        <v>WV</v>
      </c>
      <c r="O58" s="66"/>
    </row>
    <row r="59" spans="1:15" x14ac:dyDescent="0.25">
      <c r="A59" s="23" t="s">
        <v>6</v>
      </c>
      <c r="B59" s="23" t="s">
        <v>200</v>
      </c>
      <c r="C59" s="64"/>
      <c r="D59" s="63" t="s">
        <v>390</v>
      </c>
      <c r="E59" s="23" t="s">
        <v>391</v>
      </c>
      <c r="F59" s="23" t="str">
        <f t="array" aca="1" ref="F59" ca="1">IF(INDIRECT(ADDRESS(2+SUM(G$2:G58),1))=0,"",INDIRECT(ADDRESS(2+SUM(G$2:G58),1)))</f>
        <v/>
      </c>
      <c r="G59" s="23" t="str">
        <f t="shared" ca="1" si="3"/>
        <v/>
      </c>
      <c r="I59" s="23">
        <f>IF(I58="","",IF(I58&gt;=MATCH(CustomerWorksheet!$B$4,$A$2:$A$150,1),"",I58+1))</f>
        <v>103</v>
      </c>
      <c r="J59" s="23" t="str">
        <f t="shared" si="4"/>
        <v>Wisconsin</v>
      </c>
      <c r="K59" s="23" t="str">
        <f t="shared" si="5"/>
        <v>WI</v>
      </c>
    </row>
    <row r="60" spans="1:15" x14ac:dyDescent="0.25">
      <c r="A60" s="23" t="s">
        <v>6</v>
      </c>
      <c r="B60" s="23" t="s">
        <v>200</v>
      </c>
      <c r="C60" s="64" t="s">
        <v>288</v>
      </c>
      <c r="D60" s="63" t="s">
        <v>392</v>
      </c>
      <c r="E60" s="23" t="s">
        <v>393</v>
      </c>
      <c r="F60" s="23" t="str">
        <f t="array" aca="1" ref="F60" ca="1">IF(INDIRECT(ADDRESS(2+SUM(G$2:G59),1))=0,"",INDIRECT(ADDRESS(2+SUM(G$2:G59),1)))</f>
        <v/>
      </c>
      <c r="G60" s="23" t="str">
        <f t="shared" ca="1" si="3"/>
        <v/>
      </c>
      <c r="I60" s="23">
        <f>IF(I59="","",IF(I59&gt;=MATCH(CustomerWorksheet!$B$4,$A$2:$A$150,1),"",I59+1))</f>
        <v>104</v>
      </c>
      <c r="J60" s="23" t="str">
        <f t="shared" si="4"/>
        <v>Wyoming</v>
      </c>
      <c r="K60" s="23" t="str">
        <f t="shared" si="5"/>
        <v>WY</v>
      </c>
    </row>
    <row r="61" spans="1:15" x14ac:dyDescent="0.25">
      <c r="A61" s="23" t="s">
        <v>6</v>
      </c>
      <c r="B61" s="23" t="s">
        <v>200</v>
      </c>
      <c r="C61" s="64"/>
      <c r="D61" s="63" t="s">
        <v>394</v>
      </c>
      <c r="E61" s="23" t="s">
        <v>395</v>
      </c>
      <c r="F61" s="23" t="str">
        <f t="array" aca="1" ref="F61" ca="1">IF(INDIRECT(ADDRESS(2+SUM(G$2:G60),1))=0,"",INDIRECT(ADDRESS(2+SUM(G$2:G60),1)))</f>
        <v/>
      </c>
      <c r="G61" s="23" t="str">
        <f t="shared" ca="1" si="3"/>
        <v/>
      </c>
      <c r="I61" s="23" t="str">
        <f>IF(I60="","",IF(I60&gt;=MATCH(CustomerWorksheet!$B$4,$A$2:$A$150,1),"",I60+1))</f>
        <v/>
      </c>
      <c r="J61" s="23" t="str">
        <f t="shared" si="4"/>
        <v/>
      </c>
      <c r="K61" s="23" t="str">
        <f t="shared" si="5"/>
        <v/>
      </c>
    </row>
    <row r="62" spans="1:15" x14ac:dyDescent="0.25">
      <c r="A62" s="23" t="s">
        <v>6</v>
      </c>
      <c r="B62" s="23" t="s">
        <v>200</v>
      </c>
      <c r="C62" s="64"/>
      <c r="D62" s="63" t="s">
        <v>396</v>
      </c>
      <c r="E62" s="23" t="s">
        <v>397</v>
      </c>
      <c r="F62" s="23" t="str">
        <f t="array" aca="1" ref="F62" ca="1">IF(INDIRECT(ADDRESS(2+SUM(G$2:G61),1))=0,"",INDIRECT(ADDRESS(2+SUM(G$2:G61),1)))</f>
        <v/>
      </c>
      <c r="G62" s="23" t="str">
        <f t="shared" ca="1" si="3"/>
        <v/>
      </c>
      <c r="I62" s="23" t="str">
        <f>IF(I61="","",IF(I61&gt;=MATCH(CustomerWorksheet!$B$4,$A$2:$A$150,1),"",I61+1))</f>
        <v/>
      </c>
      <c r="J62" s="23" t="str">
        <f t="shared" si="4"/>
        <v/>
      </c>
      <c r="K62" s="23" t="str">
        <f t="shared" si="5"/>
        <v/>
      </c>
    </row>
    <row r="63" spans="1:15" x14ac:dyDescent="0.25">
      <c r="A63" s="23" t="s">
        <v>6</v>
      </c>
      <c r="B63" s="23" t="s">
        <v>200</v>
      </c>
      <c r="C63" s="64"/>
      <c r="D63" s="63" t="s">
        <v>398</v>
      </c>
      <c r="E63" s="23" t="s">
        <v>399</v>
      </c>
      <c r="F63" s="23" t="str">
        <f t="array" aca="1" ref="F63" ca="1">IF(INDIRECT(ADDRESS(2+SUM(G$2:G62),1))=0,"",INDIRECT(ADDRESS(2+SUM(G$2:G62),1)))</f>
        <v/>
      </c>
      <c r="G63" s="23" t="str">
        <f t="shared" ca="1" si="3"/>
        <v/>
      </c>
      <c r="I63" s="23" t="str">
        <f>IF(I62="","",IF(I62&gt;=MATCH(CustomerWorksheet!$B$4,$A$2:$A$150,1),"",I62+1))</f>
        <v/>
      </c>
      <c r="J63" s="23" t="str">
        <f t="shared" si="4"/>
        <v/>
      </c>
      <c r="K63" s="23" t="str">
        <f t="shared" si="5"/>
        <v/>
      </c>
    </row>
    <row r="64" spans="1:15" x14ac:dyDescent="0.25">
      <c r="A64" s="23" t="s">
        <v>6</v>
      </c>
      <c r="B64" s="23" t="s">
        <v>200</v>
      </c>
      <c r="C64" s="64"/>
      <c r="D64" s="63" t="s">
        <v>400</v>
      </c>
      <c r="E64" s="23" t="s">
        <v>401</v>
      </c>
      <c r="F64" s="23" t="str">
        <f t="array" aca="1" ref="F64" ca="1">IF(INDIRECT(ADDRESS(2+SUM(G$2:G63),1))=0,"",INDIRECT(ADDRESS(2+SUM(G$2:G63),1)))</f>
        <v/>
      </c>
      <c r="G64" s="23" t="str">
        <f t="shared" ca="1" si="3"/>
        <v/>
      </c>
      <c r="I64" s="23" t="str">
        <f>IF(I63="","",IF(I63&gt;=MATCH(CustomerWorksheet!$B$4,$A$2:$A$150,1),"",I63+1))</f>
        <v/>
      </c>
      <c r="J64" s="23" t="str">
        <f t="shared" si="4"/>
        <v/>
      </c>
      <c r="K64" s="23" t="str">
        <f t="shared" si="5"/>
        <v/>
      </c>
    </row>
    <row r="65" spans="1:11" x14ac:dyDescent="0.25">
      <c r="A65" s="23" t="s">
        <v>6</v>
      </c>
      <c r="B65" s="23" t="s">
        <v>200</v>
      </c>
      <c r="C65" s="64"/>
      <c r="D65" s="63" t="s">
        <v>402</v>
      </c>
      <c r="E65" s="23" t="s">
        <v>403</v>
      </c>
      <c r="F65" s="23" t="str">
        <f t="array" aca="1" ref="F65" ca="1">IF(INDIRECT(ADDRESS(2+SUM(G$2:G64),1))=0,"",INDIRECT(ADDRESS(2+SUM(G$2:G64),1)))</f>
        <v/>
      </c>
      <c r="G65" s="23" t="str">
        <f t="shared" ca="1" si="3"/>
        <v/>
      </c>
      <c r="I65" s="23" t="str">
        <f>IF(I64="","",IF(I64&gt;=MATCH(CustomerWorksheet!$B$4,$A$2:$A$150,1),"",I64+1))</f>
        <v/>
      </c>
      <c r="J65" s="23" t="str">
        <f t="shared" si="4"/>
        <v/>
      </c>
      <c r="K65" s="23" t="str">
        <f t="shared" si="5"/>
        <v/>
      </c>
    </row>
    <row r="66" spans="1:11" x14ac:dyDescent="0.25">
      <c r="A66" s="23" t="s">
        <v>6</v>
      </c>
      <c r="B66" s="23" t="s">
        <v>200</v>
      </c>
      <c r="C66" s="64"/>
      <c r="D66" s="63" t="s">
        <v>404</v>
      </c>
      <c r="E66" s="23" t="s">
        <v>405</v>
      </c>
      <c r="F66" s="23" t="str">
        <f t="array" aca="1" ref="F66" ca="1">IF(INDIRECT(ADDRESS(2+SUM(G$2:G65),1))=0,"",INDIRECT(ADDRESS(2+SUM(G$2:G65),1)))</f>
        <v/>
      </c>
      <c r="G66" s="23" t="str">
        <f t="shared" ref="G66:G97" ca="1" si="6">IF(F66="","",COUNTIF($A$1:$A$150,F66))</f>
        <v/>
      </c>
      <c r="I66" s="23" t="str">
        <f>IF(I65="","",IF(I65&gt;=MATCH(CustomerWorksheet!$B$4,$A$2:$A$150,1),"",I65+1))</f>
        <v/>
      </c>
      <c r="J66" s="23" t="str">
        <f t="shared" ref="J66:J97" si="7">IF(LEN(I66)&gt;0,IF(ISERROR(INDEX(D$2:D$150,I66,0)),"",INDEX(D$2:D$150,I66,0)),"")</f>
        <v/>
      </c>
      <c r="K66" s="23" t="str">
        <f t="shared" ref="K66:K97" si="8">IF(LEN(I66)&gt;0,IF(ISERROR(INDEX(E$2:E$150,I66,0)),"",INDEX(E$2:E$150,I66,0)),"")</f>
        <v/>
      </c>
    </row>
    <row r="67" spans="1:11" x14ac:dyDescent="0.25">
      <c r="A67" s="23" t="s">
        <v>6</v>
      </c>
      <c r="B67" s="23" t="s">
        <v>200</v>
      </c>
      <c r="C67" s="64"/>
      <c r="D67" s="63" t="s">
        <v>406</v>
      </c>
      <c r="E67" s="23" t="s">
        <v>407</v>
      </c>
      <c r="F67" s="23" t="str">
        <f t="array" aca="1" ref="F67" ca="1">IF(INDIRECT(ADDRESS(2+SUM(G$2:G66),1))=0,"",INDIRECT(ADDRESS(2+SUM(G$2:G66),1)))</f>
        <v/>
      </c>
      <c r="G67" s="23" t="str">
        <f t="shared" ca="1" si="6"/>
        <v/>
      </c>
      <c r="I67" s="23" t="str">
        <f>IF(I66="","",IF(I66&gt;=MATCH(CustomerWorksheet!$B$4,$A$2:$A$150,1),"",I66+1))</f>
        <v/>
      </c>
      <c r="J67" s="23" t="str">
        <f t="shared" si="7"/>
        <v/>
      </c>
      <c r="K67" s="23" t="str">
        <f t="shared" si="8"/>
        <v/>
      </c>
    </row>
    <row r="68" spans="1:11" x14ac:dyDescent="0.25">
      <c r="A68" s="23" t="s">
        <v>6</v>
      </c>
      <c r="B68" s="23" t="s">
        <v>200</v>
      </c>
      <c r="C68" s="64"/>
      <c r="D68" s="63" t="s">
        <v>408</v>
      </c>
      <c r="E68" s="23" t="s">
        <v>409</v>
      </c>
      <c r="F68" s="23" t="str">
        <f t="array" aca="1" ref="F68" ca="1">IF(INDIRECT(ADDRESS(2+SUM(G$2:G67),1))=0,"",INDIRECT(ADDRESS(2+SUM(G$2:G67),1)))</f>
        <v/>
      </c>
      <c r="G68" s="23" t="str">
        <f t="shared" ca="1" si="6"/>
        <v/>
      </c>
      <c r="I68" s="23" t="str">
        <f>IF(I67="","",IF(I67&gt;=MATCH(CustomerWorksheet!$B$4,$A$2:$A$150,1),"",I67+1))</f>
        <v/>
      </c>
      <c r="J68" s="23" t="str">
        <f t="shared" si="7"/>
        <v/>
      </c>
      <c r="K68" s="23" t="str">
        <f t="shared" si="8"/>
        <v/>
      </c>
    </row>
    <row r="69" spans="1:11" x14ac:dyDescent="0.25">
      <c r="A69" s="23" t="s">
        <v>6</v>
      </c>
      <c r="B69" s="23" t="s">
        <v>200</v>
      </c>
      <c r="C69" s="64"/>
      <c r="D69" s="63" t="s">
        <v>410</v>
      </c>
      <c r="E69" s="23" t="s">
        <v>335</v>
      </c>
      <c r="F69" s="23" t="str">
        <f t="array" aca="1" ref="F69" ca="1">IF(INDIRECT(ADDRESS(2+SUM(G$2:G68),1))=0,"",INDIRECT(ADDRESS(2+SUM(G$2:G68),1)))</f>
        <v/>
      </c>
      <c r="G69" s="23" t="str">
        <f t="shared" ca="1" si="6"/>
        <v/>
      </c>
      <c r="I69" s="23" t="str">
        <f>IF(I68="","",IF(I68&gt;=MATCH(CustomerWorksheet!$B$4,$A$2:$A$150,1),"",I68+1))</f>
        <v/>
      </c>
      <c r="J69" s="23" t="str">
        <f t="shared" si="7"/>
        <v/>
      </c>
      <c r="K69" s="23" t="str">
        <f t="shared" si="8"/>
        <v/>
      </c>
    </row>
    <row r="70" spans="1:11" x14ac:dyDescent="0.25">
      <c r="A70" s="23" t="s">
        <v>6</v>
      </c>
      <c r="B70" s="23" t="s">
        <v>200</v>
      </c>
      <c r="C70" s="64" t="s">
        <v>288</v>
      </c>
      <c r="D70" s="63" t="s">
        <v>411</v>
      </c>
      <c r="E70" s="23" t="s">
        <v>412</v>
      </c>
      <c r="F70" s="23" t="str">
        <f t="array" aca="1" ref="F70" ca="1">IF(INDIRECT(ADDRESS(2+SUM(G$2:G69),1))=0,"",INDIRECT(ADDRESS(2+SUM(G$2:G69),1)))</f>
        <v/>
      </c>
      <c r="G70" s="23" t="str">
        <f t="shared" ca="1" si="6"/>
        <v/>
      </c>
      <c r="I70" s="23" t="str">
        <f>IF(I69="","",IF(I69&gt;=MATCH(CustomerWorksheet!$B$4,$A$2:$A$150,1),"",I69+1))</f>
        <v/>
      </c>
      <c r="J70" s="23" t="str">
        <f t="shared" si="7"/>
        <v/>
      </c>
      <c r="K70" s="23" t="str">
        <f t="shared" si="8"/>
        <v/>
      </c>
    </row>
    <row r="71" spans="1:11" x14ac:dyDescent="0.25">
      <c r="A71" s="23" t="s">
        <v>6</v>
      </c>
      <c r="B71" s="23" t="s">
        <v>200</v>
      </c>
      <c r="C71" s="64"/>
      <c r="D71" s="63" t="s">
        <v>413</v>
      </c>
      <c r="E71" s="23" t="s">
        <v>414</v>
      </c>
      <c r="F71" s="23" t="str">
        <f t="array" aca="1" ref="F71" ca="1">IF(INDIRECT(ADDRESS(2+SUM(G$2:G70),1))=0,"",INDIRECT(ADDRESS(2+SUM(G$2:G70),1)))</f>
        <v/>
      </c>
      <c r="G71" s="23" t="str">
        <f t="shared" ca="1" si="6"/>
        <v/>
      </c>
      <c r="I71" s="23" t="str">
        <f>IF(I70="","",IF(I70&gt;=MATCH(CustomerWorksheet!$B$4,$A$2:$A$150,1),"",I70+1))</f>
        <v/>
      </c>
      <c r="J71" s="23" t="str">
        <f t="shared" si="7"/>
        <v/>
      </c>
      <c r="K71" s="23" t="str">
        <f t="shared" si="8"/>
        <v/>
      </c>
    </row>
    <row r="72" spans="1:11" x14ac:dyDescent="0.25">
      <c r="A72" s="23" t="s">
        <v>6</v>
      </c>
      <c r="B72" s="23" t="s">
        <v>200</v>
      </c>
      <c r="C72" s="64"/>
      <c r="D72" s="63" t="s">
        <v>415</v>
      </c>
      <c r="E72" s="23" t="s">
        <v>416</v>
      </c>
      <c r="F72" s="23" t="str">
        <f t="array" aca="1" ref="F72" ca="1">IF(INDIRECT(ADDRESS(2+SUM(G$2:G71),1))=0,"",INDIRECT(ADDRESS(2+SUM(G$2:G71),1)))</f>
        <v/>
      </c>
      <c r="G72" s="23" t="str">
        <f t="shared" ca="1" si="6"/>
        <v/>
      </c>
      <c r="I72" s="23" t="str">
        <f>IF(I71="","",IF(I71&gt;=MATCH(CustomerWorksheet!$B$4,$A$2:$A$150,1),"",I71+1))</f>
        <v/>
      </c>
      <c r="J72" s="23" t="str">
        <f t="shared" si="7"/>
        <v/>
      </c>
      <c r="K72" s="23" t="str">
        <f t="shared" si="8"/>
        <v/>
      </c>
    </row>
    <row r="73" spans="1:11" x14ac:dyDescent="0.25">
      <c r="A73" s="23" t="s">
        <v>6</v>
      </c>
      <c r="B73" s="23" t="s">
        <v>200</v>
      </c>
      <c r="C73" s="64"/>
      <c r="D73" s="63" t="s">
        <v>417</v>
      </c>
      <c r="E73" s="23" t="s">
        <v>337</v>
      </c>
      <c r="F73" s="23" t="str">
        <f t="array" aca="1" ref="F73" ca="1">IF(INDIRECT(ADDRESS(2+SUM(G$2:G72),1))=0,"",INDIRECT(ADDRESS(2+SUM(G$2:G72),1)))</f>
        <v/>
      </c>
      <c r="G73" s="23" t="str">
        <f t="shared" ca="1" si="6"/>
        <v/>
      </c>
      <c r="I73" s="23" t="str">
        <f>IF(I72="","",IF(I72&gt;=MATCH(CustomerWorksheet!$B$4,$A$2:$A$150,1),"",I72+1))</f>
        <v/>
      </c>
      <c r="J73" s="23" t="str">
        <f t="shared" si="7"/>
        <v/>
      </c>
      <c r="K73" s="23" t="str">
        <f t="shared" si="8"/>
        <v/>
      </c>
    </row>
    <row r="74" spans="1:11" x14ac:dyDescent="0.25">
      <c r="A74" s="23" t="s">
        <v>6</v>
      </c>
      <c r="B74" s="23" t="s">
        <v>200</v>
      </c>
      <c r="C74" s="64"/>
      <c r="D74" s="63" t="s">
        <v>418</v>
      </c>
      <c r="E74" s="23" t="s">
        <v>419</v>
      </c>
      <c r="F74" s="23" t="str">
        <f t="array" aca="1" ref="F74" ca="1">IF(INDIRECT(ADDRESS(2+SUM(G$2:G73),1))=0,"",INDIRECT(ADDRESS(2+SUM(G$2:G73),1)))</f>
        <v/>
      </c>
      <c r="G74" s="23" t="str">
        <f t="shared" ca="1" si="6"/>
        <v/>
      </c>
      <c r="I74" s="23" t="str">
        <f>IF(I73="","",IF(I73&gt;=MATCH(CustomerWorksheet!$B$4,$A$2:$A$150,1),"",I73+1))</f>
        <v/>
      </c>
      <c r="J74" s="23" t="str">
        <f t="shared" si="7"/>
        <v/>
      </c>
      <c r="K74" s="23" t="str">
        <f t="shared" si="8"/>
        <v/>
      </c>
    </row>
    <row r="75" spans="1:11" x14ac:dyDescent="0.25">
      <c r="A75" s="23" t="s">
        <v>6</v>
      </c>
      <c r="B75" s="23" t="s">
        <v>200</v>
      </c>
      <c r="C75" s="64"/>
      <c r="D75" s="63" t="s">
        <v>420</v>
      </c>
      <c r="E75" s="23" t="s">
        <v>186</v>
      </c>
      <c r="F75" s="23" t="str">
        <f t="array" aca="1" ref="F75" ca="1">IF(INDIRECT(ADDRESS(2+SUM(G$2:G74),1))=0,"",INDIRECT(ADDRESS(2+SUM(G$2:G74),1)))</f>
        <v/>
      </c>
      <c r="G75" s="23" t="str">
        <f t="shared" ca="1" si="6"/>
        <v/>
      </c>
      <c r="I75" s="23" t="str">
        <f>IF(I74="","",IF(I74&gt;=MATCH(CustomerWorksheet!$B$4,$A$2:$A$150,1),"",I74+1))</f>
        <v/>
      </c>
      <c r="J75" s="23" t="str">
        <f t="shared" si="7"/>
        <v/>
      </c>
      <c r="K75" s="23" t="str">
        <f t="shared" si="8"/>
        <v/>
      </c>
    </row>
    <row r="76" spans="1:11" x14ac:dyDescent="0.25">
      <c r="A76" s="23" t="s">
        <v>6</v>
      </c>
      <c r="B76" s="23" t="s">
        <v>200</v>
      </c>
      <c r="C76" s="64"/>
      <c r="D76" s="63" t="s">
        <v>421</v>
      </c>
      <c r="E76" s="23" t="s">
        <v>339</v>
      </c>
      <c r="F76" s="23" t="str">
        <f t="array" aca="1" ref="F76" ca="1">IF(INDIRECT(ADDRESS(2+SUM(G$2:G75),1))=0,"",INDIRECT(ADDRESS(2+SUM(G$2:G75),1)))</f>
        <v/>
      </c>
      <c r="G76" s="23" t="str">
        <f t="shared" ca="1" si="6"/>
        <v/>
      </c>
      <c r="I76" s="23" t="str">
        <f>IF(I75="","",IF(I75&gt;=MATCH(CustomerWorksheet!$B$4,$A$2:$A$150,1),"",I75+1))</f>
        <v/>
      </c>
      <c r="J76" s="23" t="str">
        <f t="shared" si="7"/>
        <v/>
      </c>
      <c r="K76" s="23" t="str">
        <f t="shared" si="8"/>
        <v/>
      </c>
    </row>
    <row r="77" spans="1:11" x14ac:dyDescent="0.25">
      <c r="A77" s="23" t="s">
        <v>6</v>
      </c>
      <c r="B77" s="23" t="s">
        <v>200</v>
      </c>
      <c r="C77" s="64"/>
      <c r="D77" s="63" t="s">
        <v>422</v>
      </c>
      <c r="E77" s="23" t="s">
        <v>423</v>
      </c>
      <c r="F77" s="23" t="str">
        <f t="array" aca="1" ref="F77" ca="1">IF(INDIRECT(ADDRESS(2+SUM(G$2:G76),1))=0,"",INDIRECT(ADDRESS(2+SUM(G$2:G76),1)))</f>
        <v/>
      </c>
      <c r="G77" s="23" t="str">
        <f t="shared" ca="1" si="6"/>
        <v/>
      </c>
      <c r="I77" s="23" t="str">
        <f>IF(I76="","",IF(I76&gt;=MATCH(CustomerWorksheet!$B$4,$A$2:$A$150,1),"",I76+1))</f>
        <v/>
      </c>
      <c r="J77" s="23" t="str">
        <f t="shared" si="7"/>
        <v/>
      </c>
      <c r="K77" s="23" t="str">
        <f t="shared" si="8"/>
        <v/>
      </c>
    </row>
    <row r="78" spans="1:11" x14ac:dyDescent="0.25">
      <c r="A78" s="23" t="s">
        <v>6</v>
      </c>
      <c r="B78" s="23" t="s">
        <v>200</v>
      </c>
      <c r="C78" s="64"/>
      <c r="D78" s="63" t="s">
        <v>424</v>
      </c>
      <c r="E78" s="23" t="s">
        <v>425</v>
      </c>
      <c r="F78" s="23" t="str">
        <f t="array" aca="1" ref="F78" ca="1">IF(INDIRECT(ADDRESS(2+SUM(G$2:G77),1))=0,"",INDIRECT(ADDRESS(2+SUM(G$2:G77),1)))</f>
        <v/>
      </c>
      <c r="G78" s="23" t="str">
        <f t="shared" ca="1" si="6"/>
        <v/>
      </c>
      <c r="I78" s="23" t="str">
        <f>IF(I77="","",IF(I77&gt;=MATCH(CustomerWorksheet!$B$4,$A$2:$A$150,1),"",I77+1))</f>
        <v/>
      </c>
      <c r="J78" s="23" t="str">
        <f t="shared" si="7"/>
        <v/>
      </c>
      <c r="K78" s="23" t="str">
        <f t="shared" si="8"/>
        <v/>
      </c>
    </row>
    <row r="79" spans="1:11" x14ac:dyDescent="0.25">
      <c r="A79" s="23" t="s">
        <v>6</v>
      </c>
      <c r="B79" s="23" t="s">
        <v>200</v>
      </c>
      <c r="C79" s="64"/>
      <c r="D79" s="63" t="s">
        <v>426</v>
      </c>
      <c r="E79" s="23" t="s">
        <v>427</v>
      </c>
      <c r="F79" s="23" t="str">
        <f t="array" aca="1" ref="F79" ca="1">IF(INDIRECT(ADDRESS(2+SUM(G$2:G78),1))=0,"",INDIRECT(ADDRESS(2+SUM(G$2:G78),1)))</f>
        <v/>
      </c>
      <c r="G79" s="23" t="str">
        <f t="shared" ca="1" si="6"/>
        <v/>
      </c>
      <c r="I79" s="23" t="str">
        <f>IF(I78="","",IF(I78&gt;=MATCH(CustomerWorksheet!$B$4,$A$2:$A$150,1),"",I78+1))</f>
        <v/>
      </c>
      <c r="J79" s="23" t="str">
        <f t="shared" si="7"/>
        <v/>
      </c>
      <c r="K79" s="23" t="str">
        <f t="shared" si="8"/>
        <v/>
      </c>
    </row>
    <row r="80" spans="1:11" x14ac:dyDescent="0.25">
      <c r="A80" s="23" t="s">
        <v>6</v>
      </c>
      <c r="B80" s="23" t="s">
        <v>200</v>
      </c>
      <c r="C80" s="64"/>
      <c r="D80" s="63" t="s">
        <v>428</v>
      </c>
      <c r="E80" s="23" t="s">
        <v>429</v>
      </c>
      <c r="F80" s="23" t="str">
        <f t="array" aca="1" ref="F80" ca="1">IF(INDIRECT(ADDRESS(2+SUM(G$2:G79),1))=0,"",INDIRECT(ADDRESS(2+SUM(G$2:G79),1)))</f>
        <v/>
      </c>
      <c r="G80" s="23" t="str">
        <f t="shared" ca="1" si="6"/>
        <v/>
      </c>
      <c r="I80" s="23" t="str">
        <f>IF(I79="","",IF(I79&gt;=MATCH(CustomerWorksheet!$B$4,$A$2:$A$150,1),"",I79+1))</f>
        <v/>
      </c>
      <c r="J80" s="23" t="str">
        <f t="shared" si="7"/>
        <v/>
      </c>
      <c r="K80" s="23" t="str">
        <f t="shared" si="8"/>
        <v/>
      </c>
    </row>
    <row r="81" spans="1:11" x14ac:dyDescent="0.25">
      <c r="A81" s="23" t="s">
        <v>6</v>
      </c>
      <c r="B81" s="23" t="s">
        <v>200</v>
      </c>
      <c r="C81" s="64"/>
      <c r="D81" s="63" t="s">
        <v>430</v>
      </c>
      <c r="E81" s="23" t="s">
        <v>431</v>
      </c>
      <c r="F81" s="23" t="str">
        <f t="array" aca="1" ref="F81" ca="1">IF(INDIRECT(ADDRESS(2+SUM(G$2:G80),1))=0,"",INDIRECT(ADDRESS(2+SUM(G$2:G80),1)))</f>
        <v/>
      </c>
      <c r="G81" s="23" t="str">
        <f t="shared" ca="1" si="6"/>
        <v/>
      </c>
      <c r="I81" s="23" t="str">
        <f>IF(I80="","",IF(I80&gt;=MATCH(CustomerWorksheet!$B$4,$A$2:$A$150,1),"",I80+1))</f>
        <v/>
      </c>
      <c r="J81" s="23" t="str">
        <f t="shared" si="7"/>
        <v/>
      </c>
      <c r="K81" s="23" t="str">
        <f t="shared" si="8"/>
        <v/>
      </c>
    </row>
    <row r="82" spans="1:11" x14ac:dyDescent="0.25">
      <c r="A82" s="23" t="s">
        <v>6</v>
      </c>
      <c r="B82" s="23" t="s">
        <v>200</v>
      </c>
      <c r="C82" s="64"/>
      <c r="D82" s="63" t="s">
        <v>432</v>
      </c>
      <c r="E82" s="23" t="s">
        <v>433</v>
      </c>
      <c r="F82" s="23" t="str">
        <f t="array" aca="1" ref="F82" ca="1">IF(INDIRECT(ADDRESS(2+SUM(G$2:G81),1))=0,"",INDIRECT(ADDRESS(2+SUM(G$2:G81),1)))</f>
        <v/>
      </c>
      <c r="G82" s="23" t="str">
        <f t="shared" ca="1" si="6"/>
        <v/>
      </c>
      <c r="I82" s="23" t="str">
        <f>IF(I81="","",IF(I81&gt;=MATCH(CustomerWorksheet!$B$4,$A$2:$A$150,1),"",I81+1))</f>
        <v/>
      </c>
      <c r="J82" s="23" t="str">
        <f t="shared" si="7"/>
        <v/>
      </c>
      <c r="K82" s="23" t="str">
        <f t="shared" si="8"/>
        <v/>
      </c>
    </row>
    <row r="83" spans="1:11" x14ac:dyDescent="0.25">
      <c r="A83" s="23" t="s">
        <v>6</v>
      </c>
      <c r="B83" s="23" t="s">
        <v>200</v>
      </c>
      <c r="C83" s="64"/>
      <c r="D83" s="63" t="s">
        <v>434</v>
      </c>
      <c r="E83" s="23" t="s">
        <v>435</v>
      </c>
      <c r="F83" s="23" t="str">
        <f t="array" aca="1" ref="F83" ca="1">IF(INDIRECT(ADDRESS(2+SUM(G$2:G82),1))=0,"",INDIRECT(ADDRESS(2+SUM(G$2:G82),1)))</f>
        <v/>
      </c>
      <c r="G83" s="23" t="str">
        <f t="shared" ca="1" si="6"/>
        <v/>
      </c>
      <c r="I83" s="23" t="str">
        <f>IF(I82="","",IF(I82&gt;=MATCH(CustomerWorksheet!$B$4,$A$2:$A$150,1),"",I82+1))</f>
        <v/>
      </c>
      <c r="J83" s="23" t="str">
        <f t="shared" si="7"/>
        <v/>
      </c>
      <c r="K83" s="23" t="str">
        <f t="shared" si="8"/>
        <v/>
      </c>
    </row>
    <row r="84" spans="1:11" x14ac:dyDescent="0.25">
      <c r="A84" s="23" t="s">
        <v>6</v>
      </c>
      <c r="B84" s="23" t="s">
        <v>200</v>
      </c>
      <c r="C84" s="64"/>
      <c r="D84" s="63" t="s">
        <v>436</v>
      </c>
      <c r="E84" s="23" t="s">
        <v>437</v>
      </c>
      <c r="F84" s="23" t="str">
        <f t="array" aca="1" ref="F84" ca="1">IF(INDIRECT(ADDRESS(2+SUM(G$2:G83),1))=0,"",INDIRECT(ADDRESS(2+SUM(G$2:G83),1)))</f>
        <v/>
      </c>
      <c r="G84" s="23" t="str">
        <f t="shared" ca="1" si="6"/>
        <v/>
      </c>
      <c r="I84" s="23" t="str">
        <f>IF(I83="","",IF(I83&gt;=MATCH(CustomerWorksheet!$B$4,$A$2:$A$150,1),"",I83+1))</f>
        <v/>
      </c>
      <c r="J84" s="23" t="str">
        <f t="shared" si="7"/>
        <v/>
      </c>
      <c r="K84" s="23" t="str">
        <f t="shared" si="8"/>
        <v/>
      </c>
    </row>
    <row r="85" spans="1:11" x14ac:dyDescent="0.25">
      <c r="A85" s="23" t="s">
        <v>6</v>
      </c>
      <c r="B85" s="23" t="s">
        <v>200</v>
      </c>
      <c r="C85" s="64"/>
      <c r="D85" s="63" t="s">
        <v>438</v>
      </c>
      <c r="E85" s="23" t="s">
        <v>439</v>
      </c>
      <c r="F85" s="23" t="str">
        <f t="array" aca="1" ref="F85" ca="1">IF(INDIRECT(ADDRESS(2+SUM(G$2:G84),1))=0,"",INDIRECT(ADDRESS(2+SUM(G$2:G84),1)))</f>
        <v/>
      </c>
      <c r="G85" s="23" t="str">
        <f t="shared" ca="1" si="6"/>
        <v/>
      </c>
      <c r="I85" s="23" t="str">
        <f>IF(I84="","",IF(I84&gt;=MATCH(CustomerWorksheet!$B$4,$A$2:$A$150,1),"",I84+1))</f>
        <v/>
      </c>
      <c r="J85" s="23" t="str">
        <f t="shared" si="7"/>
        <v/>
      </c>
      <c r="K85" s="23" t="str">
        <f t="shared" si="8"/>
        <v/>
      </c>
    </row>
    <row r="86" spans="1:11" x14ac:dyDescent="0.25">
      <c r="A86" s="23" t="s">
        <v>6</v>
      </c>
      <c r="B86" s="23" t="s">
        <v>200</v>
      </c>
      <c r="C86" s="64" t="s">
        <v>288</v>
      </c>
      <c r="D86" s="63" t="s">
        <v>440</v>
      </c>
      <c r="E86" s="23" t="s">
        <v>441</v>
      </c>
      <c r="F86" s="23" t="str">
        <f t="array" aca="1" ref="F86" ca="1">IF(INDIRECT(ADDRESS(2+SUM(G$2:G85),1))=0,"",INDIRECT(ADDRESS(2+SUM(G$2:G85),1)))</f>
        <v/>
      </c>
      <c r="G86" s="23" t="str">
        <f t="shared" ca="1" si="6"/>
        <v/>
      </c>
      <c r="I86" s="23" t="str">
        <f>IF(I85="","",IF(I85&gt;=MATCH(CustomerWorksheet!$B$4,$A$2:$A$150,1),"",I85+1))</f>
        <v/>
      </c>
      <c r="J86" s="23" t="str">
        <f t="shared" si="7"/>
        <v/>
      </c>
      <c r="K86" s="23" t="str">
        <f t="shared" si="8"/>
        <v/>
      </c>
    </row>
    <row r="87" spans="1:11" x14ac:dyDescent="0.25">
      <c r="A87" s="23" t="s">
        <v>6</v>
      </c>
      <c r="B87" s="23" t="s">
        <v>200</v>
      </c>
      <c r="C87" s="64"/>
      <c r="D87" s="63" t="s">
        <v>442</v>
      </c>
      <c r="E87" s="23" t="s">
        <v>443</v>
      </c>
      <c r="F87" s="23" t="str">
        <f t="array" aca="1" ref="F87" ca="1">IF(INDIRECT(ADDRESS(2+SUM(G$2:G86),1))=0,"",INDIRECT(ADDRESS(2+SUM(G$2:G86),1)))</f>
        <v/>
      </c>
      <c r="G87" s="23" t="str">
        <f t="shared" ca="1" si="6"/>
        <v/>
      </c>
      <c r="I87" s="23" t="str">
        <f>IF(I86="","",IF(I86&gt;=MATCH(CustomerWorksheet!$B$4,$A$2:$A$150,1),"",I86+1))</f>
        <v/>
      </c>
      <c r="J87" s="23" t="str">
        <f t="shared" si="7"/>
        <v/>
      </c>
      <c r="K87" s="23" t="str">
        <f t="shared" si="8"/>
        <v/>
      </c>
    </row>
    <row r="88" spans="1:11" x14ac:dyDescent="0.25">
      <c r="A88" s="23" t="s">
        <v>6</v>
      </c>
      <c r="B88" s="23" t="s">
        <v>200</v>
      </c>
      <c r="C88" s="64"/>
      <c r="D88" s="63" t="s">
        <v>444</v>
      </c>
      <c r="E88" s="23" t="s">
        <v>445</v>
      </c>
      <c r="F88" s="23" t="str">
        <f t="array" aca="1" ref="F88" ca="1">IF(INDIRECT(ADDRESS(2+SUM(G$2:G87),1))=0,"",INDIRECT(ADDRESS(2+SUM(G$2:G87),1)))</f>
        <v/>
      </c>
      <c r="G88" s="23" t="str">
        <f t="shared" ca="1" si="6"/>
        <v/>
      </c>
      <c r="I88" s="23" t="str">
        <f>IF(I87="","",IF(I87&gt;=MATCH(CustomerWorksheet!$B$4,$A$2:$A$150,1),"",I87+1))</f>
        <v/>
      </c>
      <c r="J88" s="23" t="str">
        <f t="shared" si="7"/>
        <v/>
      </c>
      <c r="K88" s="23" t="str">
        <f t="shared" si="8"/>
        <v/>
      </c>
    </row>
    <row r="89" spans="1:11" x14ac:dyDescent="0.25">
      <c r="A89" s="23" t="s">
        <v>6</v>
      </c>
      <c r="B89" s="23" t="s">
        <v>200</v>
      </c>
      <c r="C89" s="64"/>
      <c r="D89" s="63" t="s">
        <v>446</v>
      </c>
      <c r="E89" s="23" t="s">
        <v>447</v>
      </c>
      <c r="F89" s="23" t="str">
        <f t="array" aca="1" ref="F89" ca="1">IF(INDIRECT(ADDRESS(2+SUM(G$2:G88),1))=0,"",INDIRECT(ADDRESS(2+SUM(G$2:G88),1)))</f>
        <v/>
      </c>
      <c r="G89" s="23" t="str">
        <f t="shared" ca="1" si="6"/>
        <v/>
      </c>
      <c r="I89" s="23" t="str">
        <f>IF(I88="","",IF(I88&gt;=MATCH(CustomerWorksheet!$B$4,$A$2:$A$150,1),"",I88+1))</f>
        <v/>
      </c>
      <c r="J89" s="23" t="str">
        <f t="shared" si="7"/>
        <v/>
      </c>
      <c r="K89" s="23" t="str">
        <f t="shared" si="8"/>
        <v/>
      </c>
    </row>
    <row r="90" spans="1:11" x14ac:dyDescent="0.25">
      <c r="A90" s="23" t="s">
        <v>6</v>
      </c>
      <c r="B90" s="23" t="s">
        <v>200</v>
      </c>
      <c r="C90" s="64" t="s">
        <v>288</v>
      </c>
      <c r="D90" s="63" t="s">
        <v>448</v>
      </c>
      <c r="E90" s="23" t="s">
        <v>449</v>
      </c>
      <c r="F90" s="23" t="str">
        <f t="array" aca="1" ref="F90" ca="1">IF(INDIRECT(ADDRESS(2+SUM(G$2:G89),1))=0,"",INDIRECT(ADDRESS(2+SUM(G$2:G89),1)))</f>
        <v/>
      </c>
      <c r="G90" s="23" t="str">
        <f t="shared" ca="1" si="6"/>
        <v/>
      </c>
      <c r="I90" s="23" t="str">
        <f>IF(I89="","",IF(I89&gt;=MATCH(CustomerWorksheet!$B$4,$A$2:$A$150,1),"",I89+1))</f>
        <v/>
      </c>
      <c r="J90" s="23" t="str">
        <f t="shared" si="7"/>
        <v/>
      </c>
      <c r="K90" s="23" t="str">
        <f t="shared" si="8"/>
        <v/>
      </c>
    </row>
    <row r="91" spans="1:11" x14ac:dyDescent="0.25">
      <c r="A91" s="23" t="s">
        <v>6</v>
      </c>
      <c r="B91" s="23" t="s">
        <v>200</v>
      </c>
      <c r="C91" s="64"/>
      <c r="D91" s="63" t="s">
        <v>450</v>
      </c>
      <c r="E91" s="23" t="s">
        <v>451</v>
      </c>
      <c r="F91" s="23" t="str">
        <f t="array" aca="1" ref="F91" ca="1">IF(INDIRECT(ADDRESS(2+SUM(G$2:G90),1))=0,"",INDIRECT(ADDRESS(2+SUM(G$2:G90),1)))</f>
        <v/>
      </c>
      <c r="G91" s="23" t="str">
        <f t="shared" ca="1" si="6"/>
        <v/>
      </c>
      <c r="I91" s="23" t="str">
        <f>IF(I90="","",IF(I90&gt;=MATCH(CustomerWorksheet!$B$4,$A$2:$A$150,1),"",I90+1))</f>
        <v/>
      </c>
      <c r="J91" s="23" t="str">
        <f t="shared" si="7"/>
        <v/>
      </c>
      <c r="K91" s="23" t="str">
        <f t="shared" si="8"/>
        <v/>
      </c>
    </row>
    <row r="92" spans="1:11" x14ac:dyDescent="0.25">
      <c r="A92" s="23" t="s">
        <v>6</v>
      </c>
      <c r="B92" s="23" t="s">
        <v>200</v>
      </c>
      <c r="C92" s="64" t="s">
        <v>288</v>
      </c>
      <c r="D92" s="63" t="s">
        <v>452</v>
      </c>
      <c r="E92" s="23" t="s">
        <v>453</v>
      </c>
      <c r="F92" s="23" t="str">
        <f t="array" aca="1" ref="F92" ca="1">IF(INDIRECT(ADDRESS(2+SUM(G$2:G91),1))=0,"",INDIRECT(ADDRESS(2+SUM(G$2:G91),1)))</f>
        <v/>
      </c>
      <c r="G92" s="23" t="str">
        <f t="shared" ca="1" si="6"/>
        <v/>
      </c>
      <c r="I92" s="23" t="str">
        <f>IF(I91="","",IF(I91&gt;=MATCH(CustomerWorksheet!$B$4,$A$2:$A$150,1),"",I91+1))</f>
        <v/>
      </c>
      <c r="J92" s="23" t="str">
        <f t="shared" si="7"/>
        <v/>
      </c>
      <c r="K92" s="23" t="str">
        <f t="shared" si="8"/>
        <v/>
      </c>
    </row>
    <row r="93" spans="1:11" x14ac:dyDescent="0.25">
      <c r="A93" s="23" t="s">
        <v>6</v>
      </c>
      <c r="B93" s="23" t="s">
        <v>200</v>
      </c>
      <c r="C93" s="64"/>
      <c r="D93" s="63" t="s">
        <v>454</v>
      </c>
      <c r="E93" s="23" t="s">
        <v>455</v>
      </c>
      <c r="F93" s="23" t="str">
        <f t="array" aca="1" ref="F93" ca="1">IF(INDIRECT(ADDRESS(2+SUM(G$2:G92),1))=0,"",INDIRECT(ADDRESS(2+SUM(G$2:G92),1)))</f>
        <v/>
      </c>
      <c r="G93" s="23" t="str">
        <f t="shared" ca="1" si="6"/>
        <v/>
      </c>
      <c r="I93" s="23" t="str">
        <f>IF(I92="","",IF(I92&gt;=MATCH(CustomerWorksheet!$B$4,$A$2:$A$150,1),"",I92+1))</f>
        <v/>
      </c>
      <c r="J93" s="23" t="str">
        <f t="shared" si="7"/>
        <v/>
      </c>
      <c r="K93" s="23" t="str">
        <f t="shared" si="8"/>
        <v/>
      </c>
    </row>
    <row r="94" spans="1:11" x14ac:dyDescent="0.25">
      <c r="A94" s="23" t="s">
        <v>6</v>
      </c>
      <c r="B94" s="23" t="s">
        <v>200</v>
      </c>
      <c r="C94" s="64"/>
      <c r="D94" s="63" t="s">
        <v>456</v>
      </c>
      <c r="E94" s="23" t="s">
        <v>457</v>
      </c>
      <c r="F94" s="23" t="str">
        <f t="array" aca="1" ref="F94" ca="1">IF(INDIRECT(ADDRESS(2+SUM(G$2:G93),1))=0,"",INDIRECT(ADDRESS(2+SUM(G$2:G93),1)))</f>
        <v/>
      </c>
      <c r="G94" s="23" t="str">
        <f t="shared" ca="1" si="6"/>
        <v/>
      </c>
      <c r="I94" s="23" t="str">
        <f>IF(I93="","",IF(I93&gt;=MATCH(CustomerWorksheet!$B$4,$A$2:$A$150,1),"",I93+1))</f>
        <v/>
      </c>
      <c r="J94" s="23" t="str">
        <f t="shared" si="7"/>
        <v/>
      </c>
      <c r="K94" s="23" t="str">
        <f t="shared" si="8"/>
        <v/>
      </c>
    </row>
    <row r="95" spans="1:11" x14ac:dyDescent="0.25">
      <c r="A95" s="23" t="s">
        <v>6</v>
      </c>
      <c r="B95" s="23" t="s">
        <v>200</v>
      </c>
      <c r="C95" s="64"/>
      <c r="D95" s="63" t="s">
        <v>458</v>
      </c>
      <c r="E95" s="23" t="s">
        <v>459</v>
      </c>
      <c r="F95" s="23" t="str">
        <f t="array" aca="1" ref="F95" ca="1">IF(INDIRECT(ADDRESS(2+SUM(G$2:G94),1))=0,"",INDIRECT(ADDRESS(2+SUM(G$2:G94),1)))</f>
        <v/>
      </c>
      <c r="G95" s="23" t="str">
        <f t="shared" ca="1" si="6"/>
        <v/>
      </c>
      <c r="I95" s="23" t="str">
        <f>IF(I94="","",IF(I94&gt;=MATCH(CustomerWorksheet!$B$4,$A$2:$A$150,1),"",I94+1))</f>
        <v/>
      </c>
      <c r="J95" s="23" t="str">
        <f t="shared" si="7"/>
        <v/>
      </c>
      <c r="K95" s="23" t="str">
        <f t="shared" si="8"/>
        <v/>
      </c>
    </row>
    <row r="96" spans="1:11" x14ac:dyDescent="0.25">
      <c r="A96" s="23" t="s">
        <v>6</v>
      </c>
      <c r="B96" s="23" t="s">
        <v>200</v>
      </c>
      <c r="C96" s="64"/>
      <c r="D96" s="63" t="s">
        <v>460</v>
      </c>
      <c r="E96" s="23" t="s">
        <v>461</v>
      </c>
      <c r="F96" s="23" t="str">
        <f t="array" aca="1" ref="F96" ca="1">IF(INDIRECT(ADDRESS(2+SUM(G$2:G95),1))=0,"",INDIRECT(ADDRESS(2+SUM(G$2:G95),1)))</f>
        <v/>
      </c>
      <c r="G96" s="23" t="str">
        <f t="shared" ca="1" si="6"/>
        <v/>
      </c>
      <c r="I96" s="23" t="str">
        <f>IF(I95="","",IF(I95&gt;=MATCH(CustomerWorksheet!$B$4,$A$2:$A$150,1),"",I95+1))</f>
        <v/>
      </c>
      <c r="J96" s="23" t="str">
        <f t="shared" si="7"/>
        <v/>
      </c>
      <c r="K96" s="23" t="str">
        <f t="shared" si="8"/>
        <v/>
      </c>
    </row>
    <row r="97" spans="1:11" x14ac:dyDescent="0.25">
      <c r="A97" s="23" t="s">
        <v>6</v>
      </c>
      <c r="B97" s="23" t="s">
        <v>200</v>
      </c>
      <c r="C97" s="64"/>
      <c r="D97" s="63" t="s">
        <v>462</v>
      </c>
      <c r="E97" s="23" t="s">
        <v>463</v>
      </c>
      <c r="F97" s="23" t="str">
        <f t="array" aca="1" ref="F97" ca="1">IF(INDIRECT(ADDRESS(2+SUM(G$2:G96),1))=0,"",INDIRECT(ADDRESS(2+SUM(G$2:G96),1)))</f>
        <v/>
      </c>
      <c r="G97" s="23" t="str">
        <f t="shared" ca="1" si="6"/>
        <v/>
      </c>
      <c r="I97" s="23" t="str">
        <f>IF(I96="","",IF(I96&gt;=MATCH(CustomerWorksheet!$B$4,$A$2:$A$150,1),"",I96+1))</f>
        <v/>
      </c>
      <c r="J97" s="23" t="str">
        <f t="shared" si="7"/>
        <v/>
      </c>
      <c r="K97" s="23" t="str">
        <f t="shared" si="8"/>
        <v/>
      </c>
    </row>
    <row r="98" spans="1:11" x14ac:dyDescent="0.25">
      <c r="A98" s="23" t="s">
        <v>6</v>
      </c>
      <c r="B98" s="23" t="s">
        <v>200</v>
      </c>
      <c r="C98" s="64" t="s">
        <v>288</v>
      </c>
      <c r="D98" s="63" t="s">
        <v>464</v>
      </c>
      <c r="E98" s="23" t="s">
        <v>465</v>
      </c>
      <c r="F98" s="23" t="str">
        <f t="array" aca="1" ref="F98" ca="1">IF(INDIRECT(ADDRESS(2+SUM(G$2:G97),1))=0,"",INDIRECT(ADDRESS(2+SUM(G$2:G97),1)))</f>
        <v/>
      </c>
      <c r="G98" s="23" t="str">
        <f t="shared" ref="G98:G129" ca="1" si="9">IF(F98="","",COUNTIF($A$1:$A$150,F98))</f>
        <v/>
      </c>
      <c r="I98" s="23" t="str">
        <f>IF(I97="","",IF(I97&gt;=MATCH(CustomerWorksheet!$B$4,$A$2:$A$150,1),"",I97+1))</f>
        <v/>
      </c>
      <c r="J98" s="23" t="str">
        <f t="shared" ref="J98:J129" si="10">IF(LEN(I98)&gt;0,IF(ISERROR(INDEX(D$2:D$150,I98,0)),"",INDEX(D$2:D$150,I98,0)),"")</f>
        <v/>
      </c>
      <c r="K98" s="23" t="str">
        <f t="shared" ref="K98:K129" si="11">IF(LEN(I98)&gt;0,IF(ISERROR(INDEX(E$2:E$150,I98,0)),"",INDEX(E$2:E$150,I98,0)),"")</f>
        <v/>
      </c>
    </row>
    <row r="99" spans="1:11" x14ac:dyDescent="0.25">
      <c r="A99" s="23" t="s">
        <v>6</v>
      </c>
      <c r="B99" s="23" t="s">
        <v>200</v>
      </c>
      <c r="C99" s="64"/>
      <c r="D99" s="63" t="s">
        <v>466</v>
      </c>
      <c r="E99" s="23" t="s">
        <v>467</v>
      </c>
      <c r="F99" s="23" t="str">
        <f t="array" aca="1" ref="F99" ca="1">IF(INDIRECT(ADDRESS(2+SUM(G$2:G98),1))=0,"",INDIRECT(ADDRESS(2+SUM(G$2:G98),1)))</f>
        <v/>
      </c>
      <c r="G99" s="23" t="str">
        <f t="shared" ca="1" si="9"/>
        <v/>
      </c>
      <c r="I99" s="23" t="str">
        <f>IF(I98="","",IF(I98&gt;=MATCH(CustomerWorksheet!$B$4,$A$2:$A$150,1),"",I98+1))</f>
        <v/>
      </c>
      <c r="J99" s="23" t="str">
        <f t="shared" si="10"/>
        <v/>
      </c>
      <c r="K99" s="23" t="str">
        <f t="shared" si="11"/>
        <v/>
      </c>
    </row>
    <row r="100" spans="1:11" x14ac:dyDescent="0.25">
      <c r="A100" s="23" t="s">
        <v>6</v>
      </c>
      <c r="B100" s="23" t="s">
        <v>200</v>
      </c>
      <c r="C100" s="64"/>
      <c r="D100" s="63" t="s">
        <v>468</v>
      </c>
      <c r="E100" s="23" t="s">
        <v>469</v>
      </c>
      <c r="F100" s="23" t="str">
        <f t="array" aca="1" ref="F100" ca="1">IF(INDIRECT(ADDRESS(2+SUM(G$2:G99),1))=0,"",INDIRECT(ADDRESS(2+SUM(G$2:G99),1)))</f>
        <v/>
      </c>
      <c r="G100" s="23" t="str">
        <f t="shared" ca="1" si="9"/>
        <v/>
      </c>
      <c r="I100" s="23" t="str">
        <f>IF(I99="","",IF(I99&gt;=MATCH(CustomerWorksheet!$B$4,$A$2:$A$150,1),"",I99+1))</f>
        <v/>
      </c>
      <c r="J100" s="23" t="str">
        <f t="shared" si="10"/>
        <v/>
      </c>
      <c r="K100" s="23" t="str">
        <f t="shared" si="11"/>
        <v/>
      </c>
    </row>
    <row r="101" spans="1:11" x14ac:dyDescent="0.25">
      <c r="A101" s="23" t="s">
        <v>6</v>
      </c>
      <c r="B101" s="23" t="s">
        <v>200</v>
      </c>
      <c r="C101" s="64"/>
      <c r="D101" s="63" t="s">
        <v>470</v>
      </c>
      <c r="E101" s="23" t="s">
        <v>471</v>
      </c>
      <c r="F101" s="23" t="str">
        <f t="array" aca="1" ref="F101" ca="1">IF(INDIRECT(ADDRESS(2+SUM(G$2:G100),1))=0,"",INDIRECT(ADDRESS(2+SUM(G$2:G100),1)))</f>
        <v/>
      </c>
      <c r="G101" s="23" t="str">
        <f t="shared" ca="1" si="9"/>
        <v/>
      </c>
      <c r="I101" s="23" t="str">
        <f>IF(I100="","",IF(I100&gt;=MATCH(CustomerWorksheet!$B$4,$A$2:$A$150,1),"",I100+1))</f>
        <v/>
      </c>
      <c r="J101" s="23" t="str">
        <f t="shared" si="10"/>
        <v/>
      </c>
      <c r="K101" s="23" t="str">
        <f t="shared" si="11"/>
        <v/>
      </c>
    </row>
    <row r="102" spans="1:11" x14ac:dyDescent="0.25">
      <c r="A102" s="23" t="s">
        <v>6</v>
      </c>
      <c r="B102" s="23" t="s">
        <v>200</v>
      </c>
      <c r="C102" s="64"/>
      <c r="D102" s="63" t="s">
        <v>472</v>
      </c>
      <c r="E102" s="23" t="s">
        <v>473</v>
      </c>
      <c r="F102" s="23" t="str">
        <f t="array" aca="1" ref="F102" ca="1">IF(INDIRECT(ADDRESS(2+SUM(G$2:G101),1))=0,"",INDIRECT(ADDRESS(2+SUM(G$2:G101),1)))</f>
        <v/>
      </c>
      <c r="G102" s="23" t="str">
        <f t="shared" ca="1" si="9"/>
        <v/>
      </c>
      <c r="I102" s="23" t="str">
        <f>IF(I101="","",IF(I101&gt;=MATCH(CustomerWorksheet!$B$4,$A$2:$A$150,1),"",I101+1))</f>
        <v/>
      </c>
      <c r="J102" s="23" t="str">
        <f t="shared" si="10"/>
        <v/>
      </c>
      <c r="K102" s="23" t="str">
        <f t="shared" si="11"/>
        <v/>
      </c>
    </row>
    <row r="103" spans="1:11" x14ac:dyDescent="0.25">
      <c r="A103" s="23" t="s">
        <v>6</v>
      </c>
      <c r="B103" s="23" t="s">
        <v>200</v>
      </c>
      <c r="C103" s="64"/>
      <c r="D103" s="63" t="s">
        <v>474</v>
      </c>
      <c r="E103" s="23" t="s">
        <v>475</v>
      </c>
      <c r="F103" s="23" t="str">
        <f t="array" aca="1" ref="F103" ca="1">IF(INDIRECT(ADDRESS(2+SUM(G$2:G102),1))=0,"",INDIRECT(ADDRESS(2+SUM(G$2:G102),1)))</f>
        <v/>
      </c>
      <c r="G103" s="23" t="str">
        <f t="shared" ca="1" si="9"/>
        <v/>
      </c>
      <c r="I103" s="23" t="str">
        <f>IF(I102="","",IF(I102&gt;=MATCH(CustomerWorksheet!$B$4,$A$2:$A$150,1),"",I102+1))</f>
        <v/>
      </c>
      <c r="J103" s="23" t="str">
        <f t="shared" si="10"/>
        <v/>
      </c>
      <c r="K103" s="23" t="str">
        <f t="shared" si="11"/>
        <v/>
      </c>
    </row>
    <row r="104" spans="1:11" x14ac:dyDescent="0.25">
      <c r="A104" s="23" t="s">
        <v>6</v>
      </c>
      <c r="B104" s="23" t="s">
        <v>200</v>
      </c>
      <c r="C104" s="64"/>
      <c r="D104" s="63" t="s">
        <v>476</v>
      </c>
      <c r="E104" s="23" t="s">
        <v>477</v>
      </c>
      <c r="F104" s="23" t="str">
        <f t="array" aca="1" ref="F104" ca="1">IF(INDIRECT(ADDRESS(2+SUM(G$2:G103),1))=0,"",INDIRECT(ADDRESS(2+SUM(G$2:G103),1)))</f>
        <v/>
      </c>
      <c r="G104" s="23" t="str">
        <f t="shared" ca="1" si="9"/>
        <v/>
      </c>
      <c r="I104" s="23" t="str">
        <f>IF(I103="","",IF(I103&gt;=MATCH(CustomerWorksheet!$B$4,$A$2:$A$150,1),"",I103+1))</f>
        <v/>
      </c>
      <c r="J104" s="23" t="str">
        <f t="shared" si="10"/>
        <v/>
      </c>
      <c r="K104" s="23" t="str">
        <f t="shared" si="11"/>
        <v/>
      </c>
    </row>
    <row r="105" spans="1:11" x14ac:dyDescent="0.25">
      <c r="A105" s="23" t="s">
        <v>6</v>
      </c>
      <c r="B105" s="23" t="s">
        <v>200</v>
      </c>
      <c r="C105" s="64"/>
      <c r="D105" s="63" t="s">
        <v>478</v>
      </c>
      <c r="E105" s="23" t="s">
        <v>479</v>
      </c>
      <c r="F105" s="23" t="str">
        <f t="array" aca="1" ref="F105" ca="1">IF(INDIRECT(ADDRESS(2+SUM(G$2:G104),1))=0,"",INDIRECT(ADDRESS(2+SUM(G$2:G104),1)))</f>
        <v/>
      </c>
      <c r="G105" s="23" t="str">
        <f t="shared" ca="1" si="9"/>
        <v/>
      </c>
      <c r="I105" s="23" t="str">
        <f>IF(I104="","",IF(I104&gt;=MATCH(CustomerWorksheet!$B$4,$A$2:$A$150,1),"",I104+1))</f>
        <v/>
      </c>
      <c r="J105" s="23" t="str">
        <f t="shared" si="10"/>
        <v/>
      </c>
      <c r="K105" s="23" t="str">
        <f t="shared" si="11"/>
        <v/>
      </c>
    </row>
    <row r="106" spans="1:11" x14ac:dyDescent="0.25">
      <c r="F106" s="23" t="str">
        <f t="array" aca="1" ref="F106" ca="1">IF(INDIRECT(ADDRESS(2+SUM(G$2:G105),1))=0,"",INDIRECT(ADDRESS(2+SUM(G$2:G105),1)))</f>
        <v/>
      </c>
      <c r="G106" s="23" t="str">
        <f t="shared" ca="1" si="9"/>
        <v/>
      </c>
      <c r="I106" s="23" t="str">
        <f>IF(I105="","",IF(I105&gt;=MATCH(CustomerWorksheet!$B$4,$A$2:$A$150,1),"",I105+1))</f>
        <v/>
      </c>
      <c r="J106" s="23" t="str">
        <f t="shared" si="10"/>
        <v/>
      </c>
      <c r="K106" s="23" t="str">
        <f t="shared" si="11"/>
        <v/>
      </c>
    </row>
    <row r="107" spans="1:11" x14ac:dyDescent="0.25">
      <c r="F107" s="23" t="str">
        <f t="array" aca="1" ref="F107" ca="1">IF(INDIRECT(ADDRESS(2+SUM(G$2:G106),1))=0,"",INDIRECT(ADDRESS(2+SUM(G$2:G106),1)))</f>
        <v/>
      </c>
      <c r="G107" s="23" t="str">
        <f t="shared" ca="1" si="9"/>
        <v/>
      </c>
      <c r="I107" s="23" t="str">
        <f>IF(I106="","",IF(I106&gt;=MATCH(CustomerWorksheet!$B$4,$A$2:$A$150,1),"",I106+1))</f>
        <v/>
      </c>
      <c r="J107" s="23" t="str">
        <f t="shared" si="10"/>
        <v/>
      </c>
      <c r="K107" s="23" t="str">
        <f t="shared" si="11"/>
        <v/>
      </c>
    </row>
    <row r="108" spans="1:11" x14ac:dyDescent="0.25">
      <c r="F108" s="23" t="str">
        <f t="array" aca="1" ref="F108" ca="1">IF(INDIRECT(ADDRESS(2+SUM(G$2:G107),1))=0,"",INDIRECT(ADDRESS(2+SUM(G$2:G107),1)))</f>
        <v/>
      </c>
      <c r="G108" s="23" t="str">
        <f t="shared" ca="1" si="9"/>
        <v/>
      </c>
      <c r="I108" s="23" t="str">
        <f>IF(I107="","",IF(I107&gt;=MATCH(CustomerWorksheet!$B$4,$A$2:$A$150,1),"",I107+1))</f>
        <v/>
      </c>
      <c r="J108" s="23" t="str">
        <f t="shared" si="10"/>
        <v/>
      </c>
      <c r="K108" s="23" t="str">
        <f t="shared" si="11"/>
        <v/>
      </c>
    </row>
    <row r="109" spans="1:11" x14ac:dyDescent="0.25">
      <c r="F109" s="23" t="str">
        <f t="array" aca="1" ref="F109" ca="1">IF(INDIRECT(ADDRESS(2+SUM(G$2:G108),1))=0,"",INDIRECT(ADDRESS(2+SUM(G$2:G108),1)))</f>
        <v/>
      </c>
      <c r="G109" s="23" t="str">
        <f t="shared" ca="1" si="9"/>
        <v/>
      </c>
      <c r="I109" s="23" t="str">
        <f>IF(I108="","",IF(I108&gt;=MATCH(CustomerWorksheet!$B$4,$A$2:$A$150,1),"",I108+1))</f>
        <v/>
      </c>
      <c r="J109" s="23" t="str">
        <f t="shared" si="10"/>
        <v/>
      </c>
      <c r="K109" s="23" t="str">
        <f t="shared" si="11"/>
        <v/>
      </c>
    </row>
    <row r="110" spans="1:11" x14ac:dyDescent="0.25">
      <c r="F110" s="23" t="str">
        <f t="array" aca="1" ref="F110" ca="1">IF(INDIRECT(ADDRESS(2+SUM(G$2:G109),1))=0,"",INDIRECT(ADDRESS(2+SUM(G$2:G109),1)))</f>
        <v/>
      </c>
      <c r="G110" s="23" t="str">
        <f t="shared" ca="1" si="9"/>
        <v/>
      </c>
      <c r="I110" s="23" t="str">
        <f>IF(I109="","",IF(I109&gt;=MATCH(CustomerWorksheet!$B$4,$A$2:$A$150,1),"",I109+1))</f>
        <v/>
      </c>
      <c r="J110" s="23" t="str">
        <f t="shared" si="10"/>
        <v/>
      </c>
      <c r="K110" s="23" t="str">
        <f t="shared" si="11"/>
        <v/>
      </c>
    </row>
    <row r="111" spans="1:11" x14ac:dyDescent="0.25">
      <c r="F111" s="23" t="str">
        <f t="array" aca="1" ref="F111" ca="1">IF(INDIRECT(ADDRESS(2+SUM(G$2:G110),1))=0,"",INDIRECT(ADDRESS(2+SUM(G$2:G110),1)))</f>
        <v/>
      </c>
      <c r="G111" s="23" t="str">
        <f t="shared" ca="1" si="9"/>
        <v/>
      </c>
      <c r="I111" s="23" t="str">
        <f>IF(I110="","",IF(I110&gt;=MATCH(CustomerWorksheet!$B$4,$A$2:$A$150,1),"",I110+1))</f>
        <v/>
      </c>
      <c r="J111" s="23" t="str">
        <f t="shared" si="10"/>
        <v/>
      </c>
      <c r="K111" s="23" t="str">
        <f t="shared" si="11"/>
        <v/>
      </c>
    </row>
    <row r="112" spans="1:11" x14ac:dyDescent="0.25">
      <c r="F112" s="23" t="str">
        <f t="array" aca="1" ref="F112" ca="1">IF(INDIRECT(ADDRESS(2+SUM(G$2:G111),1))=0,"",INDIRECT(ADDRESS(2+SUM(G$2:G111),1)))</f>
        <v/>
      </c>
      <c r="G112" s="23" t="str">
        <f t="shared" ca="1" si="9"/>
        <v/>
      </c>
      <c r="I112" s="23" t="str">
        <f>IF(I111="","",IF(I111&gt;=MATCH(CustomerWorksheet!$B$4,$A$2:$A$150,1),"",I111+1))</f>
        <v/>
      </c>
      <c r="J112" s="23" t="str">
        <f t="shared" si="10"/>
        <v/>
      </c>
      <c r="K112" s="23" t="str">
        <f t="shared" si="11"/>
        <v/>
      </c>
    </row>
    <row r="113" spans="6:11" x14ac:dyDescent="0.25">
      <c r="F113" s="23" t="str">
        <f t="array" aca="1" ref="F113" ca="1">IF(INDIRECT(ADDRESS(2+SUM(G$2:G112),1))=0,"",INDIRECT(ADDRESS(2+SUM(G$2:G112),1)))</f>
        <v/>
      </c>
      <c r="G113" s="23" t="str">
        <f t="shared" ca="1" si="9"/>
        <v/>
      </c>
      <c r="I113" s="23" t="str">
        <f>IF(I112="","",IF(I112&gt;=MATCH(CustomerWorksheet!$B$4,$A$2:$A$150,1),"",I112+1))</f>
        <v/>
      </c>
      <c r="J113" s="23" t="str">
        <f t="shared" si="10"/>
        <v/>
      </c>
      <c r="K113" s="23" t="str">
        <f t="shared" si="11"/>
        <v/>
      </c>
    </row>
    <row r="114" spans="6:11" x14ac:dyDescent="0.25">
      <c r="F114" s="23" t="str">
        <f t="array" aca="1" ref="F114" ca="1">IF(INDIRECT(ADDRESS(2+SUM(G$2:G113),1))=0,"",INDIRECT(ADDRESS(2+SUM(G$2:G113),1)))</f>
        <v/>
      </c>
      <c r="G114" s="23" t="str">
        <f t="shared" ca="1" si="9"/>
        <v/>
      </c>
      <c r="I114" s="23" t="str">
        <f>IF(I113="","",IF(I113&gt;=MATCH(CustomerWorksheet!$B$4,$A$2:$A$150,1),"",I113+1))</f>
        <v/>
      </c>
      <c r="J114" s="23" t="str">
        <f t="shared" si="10"/>
        <v/>
      </c>
      <c r="K114" s="23" t="str">
        <f t="shared" si="11"/>
        <v/>
      </c>
    </row>
    <row r="115" spans="6:11" x14ac:dyDescent="0.25">
      <c r="F115" s="23" t="str">
        <f t="array" aca="1" ref="F115" ca="1">IF(INDIRECT(ADDRESS(2+SUM(G$2:G114),1))=0,"",INDIRECT(ADDRESS(2+SUM(G$2:G114),1)))</f>
        <v/>
      </c>
      <c r="G115" s="23" t="str">
        <f t="shared" ca="1" si="9"/>
        <v/>
      </c>
      <c r="I115" s="23" t="str">
        <f>IF(I114="","",IF(I114&gt;=MATCH(CustomerWorksheet!$B$4,$A$2:$A$150,1),"",I114+1))</f>
        <v/>
      </c>
      <c r="J115" s="23" t="str">
        <f t="shared" si="10"/>
        <v/>
      </c>
      <c r="K115" s="23" t="str">
        <f t="shared" si="11"/>
        <v/>
      </c>
    </row>
    <row r="116" spans="6:11" x14ac:dyDescent="0.25">
      <c r="F116" s="23" t="str">
        <f t="array" aca="1" ref="F116" ca="1">IF(INDIRECT(ADDRESS(2+SUM(G$2:G115),1))=0,"",INDIRECT(ADDRESS(2+SUM(G$2:G115),1)))</f>
        <v/>
      </c>
      <c r="G116" s="23" t="str">
        <f t="shared" ca="1" si="9"/>
        <v/>
      </c>
      <c r="I116" s="23" t="str">
        <f>IF(I115="","",IF(I115&gt;=MATCH(CustomerWorksheet!$B$4,$A$2:$A$150,1),"",I115+1))</f>
        <v/>
      </c>
      <c r="J116" s="23" t="str">
        <f t="shared" si="10"/>
        <v/>
      </c>
      <c r="K116" s="23" t="str">
        <f t="shared" si="11"/>
        <v/>
      </c>
    </row>
    <row r="117" spans="6:11" x14ac:dyDescent="0.25">
      <c r="F117" s="23" t="str">
        <f t="array" aca="1" ref="F117" ca="1">IF(INDIRECT(ADDRESS(2+SUM(G$2:G116),1))=0,"",INDIRECT(ADDRESS(2+SUM(G$2:G116),1)))</f>
        <v/>
      </c>
      <c r="G117" s="23" t="str">
        <f t="shared" ca="1" si="9"/>
        <v/>
      </c>
      <c r="I117" s="23" t="str">
        <f>IF(I116="","",IF(I116&gt;=MATCH(CustomerWorksheet!$B$4,$A$2:$A$150,1),"",I116+1))</f>
        <v/>
      </c>
      <c r="J117" s="23" t="str">
        <f t="shared" si="10"/>
        <v/>
      </c>
      <c r="K117" s="23" t="str">
        <f t="shared" si="11"/>
        <v/>
      </c>
    </row>
    <row r="118" spans="6:11" x14ac:dyDescent="0.25">
      <c r="F118" s="23" t="str">
        <f t="array" aca="1" ref="F118" ca="1">IF(INDIRECT(ADDRESS(2+SUM(G$2:G117),1))=0,"",INDIRECT(ADDRESS(2+SUM(G$2:G117),1)))</f>
        <v/>
      </c>
      <c r="G118" s="23" t="str">
        <f t="shared" ca="1" si="9"/>
        <v/>
      </c>
      <c r="I118" s="23" t="str">
        <f>IF(I117="","",IF(I117&gt;=MATCH(CustomerWorksheet!$B$4,$A$2:$A$150,1),"",I117+1))</f>
        <v/>
      </c>
      <c r="J118" s="23" t="str">
        <f t="shared" si="10"/>
        <v/>
      </c>
      <c r="K118" s="23" t="str">
        <f t="shared" si="11"/>
        <v/>
      </c>
    </row>
    <row r="119" spans="6:11" x14ac:dyDescent="0.25">
      <c r="F119" s="23" t="str">
        <f t="array" aca="1" ref="F119" ca="1">IF(INDIRECT(ADDRESS(2+SUM(G$2:G118),1))=0,"",INDIRECT(ADDRESS(2+SUM(G$2:G118),1)))</f>
        <v/>
      </c>
      <c r="G119" s="23" t="str">
        <f t="shared" ca="1" si="9"/>
        <v/>
      </c>
      <c r="I119" s="23" t="str">
        <f>IF(I118="","",IF(I118&gt;=MATCH(CustomerWorksheet!$B$4,$A$2:$A$150,1),"",I118+1))</f>
        <v/>
      </c>
      <c r="J119" s="23" t="str">
        <f t="shared" si="10"/>
        <v/>
      </c>
      <c r="K119" s="23" t="str">
        <f t="shared" si="11"/>
        <v/>
      </c>
    </row>
    <row r="120" spans="6:11" x14ac:dyDescent="0.25">
      <c r="F120" s="23" t="str">
        <f t="array" aca="1" ref="F120" ca="1">IF(INDIRECT(ADDRESS(2+SUM(G$2:G119),1))=0,"",INDIRECT(ADDRESS(2+SUM(G$2:G119),1)))</f>
        <v/>
      </c>
      <c r="G120" s="23" t="str">
        <f t="shared" ca="1" si="9"/>
        <v/>
      </c>
      <c r="I120" s="23" t="str">
        <f>IF(I119="","",IF(I119&gt;=MATCH(CustomerWorksheet!$B$4,$A$2:$A$150,1),"",I119+1))</f>
        <v/>
      </c>
      <c r="J120" s="23" t="str">
        <f t="shared" si="10"/>
        <v/>
      </c>
      <c r="K120" s="23" t="str">
        <f t="shared" si="11"/>
        <v/>
      </c>
    </row>
    <row r="121" spans="6:11" x14ac:dyDescent="0.25">
      <c r="F121" s="23" t="str">
        <f t="array" aca="1" ref="F121" ca="1">IF(INDIRECT(ADDRESS(2+SUM(G$2:G120),1))=0,"",INDIRECT(ADDRESS(2+SUM(G$2:G120),1)))</f>
        <v/>
      </c>
      <c r="G121" s="23" t="str">
        <f t="shared" ca="1" si="9"/>
        <v/>
      </c>
      <c r="I121" s="23" t="str">
        <f>IF(I120="","",IF(I120&gt;=MATCH(CustomerWorksheet!$B$4,$A$2:$A$150,1),"",I120+1))</f>
        <v/>
      </c>
      <c r="J121" s="23" t="str">
        <f t="shared" si="10"/>
        <v/>
      </c>
      <c r="K121" s="23" t="str">
        <f t="shared" si="11"/>
        <v/>
      </c>
    </row>
    <row r="122" spans="6:11" x14ac:dyDescent="0.25">
      <c r="F122" s="23" t="str">
        <f t="array" aca="1" ref="F122" ca="1">IF(INDIRECT(ADDRESS(2+SUM(G$2:G121),1))=0,"",INDIRECT(ADDRESS(2+SUM(G$2:G121),1)))</f>
        <v/>
      </c>
      <c r="G122" s="23" t="str">
        <f t="shared" ca="1" si="9"/>
        <v/>
      </c>
      <c r="I122" s="23" t="str">
        <f>IF(I121="","",IF(I121&gt;=MATCH(CustomerWorksheet!$B$4,$A$2:$A$150,1),"",I121+1))</f>
        <v/>
      </c>
      <c r="J122" s="23" t="str">
        <f t="shared" si="10"/>
        <v/>
      </c>
      <c r="K122" s="23" t="str">
        <f t="shared" si="11"/>
        <v/>
      </c>
    </row>
    <row r="123" spans="6:11" x14ac:dyDescent="0.25">
      <c r="F123" s="23" t="str">
        <f t="array" aca="1" ref="F123" ca="1">IF(INDIRECT(ADDRESS(2+SUM(G$2:G122),1))=0,"",INDIRECT(ADDRESS(2+SUM(G$2:G122),1)))</f>
        <v/>
      </c>
      <c r="G123" s="23" t="str">
        <f t="shared" ca="1" si="9"/>
        <v/>
      </c>
      <c r="I123" s="23" t="str">
        <f>IF(I122="","",IF(I122&gt;=MATCH(CustomerWorksheet!$B$4,$A$2:$A$150,1),"",I122+1))</f>
        <v/>
      </c>
      <c r="J123" s="23" t="str">
        <f t="shared" si="10"/>
        <v/>
      </c>
      <c r="K123" s="23" t="str">
        <f t="shared" si="11"/>
        <v/>
      </c>
    </row>
    <row r="124" spans="6:11" x14ac:dyDescent="0.25">
      <c r="F124" s="23" t="str">
        <f t="array" aca="1" ref="F124" ca="1">IF(INDIRECT(ADDRESS(2+SUM(G$2:G123),1))=0,"",INDIRECT(ADDRESS(2+SUM(G$2:G123),1)))</f>
        <v/>
      </c>
      <c r="G124" s="23" t="str">
        <f t="shared" ca="1" si="9"/>
        <v/>
      </c>
      <c r="I124" s="23" t="str">
        <f>IF(I123="","",IF(I123&gt;=MATCH(CustomerWorksheet!$B$4,$A$2:$A$150,1),"",I123+1))</f>
        <v/>
      </c>
      <c r="J124" s="23" t="str">
        <f t="shared" si="10"/>
        <v/>
      </c>
      <c r="K124" s="23" t="str">
        <f t="shared" si="11"/>
        <v/>
      </c>
    </row>
    <row r="125" spans="6:11" x14ac:dyDescent="0.25">
      <c r="F125" s="23" t="str">
        <f t="array" aca="1" ref="F125" ca="1">IF(INDIRECT(ADDRESS(2+SUM(G$2:G124),1))=0,"",INDIRECT(ADDRESS(2+SUM(G$2:G124),1)))</f>
        <v/>
      </c>
      <c r="G125" s="23" t="str">
        <f t="shared" ca="1" si="9"/>
        <v/>
      </c>
      <c r="I125" s="23" t="str">
        <f>IF(I124="","",IF(I124&gt;=MATCH(CustomerWorksheet!$B$4,$A$2:$A$150,1),"",I124+1))</f>
        <v/>
      </c>
      <c r="J125" s="23" t="str">
        <f t="shared" si="10"/>
        <v/>
      </c>
      <c r="K125" s="23" t="str">
        <f t="shared" si="11"/>
        <v/>
      </c>
    </row>
    <row r="126" spans="6:11" x14ac:dyDescent="0.25">
      <c r="F126" s="23" t="str">
        <f t="array" aca="1" ref="F126" ca="1">IF(INDIRECT(ADDRESS(2+SUM(G$2:G125),1))=0,"",INDIRECT(ADDRESS(2+SUM(G$2:G125),1)))</f>
        <v/>
      </c>
      <c r="G126" s="23" t="str">
        <f t="shared" ca="1" si="9"/>
        <v/>
      </c>
      <c r="I126" s="23" t="str">
        <f>IF(I125="","",IF(I125&gt;=MATCH(CustomerWorksheet!$B$4,$A$2:$A$150,1),"",I125+1))</f>
        <v/>
      </c>
      <c r="J126" s="23" t="str">
        <f t="shared" si="10"/>
        <v/>
      </c>
      <c r="K126" s="23" t="str">
        <f t="shared" si="11"/>
        <v/>
      </c>
    </row>
    <row r="127" spans="6:11" x14ac:dyDescent="0.25">
      <c r="F127" s="23" t="str">
        <f t="array" aca="1" ref="F127" ca="1">IF(INDIRECT(ADDRESS(2+SUM(G$2:G126),1))=0,"",INDIRECT(ADDRESS(2+SUM(G$2:G126),1)))</f>
        <v/>
      </c>
      <c r="G127" s="23" t="str">
        <f t="shared" ca="1" si="9"/>
        <v/>
      </c>
      <c r="I127" s="23" t="str">
        <f>IF(I126="","",IF(I126&gt;=MATCH(CustomerWorksheet!$B$4,$A$2:$A$150,1),"",I126+1))</f>
        <v/>
      </c>
      <c r="J127" s="23" t="str">
        <f t="shared" si="10"/>
        <v/>
      </c>
      <c r="K127" s="23" t="str">
        <f t="shared" si="11"/>
        <v/>
      </c>
    </row>
    <row r="128" spans="6:11" x14ac:dyDescent="0.25">
      <c r="F128" s="23" t="str">
        <f t="array" aca="1" ref="F128" ca="1">IF(INDIRECT(ADDRESS(2+SUM(G$2:G127),1))=0,"",INDIRECT(ADDRESS(2+SUM(G$2:G127),1)))</f>
        <v/>
      </c>
      <c r="G128" s="23" t="str">
        <f t="shared" ca="1" si="9"/>
        <v/>
      </c>
      <c r="I128" s="23" t="str">
        <f>IF(I127="","",IF(I127&gt;=MATCH(CustomerWorksheet!$B$4,$A$2:$A$150,1),"",I127+1))</f>
        <v/>
      </c>
      <c r="J128" s="23" t="str">
        <f t="shared" si="10"/>
        <v/>
      </c>
      <c r="K128" s="23" t="str">
        <f t="shared" si="11"/>
        <v/>
      </c>
    </row>
    <row r="129" spans="6:11" x14ac:dyDescent="0.25">
      <c r="F129" s="23" t="str">
        <f t="array" aca="1" ref="F129" ca="1">IF(INDIRECT(ADDRESS(2+SUM(G$2:G128),1))=0,"",INDIRECT(ADDRESS(2+SUM(G$2:G128),1)))</f>
        <v/>
      </c>
      <c r="G129" s="23" t="str">
        <f t="shared" ca="1" si="9"/>
        <v/>
      </c>
      <c r="I129" s="23" t="str">
        <f>IF(I128="","",IF(I128&gt;=MATCH(CustomerWorksheet!$B$4,$A$2:$A$150,1),"",I128+1))</f>
        <v/>
      </c>
      <c r="J129" s="23" t="str">
        <f t="shared" si="10"/>
        <v/>
      </c>
      <c r="K129" s="23" t="str">
        <f t="shared" si="11"/>
        <v/>
      </c>
    </row>
    <row r="130" spans="6:11" x14ac:dyDescent="0.25">
      <c r="F130" s="23" t="str">
        <f t="array" aca="1" ref="F130" ca="1">IF(INDIRECT(ADDRESS(2+SUM(G$2:G129),1))=0,"",INDIRECT(ADDRESS(2+SUM(G$2:G129),1)))</f>
        <v/>
      </c>
      <c r="G130" s="23" t="str">
        <f t="shared" ref="G130:G150" ca="1" si="12">IF(F130="","",COUNTIF($A$1:$A$150,F130))</f>
        <v/>
      </c>
      <c r="I130" s="23" t="str">
        <f>IF(I129="","",IF(I129&gt;=MATCH(CustomerWorksheet!$B$4,$A$2:$A$150,1),"",I129+1))</f>
        <v/>
      </c>
      <c r="J130" s="23" t="str">
        <f t="shared" ref="J130:J150" si="13">IF(LEN(I130)&gt;0,IF(ISERROR(INDEX(D$2:D$150,I130,0)),"",INDEX(D$2:D$150,I130,0)),"")</f>
        <v/>
      </c>
      <c r="K130" s="23" t="str">
        <f t="shared" ref="K130:K150" si="14">IF(LEN(I130)&gt;0,IF(ISERROR(INDEX(E$2:E$150,I130,0)),"",INDEX(E$2:E$150,I130,0)),"")</f>
        <v/>
      </c>
    </row>
    <row r="131" spans="6:11" x14ac:dyDescent="0.25">
      <c r="F131" s="23" t="str">
        <f t="array" aca="1" ref="F131" ca="1">IF(INDIRECT(ADDRESS(2+SUM(G$2:G130),1))=0,"",INDIRECT(ADDRESS(2+SUM(G$2:G130),1)))</f>
        <v/>
      </c>
      <c r="G131" s="23" t="str">
        <f t="shared" ca="1" si="12"/>
        <v/>
      </c>
      <c r="I131" s="23" t="str">
        <f>IF(I130="","",IF(I130&gt;=MATCH(CustomerWorksheet!$B$4,$A$2:$A$150,1),"",I130+1))</f>
        <v/>
      </c>
      <c r="J131" s="23" t="str">
        <f t="shared" si="13"/>
        <v/>
      </c>
      <c r="K131" s="23" t="str">
        <f t="shared" si="14"/>
        <v/>
      </c>
    </row>
    <row r="132" spans="6:11" x14ac:dyDescent="0.25">
      <c r="F132" s="23" t="str">
        <f t="array" aca="1" ref="F132" ca="1">IF(INDIRECT(ADDRESS(2+SUM(G$2:G131),1))=0,"",INDIRECT(ADDRESS(2+SUM(G$2:G131),1)))</f>
        <v/>
      </c>
      <c r="G132" s="23" t="str">
        <f t="shared" ca="1" si="12"/>
        <v/>
      </c>
      <c r="I132" s="23" t="str">
        <f>IF(I131="","",IF(I131&gt;=MATCH(CustomerWorksheet!$B$4,$A$2:$A$150,1),"",I131+1))</f>
        <v/>
      </c>
      <c r="J132" s="23" t="str">
        <f t="shared" si="13"/>
        <v/>
      </c>
      <c r="K132" s="23" t="str">
        <f t="shared" si="14"/>
        <v/>
      </c>
    </row>
    <row r="133" spans="6:11" x14ac:dyDescent="0.25">
      <c r="F133" s="23" t="str">
        <f t="array" aca="1" ref="F133" ca="1">IF(INDIRECT(ADDRESS(2+SUM(G$2:G132),1))=0,"",INDIRECT(ADDRESS(2+SUM(G$2:G132),1)))</f>
        <v/>
      </c>
      <c r="G133" s="23" t="str">
        <f t="shared" ca="1" si="12"/>
        <v/>
      </c>
      <c r="I133" s="23" t="str">
        <f>IF(I132="","",IF(I132&gt;=MATCH(CustomerWorksheet!$B$4,$A$2:$A$150,1),"",I132+1))</f>
        <v/>
      </c>
      <c r="J133" s="23" t="str">
        <f t="shared" si="13"/>
        <v/>
      </c>
      <c r="K133" s="23" t="str">
        <f t="shared" si="14"/>
        <v/>
      </c>
    </row>
    <row r="134" spans="6:11" x14ac:dyDescent="0.25">
      <c r="F134" s="23" t="str">
        <f t="array" aca="1" ref="F134" ca="1">IF(INDIRECT(ADDRESS(2+SUM(G$2:G133),1))=0,"",INDIRECT(ADDRESS(2+SUM(G$2:G133),1)))</f>
        <v/>
      </c>
      <c r="G134" s="23" t="str">
        <f t="shared" ca="1" si="12"/>
        <v/>
      </c>
      <c r="I134" s="23" t="str">
        <f>IF(I133="","",IF(I133&gt;=MATCH(CustomerWorksheet!$B$4,$A$2:$A$150,1),"",I133+1))</f>
        <v/>
      </c>
      <c r="J134" s="23" t="str">
        <f t="shared" si="13"/>
        <v/>
      </c>
      <c r="K134" s="23" t="str">
        <f t="shared" si="14"/>
        <v/>
      </c>
    </row>
    <row r="135" spans="6:11" x14ac:dyDescent="0.25">
      <c r="F135" s="23" t="str">
        <f t="array" aca="1" ref="F135" ca="1">IF(INDIRECT(ADDRESS(2+SUM(G$2:G134),1))=0,"",INDIRECT(ADDRESS(2+SUM(G$2:G134),1)))</f>
        <v/>
      </c>
      <c r="G135" s="23" t="str">
        <f t="shared" ca="1" si="12"/>
        <v/>
      </c>
      <c r="I135" s="23" t="str">
        <f>IF(I134="","",IF(I134&gt;=MATCH(CustomerWorksheet!$B$4,$A$2:$A$150,1),"",I134+1))</f>
        <v/>
      </c>
      <c r="J135" s="23" t="str">
        <f t="shared" si="13"/>
        <v/>
      </c>
      <c r="K135" s="23" t="str">
        <f t="shared" si="14"/>
        <v/>
      </c>
    </row>
    <row r="136" spans="6:11" x14ac:dyDescent="0.25">
      <c r="F136" s="23" t="str">
        <f t="array" aca="1" ref="F136" ca="1">IF(INDIRECT(ADDRESS(2+SUM(G$2:G135),1))=0,"",INDIRECT(ADDRESS(2+SUM(G$2:G135),1)))</f>
        <v/>
      </c>
      <c r="G136" s="23" t="str">
        <f t="shared" ca="1" si="12"/>
        <v/>
      </c>
      <c r="I136" s="23" t="str">
        <f>IF(I135="","",IF(I135&gt;=MATCH(CustomerWorksheet!$B$4,$A$2:$A$150,1),"",I135+1))</f>
        <v/>
      </c>
      <c r="J136" s="23" t="str">
        <f t="shared" si="13"/>
        <v/>
      </c>
      <c r="K136" s="23" t="str">
        <f t="shared" si="14"/>
        <v/>
      </c>
    </row>
    <row r="137" spans="6:11" x14ac:dyDescent="0.25">
      <c r="F137" s="23" t="str">
        <f t="array" aca="1" ref="F137" ca="1">IF(INDIRECT(ADDRESS(2+SUM(G$2:G136),1))=0,"",INDIRECT(ADDRESS(2+SUM(G$2:G136),1)))</f>
        <v/>
      </c>
      <c r="G137" s="23" t="str">
        <f t="shared" ca="1" si="12"/>
        <v/>
      </c>
      <c r="I137" s="23" t="str">
        <f>IF(I136="","",IF(I136&gt;=MATCH(CustomerWorksheet!$B$4,$A$2:$A$150,1),"",I136+1))</f>
        <v/>
      </c>
      <c r="J137" s="23" t="str">
        <f t="shared" si="13"/>
        <v/>
      </c>
      <c r="K137" s="23" t="str">
        <f t="shared" si="14"/>
        <v/>
      </c>
    </row>
    <row r="138" spans="6:11" x14ac:dyDescent="0.25">
      <c r="F138" s="23" t="str">
        <f t="array" aca="1" ref="F138" ca="1">IF(INDIRECT(ADDRESS(2+SUM(G$2:G137),1))=0,"",INDIRECT(ADDRESS(2+SUM(G$2:G137),1)))</f>
        <v/>
      </c>
      <c r="G138" s="23" t="str">
        <f t="shared" ca="1" si="12"/>
        <v/>
      </c>
      <c r="I138" s="23" t="str">
        <f>IF(I137="","",IF(I137&gt;=MATCH(CustomerWorksheet!$B$4,$A$2:$A$150,1),"",I137+1))</f>
        <v/>
      </c>
      <c r="J138" s="23" t="str">
        <f t="shared" si="13"/>
        <v/>
      </c>
      <c r="K138" s="23" t="str">
        <f t="shared" si="14"/>
        <v/>
      </c>
    </row>
    <row r="139" spans="6:11" x14ac:dyDescent="0.25">
      <c r="F139" s="23" t="str">
        <f t="array" aca="1" ref="F139" ca="1">IF(INDIRECT(ADDRESS(2+SUM(G$2:G138),1))=0,"",INDIRECT(ADDRESS(2+SUM(G$2:G138),1)))</f>
        <v/>
      </c>
      <c r="G139" s="23" t="str">
        <f t="shared" ca="1" si="12"/>
        <v/>
      </c>
      <c r="I139" s="23" t="str">
        <f>IF(I138="","",IF(I138&gt;=MATCH(CustomerWorksheet!$B$4,$A$2:$A$150,1),"",I138+1))</f>
        <v/>
      </c>
      <c r="J139" s="23" t="str">
        <f t="shared" si="13"/>
        <v/>
      </c>
      <c r="K139" s="23" t="str">
        <f t="shared" si="14"/>
        <v/>
      </c>
    </row>
    <row r="140" spans="6:11" x14ac:dyDescent="0.25">
      <c r="F140" s="23" t="str">
        <f t="array" aca="1" ref="F140" ca="1">IF(INDIRECT(ADDRESS(2+SUM(G$2:G139),1))=0,"",INDIRECT(ADDRESS(2+SUM(G$2:G139),1)))</f>
        <v/>
      </c>
      <c r="G140" s="23" t="str">
        <f t="shared" ca="1" si="12"/>
        <v/>
      </c>
      <c r="I140" s="23" t="str">
        <f>IF(I139="","",IF(I139&gt;=MATCH(CustomerWorksheet!$B$4,$A$2:$A$150,1),"",I139+1))</f>
        <v/>
      </c>
      <c r="J140" s="23" t="str">
        <f t="shared" si="13"/>
        <v/>
      </c>
      <c r="K140" s="23" t="str">
        <f t="shared" si="14"/>
        <v/>
      </c>
    </row>
    <row r="141" spans="6:11" x14ac:dyDescent="0.25">
      <c r="F141" s="23" t="str">
        <f t="array" aca="1" ref="F141" ca="1">IF(INDIRECT(ADDRESS(2+SUM(G$2:G140),1))=0,"",INDIRECT(ADDRESS(2+SUM(G$2:G140),1)))</f>
        <v/>
      </c>
      <c r="G141" s="23" t="str">
        <f t="shared" ca="1" si="12"/>
        <v/>
      </c>
      <c r="I141" s="23" t="str">
        <f>IF(I140="","",IF(I140&gt;=MATCH(CustomerWorksheet!$B$4,$A$2:$A$150,1),"",I140+1))</f>
        <v/>
      </c>
      <c r="J141" s="23" t="str">
        <f t="shared" si="13"/>
        <v/>
      </c>
      <c r="K141" s="23" t="str">
        <f t="shared" si="14"/>
        <v/>
      </c>
    </row>
    <row r="142" spans="6:11" x14ac:dyDescent="0.25">
      <c r="F142" s="23" t="str">
        <f t="array" aca="1" ref="F142" ca="1">IF(INDIRECT(ADDRESS(2+SUM(G$2:G141),1))=0,"",INDIRECT(ADDRESS(2+SUM(G$2:G141),1)))</f>
        <v/>
      </c>
      <c r="G142" s="23" t="str">
        <f t="shared" ca="1" si="12"/>
        <v/>
      </c>
      <c r="I142" s="23" t="str">
        <f>IF(I141="","",IF(I141&gt;=MATCH(CustomerWorksheet!$B$4,$A$2:$A$150,1),"",I141+1))</f>
        <v/>
      </c>
      <c r="J142" s="23" t="str">
        <f t="shared" si="13"/>
        <v/>
      </c>
      <c r="K142" s="23" t="str">
        <f t="shared" si="14"/>
        <v/>
      </c>
    </row>
    <row r="143" spans="6:11" x14ac:dyDescent="0.25">
      <c r="F143" s="23" t="str">
        <f t="array" aca="1" ref="F143" ca="1">IF(INDIRECT(ADDRESS(2+SUM(G$2:G142),1))=0,"",INDIRECT(ADDRESS(2+SUM(G$2:G142),1)))</f>
        <v/>
      </c>
      <c r="G143" s="23" t="str">
        <f t="shared" ca="1" si="12"/>
        <v/>
      </c>
      <c r="I143" s="23" t="str">
        <f>IF(I142="","",IF(I142&gt;=MATCH(CustomerWorksheet!$B$4,$A$2:$A$150,1),"",I142+1))</f>
        <v/>
      </c>
      <c r="J143" s="23" t="str">
        <f t="shared" si="13"/>
        <v/>
      </c>
      <c r="K143" s="23" t="str">
        <f t="shared" si="14"/>
        <v/>
      </c>
    </row>
    <row r="144" spans="6:11" x14ac:dyDescent="0.25">
      <c r="F144" s="23" t="str">
        <f t="array" aca="1" ref="F144" ca="1">IF(INDIRECT(ADDRESS(2+SUM(G$2:G143),1))=0,"",INDIRECT(ADDRESS(2+SUM(G$2:G143),1)))</f>
        <v/>
      </c>
      <c r="G144" s="23" t="str">
        <f t="shared" ca="1" si="12"/>
        <v/>
      </c>
      <c r="I144" s="23" t="str">
        <f>IF(I143="","",IF(I143&gt;=MATCH(CustomerWorksheet!$B$4,$A$2:$A$150,1),"",I143+1))</f>
        <v/>
      </c>
      <c r="J144" s="23" t="str">
        <f t="shared" si="13"/>
        <v/>
      </c>
      <c r="K144" s="23" t="str">
        <f t="shared" si="14"/>
        <v/>
      </c>
    </row>
    <row r="145" spans="6:11" x14ac:dyDescent="0.25">
      <c r="F145" s="23" t="str">
        <f t="array" aca="1" ref="F145" ca="1">IF(INDIRECT(ADDRESS(2+SUM(G$2:G144),1))=0,"",INDIRECT(ADDRESS(2+SUM(G$2:G144),1)))</f>
        <v/>
      </c>
      <c r="G145" s="23" t="str">
        <f t="shared" ca="1" si="12"/>
        <v/>
      </c>
      <c r="I145" s="23" t="str">
        <f>IF(I144="","",IF(I144&gt;=MATCH(CustomerWorksheet!$B$4,$A$2:$A$150,1),"",I144+1))</f>
        <v/>
      </c>
      <c r="J145" s="23" t="str">
        <f t="shared" si="13"/>
        <v/>
      </c>
      <c r="K145" s="23" t="str">
        <f t="shared" si="14"/>
        <v/>
      </c>
    </row>
    <row r="146" spans="6:11" x14ac:dyDescent="0.25">
      <c r="F146" s="23" t="str">
        <f t="array" aca="1" ref="F146" ca="1">IF(INDIRECT(ADDRESS(2+SUM(G$2:G145),1))=0,"",INDIRECT(ADDRESS(2+SUM(G$2:G145),1)))</f>
        <v/>
      </c>
      <c r="G146" s="23" t="str">
        <f t="shared" ca="1" si="12"/>
        <v/>
      </c>
      <c r="I146" s="23" t="str">
        <f>IF(I145="","",IF(I145&gt;=MATCH(CustomerWorksheet!$B$4,$A$2:$A$150,1),"",I145+1))</f>
        <v/>
      </c>
      <c r="J146" s="23" t="str">
        <f t="shared" si="13"/>
        <v/>
      </c>
      <c r="K146" s="23" t="str">
        <f t="shared" si="14"/>
        <v/>
      </c>
    </row>
    <row r="147" spans="6:11" x14ac:dyDescent="0.25">
      <c r="F147" s="23" t="str">
        <f t="array" aca="1" ref="F147" ca="1">IF(INDIRECT(ADDRESS(2+SUM(G$2:G146),1))=0,"",INDIRECT(ADDRESS(2+SUM(G$2:G146),1)))</f>
        <v/>
      </c>
      <c r="G147" s="23" t="str">
        <f t="shared" ca="1" si="12"/>
        <v/>
      </c>
      <c r="I147" s="23" t="str">
        <f>IF(I146="","",IF(I146&gt;=MATCH(CustomerWorksheet!$B$4,$A$2:$A$150,1),"",I146+1))</f>
        <v/>
      </c>
      <c r="J147" s="23" t="str">
        <f t="shared" si="13"/>
        <v/>
      </c>
      <c r="K147" s="23" t="str">
        <f t="shared" si="14"/>
        <v/>
      </c>
    </row>
    <row r="148" spans="6:11" x14ac:dyDescent="0.25">
      <c r="F148" s="23" t="str">
        <f t="array" aca="1" ref="F148" ca="1">IF(INDIRECT(ADDRESS(2+SUM(G$2:G147),1))=0,"",INDIRECT(ADDRESS(2+SUM(G$2:G147),1)))</f>
        <v/>
      </c>
      <c r="G148" s="23" t="str">
        <f t="shared" ca="1" si="12"/>
        <v/>
      </c>
      <c r="I148" s="23" t="str">
        <f>IF(I147="","",IF(I147&gt;=MATCH(CustomerWorksheet!$B$4,$A$2:$A$150,1),"",I147+1))</f>
        <v/>
      </c>
      <c r="J148" s="23" t="str">
        <f t="shared" si="13"/>
        <v/>
      </c>
      <c r="K148" s="23" t="str">
        <f t="shared" si="14"/>
        <v/>
      </c>
    </row>
    <row r="149" spans="6:11" x14ac:dyDescent="0.25">
      <c r="F149" s="23" t="str">
        <f t="array" aca="1" ref="F149" ca="1">IF(INDIRECT(ADDRESS(2+SUM(G$2:G148),1))=0,"",INDIRECT(ADDRESS(2+SUM(G$2:G148),1)))</f>
        <v/>
      </c>
      <c r="G149" s="23" t="str">
        <f t="shared" ca="1" si="12"/>
        <v/>
      </c>
      <c r="I149" s="23" t="str">
        <f>IF(I148="","",IF(I148&gt;=MATCH(CustomerWorksheet!$B$4,$A$2:$A$150,1),"",I148+1))</f>
        <v/>
      </c>
      <c r="J149" s="23" t="str">
        <f t="shared" si="13"/>
        <v/>
      </c>
      <c r="K149" s="23" t="str">
        <f t="shared" si="14"/>
        <v/>
      </c>
    </row>
    <row r="150" spans="6:11" x14ac:dyDescent="0.25">
      <c r="F150" s="23" t="str">
        <f t="array" aca="1" ref="F150" ca="1">IF(INDIRECT(ADDRESS(2+SUM(G$2:G149),1))=0,"",INDIRECT(ADDRESS(2+SUM(G$2:G149),1)))</f>
        <v/>
      </c>
      <c r="G150" s="23" t="str">
        <f t="shared" ca="1" si="12"/>
        <v/>
      </c>
      <c r="I150" s="23" t="str">
        <f>IF(I149="","",IF(I149&gt;=MATCH(CustomerWorksheet!$B$4,$A$2:$A$150,1),"",I149+1))</f>
        <v/>
      </c>
      <c r="J150" s="23" t="str">
        <f t="shared" si="13"/>
        <v/>
      </c>
      <c r="K150" s="23" t="str">
        <f t="shared" si="14"/>
        <v/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CustomerWorksheet</vt:lpstr>
      <vt:lpstr>DTLS</vt:lpstr>
      <vt:lpstr>TimeZone</vt:lpstr>
      <vt:lpstr>CustomerFreqs</vt:lpstr>
      <vt:lpstr>DCU2+XLS</vt:lpstr>
      <vt:lpstr>LocationList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Schwartz, Ben</cp:lastModifiedBy>
  <dcterms:created xsi:type="dcterms:W3CDTF">2022-07-12T16:00:53Z</dcterms:created>
  <dcterms:modified xsi:type="dcterms:W3CDTF">2022-07-14T16:05:57Z</dcterms:modified>
</cp:coreProperties>
</file>