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dcbb7fa787126a1/Desktop/Financial Model/"/>
    </mc:Choice>
  </mc:AlternateContent>
  <xr:revisionPtr revIDLastSave="0" documentId="8_{D3AB9538-062B-443B-A4E0-006C43818557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Three Statement Model" sheetId="7" r:id="rId6"/>
    <sheet name="CFO" sheetId="8" r:id="rId7"/>
    <sheet name="Forecasting" sheetId="9" r:id="rId8"/>
    <sheet name="Data Sheet" sheetId="6" r:id="rId9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1" i="9" l="1"/>
  <c r="Q12" i="9"/>
  <c r="Q13" i="9"/>
  <c r="Q14" i="9"/>
  <c r="Q15" i="9"/>
  <c r="P12" i="9"/>
  <c r="P13" i="9"/>
  <c r="P14" i="9"/>
  <c r="P15" i="9"/>
  <c r="P11" i="9"/>
  <c r="J12" i="9"/>
  <c r="J13" i="9"/>
  <c r="J14" i="9"/>
  <c r="J15" i="9"/>
  <c r="J11" i="9"/>
  <c r="D12" i="9"/>
  <c r="D13" i="9"/>
  <c r="D14" i="9"/>
  <c r="D15" i="9"/>
  <c r="D11" i="9"/>
  <c r="E12" i="9"/>
  <c r="Q5" i="9"/>
  <c r="Q6" i="9"/>
  <c r="Q7" i="9"/>
  <c r="Q8" i="9"/>
  <c r="Q9" i="9"/>
  <c r="Q10" i="9"/>
  <c r="P4" i="9" a="1"/>
  <c r="P4" i="9" s="1"/>
  <c r="K11" i="9"/>
  <c r="K5" i="9"/>
  <c r="K6" i="9"/>
  <c r="K7" i="9"/>
  <c r="K8" i="9"/>
  <c r="K9" i="9"/>
  <c r="K10" i="9"/>
  <c r="K4" i="9"/>
  <c r="J4" i="9" a="1"/>
  <c r="J4" i="9" s="1"/>
  <c r="E11" i="9"/>
  <c r="E6" i="9"/>
  <c r="E7" i="9"/>
  <c r="E8" i="9"/>
  <c r="E9" i="9"/>
  <c r="E10" i="9"/>
  <c r="E5" i="9"/>
  <c r="D4" i="9" a="1"/>
  <c r="D4" i="9" s="1"/>
  <c r="B2" i="9"/>
  <c r="D100" i="7"/>
  <c r="E100" i="7"/>
  <c r="F100" i="7"/>
  <c r="G100" i="7"/>
  <c r="H100" i="7"/>
  <c r="I100" i="7"/>
  <c r="C100" i="7"/>
  <c r="D98" i="7"/>
  <c r="E98" i="7"/>
  <c r="F98" i="7"/>
  <c r="G98" i="7"/>
  <c r="H98" i="7"/>
  <c r="I98" i="7"/>
  <c r="C98" i="7"/>
  <c r="D92" i="7"/>
  <c r="E92" i="7"/>
  <c r="F92" i="7"/>
  <c r="G92" i="7"/>
  <c r="H92" i="7"/>
  <c r="I92" i="7"/>
  <c r="D93" i="7"/>
  <c r="E93" i="7"/>
  <c r="F93" i="7"/>
  <c r="G93" i="7"/>
  <c r="H93" i="7"/>
  <c r="I93" i="7"/>
  <c r="D94" i="7"/>
  <c r="E94" i="7"/>
  <c r="F94" i="7"/>
  <c r="G94" i="7"/>
  <c r="H94" i="7"/>
  <c r="I94" i="7"/>
  <c r="D95" i="7"/>
  <c r="E95" i="7"/>
  <c r="F95" i="7"/>
  <c r="G95" i="7"/>
  <c r="H95" i="7"/>
  <c r="I95" i="7"/>
  <c r="D96" i="7"/>
  <c r="E96" i="7"/>
  <c r="F96" i="7"/>
  <c r="G96" i="7"/>
  <c r="H96" i="7"/>
  <c r="I96" i="7"/>
  <c r="D97" i="7"/>
  <c r="E97" i="7"/>
  <c r="F97" i="7"/>
  <c r="G97" i="7"/>
  <c r="H97" i="7"/>
  <c r="I97" i="7"/>
  <c r="C93" i="7"/>
  <c r="C94" i="7"/>
  <c r="C95" i="7"/>
  <c r="C96" i="7"/>
  <c r="C97" i="7"/>
  <c r="C92" i="7"/>
  <c r="D89" i="7"/>
  <c r="E89" i="7"/>
  <c r="F89" i="7"/>
  <c r="G89" i="7"/>
  <c r="H89" i="7"/>
  <c r="I89" i="7"/>
  <c r="C89" i="7"/>
  <c r="D81" i="7"/>
  <c r="E81" i="7"/>
  <c r="F81" i="7"/>
  <c r="G81" i="7"/>
  <c r="H81" i="7"/>
  <c r="I81" i="7"/>
  <c r="D82" i="7"/>
  <c r="E82" i="7"/>
  <c r="F82" i="7"/>
  <c r="G82" i="7"/>
  <c r="H82" i="7"/>
  <c r="I82" i="7"/>
  <c r="D83" i="7"/>
  <c r="E83" i="7"/>
  <c r="F83" i="7"/>
  <c r="G83" i="7"/>
  <c r="H83" i="7"/>
  <c r="I83" i="7"/>
  <c r="D84" i="7"/>
  <c r="E84" i="7"/>
  <c r="F84" i="7"/>
  <c r="G84" i="7"/>
  <c r="H84" i="7"/>
  <c r="I84" i="7"/>
  <c r="D85" i="7"/>
  <c r="E85" i="7"/>
  <c r="F85" i="7"/>
  <c r="G85" i="7"/>
  <c r="H85" i="7"/>
  <c r="I85" i="7"/>
  <c r="D86" i="7"/>
  <c r="E86" i="7"/>
  <c r="F86" i="7"/>
  <c r="G86" i="7"/>
  <c r="H86" i="7"/>
  <c r="I86" i="7"/>
  <c r="D87" i="7"/>
  <c r="E87" i="7"/>
  <c r="F87" i="7"/>
  <c r="G87" i="7"/>
  <c r="H87" i="7"/>
  <c r="I87" i="7"/>
  <c r="D88" i="7"/>
  <c r="E88" i="7"/>
  <c r="F88" i="7"/>
  <c r="G88" i="7"/>
  <c r="H88" i="7"/>
  <c r="I88" i="7"/>
  <c r="C82" i="7"/>
  <c r="C83" i="7"/>
  <c r="C84" i="7"/>
  <c r="C85" i="7"/>
  <c r="C86" i="7"/>
  <c r="C87" i="7"/>
  <c r="C88" i="7"/>
  <c r="C81" i="7"/>
  <c r="D78" i="7"/>
  <c r="E78" i="7"/>
  <c r="F78" i="7"/>
  <c r="G78" i="7"/>
  <c r="H78" i="7"/>
  <c r="I78" i="7"/>
  <c r="C78" i="7"/>
  <c r="D71" i="7"/>
  <c r="E71" i="7"/>
  <c r="F71" i="7"/>
  <c r="G71" i="7"/>
  <c r="H71" i="7"/>
  <c r="I71" i="7"/>
  <c r="D72" i="7"/>
  <c r="E72" i="7"/>
  <c r="F72" i="7"/>
  <c r="G72" i="7"/>
  <c r="H72" i="7"/>
  <c r="I72" i="7"/>
  <c r="D73" i="7"/>
  <c r="E73" i="7"/>
  <c r="F73" i="7"/>
  <c r="G73" i="7"/>
  <c r="H73" i="7"/>
  <c r="I73" i="7"/>
  <c r="D74" i="7"/>
  <c r="E74" i="7"/>
  <c r="F74" i="7"/>
  <c r="G74" i="7"/>
  <c r="H74" i="7"/>
  <c r="I74" i="7"/>
  <c r="D75" i="7"/>
  <c r="E75" i="7"/>
  <c r="F75" i="7"/>
  <c r="G75" i="7"/>
  <c r="H75" i="7"/>
  <c r="I75" i="7"/>
  <c r="D76" i="7"/>
  <c r="E76" i="7"/>
  <c r="F76" i="7"/>
  <c r="G76" i="7"/>
  <c r="H76" i="7"/>
  <c r="I76" i="7"/>
  <c r="D77" i="7"/>
  <c r="E77" i="7"/>
  <c r="F77" i="7"/>
  <c r="G77" i="7"/>
  <c r="H77" i="7"/>
  <c r="I77" i="7"/>
  <c r="C72" i="7"/>
  <c r="C73" i="7"/>
  <c r="C74" i="7"/>
  <c r="C75" i="7"/>
  <c r="C76" i="7"/>
  <c r="C77" i="7"/>
  <c r="C71" i="7"/>
  <c r="C67" i="7"/>
  <c r="D62" i="7"/>
  <c r="E62" i="7"/>
  <c r="F62" i="7"/>
  <c r="G62" i="7"/>
  <c r="H62" i="7"/>
  <c r="I62" i="7"/>
  <c r="C62" i="7"/>
  <c r="C64" i="7" s="1"/>
  <c r="C66" i="7" s="1"/>
  <c r="D59" i="7"/>
  <c r="E59" i="7"/>
  <c r="F59" i="7"/>
  <c r="G59" i="7"/>
  <c r="H59" i="7"/>
  <c r="I59" i="7"/>
  <c r="D60" i="7"/>
  <c r="E60" i="7"/>
  <c r="F60" i="7"/>
  <c r="G60" i="7"/>
  <c r="H60" i="7"/>
  <c r="I60" i="7"/>
  <c r="D61" i="7"/>
  <c r="E61" i="7"/>
  <c r="F61" i="7"/>
  <c r="G61" i="7"/>
  <c r="H61" i="7"/>
  <c r="I61" i="7"/>
  <c r="C60" i="7"/>
  <c r="C61" i="7"/>
  <c r="C59" i="7"/>
  <c r="D57" i="7"/>
  <c r="D64" i="7" s="1"/>
  <c r="D66" i="7" s="1"/>
  <c r="E57" i="7"/>
  <c r="E64" i="7" s="1"/>
  <c r="E66" i="7" s="1"/>
  <c r="F57" i="7"/>
  <c r="F64" i="7" s="1"/>
  <c r="F66" i="7" s="1"/>
  <c r="G57" i="7"/>
  <c r="G64" i="7" s="1"/>
  <c r="G66" i="7" s="1"/>
  <c r="H57" i="7"/>
  <c r="H64" i="7" s="1"/>
  <c r="H66" i="7" s="1"/>
  <c r="I57" i="7"/>
  <c r="I64" i="7" s="1"/>
  <c r="I66" i="7" s="1"/>
  <c r="C57" i="7"/>
  <c r="D56" i="7"/>
  <c r="E56" i="7"/>
  <c r="F56" i="7"/>
  <c r="G56" i="7"/>
  <c r="H56" i="7"/>
  <c r="I56" i="7"/>
  <c r="C56" i="7"/>
  <c r="D55" i="7"/>
  <c r="E55" i="7"/>
  <c r="F55" i="7"/>
  <c r="G55" i="7"/>
  <c r="H55" i="7"/>
  <c r="I55" i="7"/>
  <c r="C55" i="7"/>
  <c r="D54" i="7"/>
  <c r="E54" i="7"/>
  <c r="F54" i="7"/>
  <c r="G54" i="7"/>
  <c r="H54" i="7"/>
  <c r="I54" i="7"/>
  <c r="C54" i="7"/>
  <c r="D53" i="7"/>
  <c r="E53" i="7"/>
  <c r="F53" i="7"/>
  <c r="G53" i="7"/>
  <c r="H53" i="7"/>
  <c r="I53" i="7"/>
  <c r="C53" i="7"/>
  <c r="D51" i="7"/>
  <c r="E51" i="7"/>
  <c r="F51" i="7"/>
  <c r="G51" i="7"/>
  <c r="H51" i="7"/>
  <c r="I51" i="7"/>
  <c r="C51" i="7"/>
  <c r="D50" i="7"/>
  <c r="E50" i="7"/>
  <c r="F50" i="7"/>
  <c r="G50" i="7"/>
  <c r="H50" i="7"/>
  <c r="I50" i="7"/>
  <c r="D49" i="7"/>
  <c r="E49" i="7"/>
  <c r="F49" i="7"/>
  <c r="G49" i="7"/>
  <c r="H49" i="7"/>
  <c r="I49" i="7"/>
  <c r="D48" i="7"/>
  <c r="E48" i="7"/>
  <c r="F48" i="7"/>
  <c r="G48" i="7"/>
  <c r="H48" i="7"/>
  <c r="I48" i="7"/>
  <c r="C48" i="7"/>
  <c r="C49" i="7"/>
  <c r="C50" i="7"/>
  <c r="D47" i="7"/>
  <c r="E47" i="7"/>
  <c r="F47" i="7"/>
  <c r="G47" i="7"/>
  <c r="H47" i="7"/>
  <c r="I47" i="7"/>
  <c r="C47" i="7"/>
  <c r="D2" i="7"/>
  <c r="E2" i="7"/>
  <c r="F2" i="7"/>
  <c r="G2" i="7"/>
  <c r="H2" i="7"/>
  <c r="I2" i="7"/>
  <c r="C2" i="7"/>
  <c r="C5" i="7"/>
  <c r="D5" i="7"/>
  <c r="D6" i="7" s="1"/>
  <c r="E5" i="7"/>
  <c r="E11" i="7" s="1"/>
  <c r="F5" i="7"/>
  <c r="F11" i="7" s="1"/>
  <c r="G5" i="7"/>
  <c r="G11" i="7" s="1"/>
  <c r="H5" i="7"/>
  <c r="H6" i="7" s="1"/>
  <c r="I5" i="7"/>
  <c r="I11" i="7" s="1"/>
  <c r="C8" i="7"/>
  <c r="C9" i="7" s="1"/>
  <c r="D8" i="7"/>
  <c r="D9" i="7" s="1"/>
  <c r="E8" i="7"/>
  <c r="E9" i="7" s="1"/>
  <c r="F8" i="7"/>
  <c r="F9" i="7" s="1"/>
  <c r="G8" i="7"/>
  <c r="G9" i="7" s="1"/>
  <c r="H8" i="7"/>
  <c r="I8" i="7"/>
  <c r="H9" i="7"/>
  <c r="I9" i="7"/>
  <c r="C11" i="7"/>
  <c r="C17" i="7" s="1"/>
  <c r="D11" i="7"/>
  <c r="D17" i="7" s="1"/>
  <c r="H11" i="7"/>
  <c r="H17" i="7" s="1"/>
  <c r="H12" i="7"/>
  <c r="C14" i="7"/>
  <c r="C15" i="7" s="1"/>
  <c r="D14" i="7"/>
  <c r="E14" i="7"/>
  <c r="F14" i="7"/>
  <c r="G14" i="7"/>
  <c r="H14" i="7"/>
  <c r="I14" i="7"/>
  <c r="I15" i="7" s="1"/>
  <c r="D15" i="7"/>
  <c r="E15" i="7"/>
  <c r="F15" i="7"/>
  <c r="G15" i="7"/>
  <c r="H15" i="7"/>
  <c r="C20" i="7"/>
  <c r="D20" i="7"/>
  <c r="E20" i="7"/>
  <c r="E21" i="7" s="1"/>
  <c r="F20" i="7"/>
  <c r="F21" i="7" s="1"/>
  <c r="G20" i="7"/>
  <c r="G21" i="7" s="1"/>
  <c r="H20" i="7"/>
  <c r="H21" i="7" s="1"/>
  <c r="I20" i="7"/>
  <c r="I21" i="7" s="1"/>
  <c r="C21" i="7"/>
  <c r="D21" i="7"/>
  <c r="C23" i="7"/>
  <c r="C24" i="7" s="1"/>
  <c r="D23" i="7"/>
  <c r="D24" i="7" s="1"/>
  <c r="E23" i="7"/>
  <c r="E24" i="7" s="1"/>
  <c r="F23" i="7"/>
  <c r="F24" i="7" s="1"/>
  <c r="G23" i="7"/>
  <c r="G24" i="7" s="1"/>
  <c r="H23" i="7"/>
  <c r="H24" i="7" s="1"/>
  <c r="I23" i="7"/>
  <c r="I24" i="7" s="1"/>
  <c r="D29" i="7"/>
  <c r="E29" i="7"/>
  <c r="F29" i="7"/>
  <c r="G29" i="7"/>
  <c r="H29" i="7"/>
  <c r="I29" i="7"/>
  <c r="C35" i="7"/>
  <c r="D35" i="7"/>
  <c r="E35" i="7"/>
  <c r="F35" i="7"/>
  <c r="G35" i="7"/>
  <c r="H35" i="7"/>
  <c r="I35" i="7"/>
  <c r="C40" i="7"/>
  <c r="D40" i="7"/>
  <c r="E40" i="7"/>
  <c r="F40" i="7"/>
  <c r="G40" i="7"/>
  <c r="H40" i="7"/>
  <c r="I40" i="7"/>
  <c r="K12" i="9" l="1"/>
  <c r="G12" i="7"/>
  <c r="G17" i="7"/>
  <c r="C18" i="7"/>
  <c r="C26" i="7"/>
  <c r="F17" i="7"/>
  <c r="F12" i="7"/>
  <c r="E17" i="7"/>
  <c r="E12" i="7"/>
  <c r="H26" i="7"/>
  <c r="H18" i="7"/>
  <c r="I17" i="7"/>
  <c r="I12" i="7"/>
  <c r="D26" i="7"/>
  <c r="D18" i="7"/>
  <c r="I6" i="7"/>
  <c r="D12" i="7"/>
  <c r="C12" i="7"/>
  <c r="G6" i="7"/>
  <c r="F6" i="7"/>
  <c r="E6" i="7"/>
  <c r="E13" i="9" l="1"/>
  <c r="E14" i="9"/>
  <c r="E15" i="9"/>
  <c r="K14" i="9"/>
  <c r="F18" i="7"/>
  <c r="F26" i="7"/>
  <c r="D32" i="7"/>
  <c r="D27" i="7"/>
  <c r="C27" i="7"/>
  <c r="C32" i="7"/>
  <c r="C30" i="7"/>
  <c r="I26" i="7"/>
  <c r="I18" i="7"/>
  <c r="D30" i="7"/>
  <c r="H27" i="7"/>
  <c r="H32" i="7"/>
  <c r="H30" i="7"/>
  <c r="G26" i="7"/>
  <c r="G18" i="7"/>
  <c r="E26" i="7"/>
  <c r="E18" i="7"/>
  <c r="K13" i="9" l="1"/>
  <c r="K15" i="9"/>
  <c r="H37" i="7"/>
  <c r="H33" i="7"/>
  <c r="I30" i="7"/>
  <c r="I27" i="7"/>
  <c r="I32" i="7"/>
  <c r="C33" i="7"/>
  <c r="C37" i="7"/>
  <c r="E32" i="7"/>
  <c r="E27" i="7"/>
  <c r="E30" i="7"/>
  <c r="D37" i="7"/>
  <c r="D33" i="7"/>
  <c r="G32" i="7"/>
  <c r="G27" i="7"/>
  <c r="G30" i="7"/>
  <c r="F32" i="7"/>
  <c r="F27" i="7"/>
  <c r="F30" i="7"/>
  <c r="E33" i="7" l="1"/>
  <c r="E37" i="7"/>
  <c r="I33" i="7"/>
  <c r="I37" i="7"/>
  <c r="D43" i="7"/>
  <c r="D38" i="7"/>
  <c r="D41" i="7"/>
  <c r="C43" i="7"/>
  <c r="C41" i="7"/>
  <c r="F37" i="7"/>
  <c r="F33" i="7"/>
  <c r="G37" i="7"/>
  <c r="G33" i="7"/>
  <c r="H41" i="7"/>
  <c r="H43" i="7"/>
  <c r="H38" i="7"/>
  <c r="E43" i="7" l="1"/>
  <c r="E38" i="7"/>
  <c r="E41" i="7"/>
  <c r="G43" i="7"/>
  <c r="G38" i="7"/>
  <c r="G41" i="7"/>
  <c r="F43" i="7"/>
  <c r="F38" i="7"/>
  <c r="F41" i="7"/>
  <c r="I38" i="7"/>
  <c r="I43" i="7"/>
  <c r="I41" i="7"/>
  <c r="B1" i="7" l="1"/>
  <c r="C6" i="3" l="1"/>
  <c r="D6" i="3"/>
  <c r="E6" i="3"/>
  <c r="F6" i="3"/>
  <c r="G6" i="3"/>
  <c r="H6" i="3"/>
  <c r="I6" i="3"/>
  <c r="L6" i="1" s="1"/>
  <c r="L19" i="1" s="1"/>
  <c r="L24" i="1" s="1"/>
  <c r="J6" i="3"/>
  <c r="J14" i="3" s="1"/>
  <c r="K6" i="3"/>
  <c r="B6" i="3"/>
  <c r="C5" i="1"/>
  <c r="D5" i="1"/>
  <c r="D6" i="1" s="1"/>
  <c r="D19" i="1" s="1"/>
  <c r="E5" i="1"/>
  <c r="F5" i="1"/>
  <c r="G5" i="1"/>
  <c r="G6" i="1" s="1"/>
  <c r="G19" i="1" s="1"/>
  <c r="H5" i="1"/>
  <c r="I5" i="1"/>
  <c r="J5" i="1"/>
  <c r="K5" i="1"/>
  <c r="B5" i="1"/>
  <c r="C93" i="6"/>
  <c r="C13" i="1" s="1"/>
  <c r="D93" i="6"/>
  <c r="B93" i="6"/>
  <c r="G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F21" i="2" s="1"/>
  <c r="G18" i="2"/>
  <c r="H18" i="2"/>
  <c r="H21" i="2" s="1"/>
  <c r="I18" i="2"/>
  <c r="J18" i="2"/>
  <c r="K18" i="2"/>
  <c r="B17" i="2"/>
  <c r="C4" i="2"/>
  <c r="C23" i="2" s="1"/>
  <c r="D4" i="2"/>
  <c r="E24" i="2" s="1"/>
  <c r="E4" i="2"/>
  <c r="E23" i="2" s="1"/>
  <c r="E5" i="2"/>
  <c r="F4" i="2"/>
  <c r="G4" i="2"/>
  <c r="H4" i="2"/>
  <c r="I4" i="2"/>
  <c r="I5" i="2"/>
  <c r="J4" i="2"/>
  <c r="J5" i="2"/>
  <c r="J23" i="2" s="1"/>
  <c r="K4" i="2"/>
  <c r="K23" i="2" s="1"/>
  <c r="C5" i="2"/>
  <c r="D5" i="2"/>
  <c r="F5" i="2"/>
  <c r="G5" i="2"/>
  <c r="H5" i="2"/>
  <c r="H23" i="2" s="1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H16" i="2" s="1"/>
  <c r="I7" i="2"/>
  <c r="J7" i="2"/>
  <c r="K7" i="2"/>
  <c r="K16" i="2" s="1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F16" i="2" s="1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E4" i="3"/>
  <c r="E14" i="3" s="1"/>
  <c r="F4" i="3"/>
  <c r="G4" i="3"/>
  <c r="H4" i="3"/>
  <c r="I4" i="3"/>
  <c r="I14" i="3" s="1"/>
  <c r="J4" i="3"/>
  <c r="L4" i="1" s="1"/>
  <c r="L23" i="1" s="1"/>
  <c r="K4" i="3"/>
  <c r="K14" i="3" s="1"/>
  <c r="C5" i="3"/>
  <c r="D5" i="3"/>
  <c r="E5" i="3"/>
  <c r="F5" i="3"/>
  <c r="G5" i="3"/>
  <c r="H5" i="3"/>
  <c r="L5" i="1" s="1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L10" i="1" s="1"/>
  <c r="I10" i="3"/>
  <c r="J10" i="3"/>
  <c r="K10" i="3"/>
  <c r="C11" i="3"/>
  <c r="D11" i="3"/>
  <c r="E11" i="3"/>
  <c r="F11" i="3"/>
  <c r="G11" i="3"/>
  <c r="H11" i="3"/>
  <c r="L11" i="1" s="1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C6" i="1" s="1"/>
  <c r="C19" i="1" s="1"/>
  <c r="D4" i="1"/>
  <c r="E4" i="1"/>
  <c r="E20" i="2" s="1"/>
  <c r="F4" i="1"/>
  <c r="F20" i="2" s="1"/>
  <c r="G4" i="1"/>
  <c r="H4" i="1"/>
  <c r="I4" i="1"/>
  <c r="J4" i="1"/>
  <c r="J6" i="1" s="1"/>
  <c r="J19" i="1" s="1"/>
  <c r="K4" i="1"/>
  <c r="K20" i="2" s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F13" i="1" s="1"/>
  <c r="G12" i="1"/>
  <c r="H12" i="1"/>
  <c r="I12" i="1"/>
  <c r="I13" i="1" s="1"/>
  <c r="J12" i="1"/>
  <c r="J13" i="1" s="1"/>
  <c r="J14" i="1" s="1"/>
  <c r="K12" i="1"/>
  <c r="K13" i="1" s="1"/>
  <c r="C15" i="1"/>
  <c r="C14" i="1" s="1"/>
  <c r="D15" i="1"/>
  <c r="D14" i="1" s="1"/>
  <c r="E15" i="1"/>
  <c r="E14" i="1" s="1"/>
  <c r="F15" i="1"/>
  <c r="F14" i="1"/>
  <c r="G15" i="1"/>
  <c r="G14" i="1" s="1"/>
  <c r="H15" i="1"/>
  <c r="H14" i="1" s="1"/>
  <c r="I15" i="1"/>
  <c r="J15" i="1"/>
  <c r="K15" i="1"/>
  <c r="B15" i="1"/>
  <c r="B14" i="1" s="1"/>
  <c r="H13" i="1"/>
  <c r="B7" i="1"/>
  <c r="B4" i="1"/>
  <c r="B20" i="2" s="1"/>
  <c r="A1" i="1"/>
  <c r="E1" i="6"/>
  <c r="H1" i="1" s="1"/>
  <c r="E1" i="2"/>
  <c r="D16" i="2"/>
  <c r="C16" i="2"/>
  <c r="G23" i="2"/>
  <c r="E6" i="1"/>
  <c r="E19" i="1" s="1"/>
  <c r="D23" i="2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J21" i="2"/>
  <c r="I21" i="2"/>
  <c r="G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H14" i="3"/>
  <c r="F14" i="3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G14" i="3"/>
  <c r="G20" i="2"/>
  <c r="D20" i="2"/>
  <c r="J20" i="2"/>
  <c r="L12" i="1"/>
  <c r="L13" i="1" s="1"/>
  <c r="L14" i="1" s="1"/>
  <c r="L25" i="1" s="1"/>
  <c r="A1" i="3"/>
  <c r="A1" i="2"/>
  <c r="A1" i="4"/>
  <c r="H23" i="1"/>
  <c r="I23" i="1"/>
  <c r="N11" i="1" l="1"/>
  <c r="M11" i="1"/>
  <c r="K14" i="1"/>
  <c r="I14" i="1"/>
  <c r="K25" i="1" s="1"/>
  <c r="M25" i="1" s="1"/>
  <c r="M14" i="1" s="1"/>
  <c r="J23" i="1"/>
  <c r="N23" i="1" s="1"/>
  <c r="N4" i="1" s="1"/>
  <c r="B23" i="2"/>
  <c r="J16" i="2"/>
  <c r="G16" i="2"/>
  <c r="I23" i="2"/>
  <c r="C20" i="2"/>
  <c r="L8" i="1"/>
  <c r="N8" i="1" s="1"/>
  <c r="J24" i="2"/>
  <c r="D13" i="1"/>
  <c r="E13" i="1" s="1"/>
  <c r="I24" i="2"/>
  <c r="H24" i="2"/>
  <c r="L9" i="1"/>
  <c r="N9" i="1" s="1"/>
  <c r="E16" i="2"/>
  <c r="B16" i="2"/>
  <c r="G24" i="2"/>
  <c r="F23" i="2"/>
  <c r="K21" i="2"/>
  <c r="K6" i="1"/>
  <c r="K19" i="1" s="1"/>
  <c r="K24" i="1" s="1"/>
  <c r="M24" i="1" s="1"/>
  <c r="I6" i="1"/>
  <c r="I19" i="1" s="1"/>
  <c r="F24" i="2"/>
  <c r="B6" i="1"/>
  <c r="B19" i="1" s="1"/>
  <c r="L7" i="1"/>
  <c r="D14" i="3"/>
  <c r="D24" i="2"/>
  <c r="E1" i="3"/>
  <c r="I16" i="2"/>
  <c r="K24" i="2"/>
  <c r="J25" i="1"/>
  <c r="M9" i="1"/>
  <c r="H25" i="1"/>
  <c r="I25" i="1"/>
  <c r="I20" i="2"/>
  <c r="J24" i="1"/>
  <c r="H20" i="2"/>
  <c r="K23" i="1"/>
  <c r="M23" i="1" s="1"/>
  <c r="M4" i="1" s="1"/>
  <c r="H6" i="1"/>
  <c r="H19" i="1" s="1"/>
  <c r="F6" i="1"/>
  <c r="F19" i="1" s="1"/>
  <c r="I24" i="1" s="1"/>
  <c r="E1" i="4"/>
  <c r="H24" i="1" l="1"/>
  <c r="N24" i="1" s="1"/>
  <c r="N6" i="1" s="1"/>
  <c r="N25" i="1"/>
  <c r="N14" i="1" s="1"/>
  <c r="M8" i="1"/>
  <c r="M6" i="1"/>
  <c r="M10" i="1" s="1"/>
  <c r="M12" i="1" s="1"/>
  <c r="M13" i="1" s="1"/>
  <c r="M15" i="1" s="1"/>
  <c r="N10" i="1" l="1"/>
  <c r="N12" i="1" s="1"/>
  <c r="N13" i="1" s="1"/>
  <c r="N15" i="1" s="1"/>
  <c r="N5" i="1"/>
  <c r="M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<sst xmlns="http://schemas.openxmlformats.org/spreadsheetml/2006/main" count="260" uniqueCount="163">
  <si>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</si>
  <si>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</si>
  <si>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</si>
  <si>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</si>
  <si>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</si>
  <si>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</si>
  <si>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</si>
  <si>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</si>
  <si>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</si>
  <si>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</si>
  <si>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</si>
  <si>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</si>
  <si>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</si>
  <si>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</si>
  <si>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</si>
  <si>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</si>
  <si>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</si>
  <si>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</si>
  <si>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</si>
  <si>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</si>
  <si>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</si>
  <si>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</si>
  <si>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</si>
  <si>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</si>
  <si>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</si>
  <si>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</si>
  <si>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</si>
  <si>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</si>
  <si>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</si>
  <si>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</si>
  <si>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</si>
  <si>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</si>
  <si>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</si>
  <si>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</si>
  <si>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</si>
  <si>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</si>
  <si>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</si>
  <si>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</si>
  <si>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</si>
  <si>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</si>
  <si>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</si>
  <si>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</si>
  <si>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</si>
  <si>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</si>
  <si>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</si>
  <si>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</si>
  <si>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</si>
  <si>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</si>
  <si>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</si>
  <si>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</si>
  <si>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</si>
  <si>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</si>
  <si>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</si>
  <si>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</si>
  <si>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</si>
  <si>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</si>
  <si>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</si>
  <si>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</si>
  <si>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</si>
  <si>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</si>
  <si>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</si>
  <si>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</si>
  <si>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</si>
  <si>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ZOMATO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</si>
  <si>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</si>
  <si>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</si>
  <si>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</si>
  <si>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</si>
  <si>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</si>
  <si>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</si>
  <si>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</si>
  <si>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</si>
  <si>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</si>
  <si>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</si>
  <si>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</si>
  <si>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</si>
  <si>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</si>
  <si>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</si>
  <si>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</si>
  <si>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</si>
  <si>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</si>
  <si>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</si>
  <si>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</si>
  <si>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</si>
  <si>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</si>
  <si>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</si>
  <si>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</si>
  <si>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</si>
  <si>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</si>
  <si>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</si>
  <si>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</si>
  <si>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</si>
  <si>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</si>
  <si>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LTM</t>
  </si>
  <si>
    <t>COGS</t>
  </si>
  <si>
    <t>COGS% of Sales</t>
  </si>
  <si>
    <t>Gross Profit</t>
  </si>
  <si>
    <t>Gross Margin</t>
  </si>
  <si>
    <t>Selling And General expenses</t>
  </si>
  <si>
    <t>EBITDA</t>
  </si>
  <si>
    <t>EBITDA Margin</t>
  </si>
  <si>
    <t>Interest Expenses</t>
  </si>
  <si>
    <t>Interest Expenses as % of sales</t>
  </si>
  <si>
    <t xml:space="preserve">Depreciation </t>
  </si>
  <si>
    <t>Depreciation % of Sales</t>
  </si>
  <si>
    <t>EBT % of sales</t>
  </si>
  <si>
    <t>Taxes</t>
  </si>
  <si>
    <t>Net Profit</t>
  </si>
  <si>
    <t>Net Margin</t>
  </si>
  <si>
    <t>No of Equity Shares</t>
  </si>
  <si>
    <t>Earning Per Share</t>
  </si>
  <si>
    <t>Dividend Per Share</t>
  </si>
  <si>
    <t>Dividend Payout Ratio</t>
  </si>
  <si>
    <t>Retained Earnings</t>
  </si>
  <si>
    <t>#</t>
  </si>
  <si>
    <t>Effective Tax Rate</t>
  </si>
  <si>
    <t>EPS Growth</t>
  </si>
  <si>
    <t>EPS Growth %</t>
  </si>
  <si>
    <t>S&amp;G Exp % Sales</t>
  </si>
  <si>
    <t>Balance Sheet</t>
  </si>
  <si>
    <t>Earnings Before tax</t>
  </si>
  <si>
    <t>Total Liabilites</t>
  </si>
  <si>
    <t>Fixed Assets Net Block</t>
  </si>
  <si>
    <t>Capital Work In Progress</t>
  </si>
  <si>
    <t>Total Non Current Assets</t>
  </si>
  <si>
    <t>Cash and Bank</t>
  </si>
  <si>
    <t>Total Current Assets</t>
  </si>
  <si>
    <t>Total Assets</t>
  </si>
  <si>
    <t>CHECK</t>
  </si>
  <si>
    <t>Cash Flow Statements</t>
  </si>
  <si>
    <t>Profit from operations</t>
  </si>
  <si>
    <t>Payables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</si>
  <si>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</si>
  <si>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</si>
  <si>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</si>
  <si>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</si>
  <si>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</si>
  <si>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</si>
  <si>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</si>
  <si>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</si>
  <si>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Redemp n Canc of Shares</t>
  </si>
  <si>
    <t>Acquisition of companies</t>
  </si>
  <si>
    <t>Other investing items</t>
  </si>
  <si>
    <t>Proceeds from shares</t>
  </si>
  <si>
    <t>Proceeds from borrowings</t>
  </si>
  <si>
    <t>Repayment of borrowings</t>
  </si>
  <si>
    <t>Interest paid fin</t>
  </si>
  <si>
    <t>Financial liabilities</t>
  </si>
  <si>
    <t>Other financing items</t>
  </si>
  <si>
    <t>Cash from Operating Activity -</t>
  </si>
  <si>
    <t>Cash from Investing Activity -</t>
  </si>
  <si>
    <t>Cash from Financing Activity -</t>
  </si>
  <si>
    <t>Years</t>
  </si>
  <si>
    <t>Operating Activities</t>
  </si>
  <si>
    <t>Cash from Operating Activities</t>
  </si>
  <si>
    <t>Investing Activities</t>
  </si>
  <si>
    <t>Cash from Investing Activities</t>
  </si>
  <si>
    <t>Financing Activities</t>
  </si>
  <si>
    <t>Cash from Financing Activities</t>
  </si>
  <si>
    <t>Year Weight</t>
  </si>
  <si>
    <t>Year</t>
  </si>
  <si>
    <t>Income Statement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</si>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</sst>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0;\(&quot;₹&quot;\ #,##0.00\);\-"/>
    <numFmt numFmtId="167" formatCode="&quot;₹&quot;\ #,##0.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i/>
      <sz val="11"/>
      <color theme="0" tint="-0.499984740745262"/>
      <name val="calibri"/>
      <family val="2"/>
    </font>
    <font>
      <b/>
      <i/>
      <sz val="11"/>
      <color rgb="FF00B050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85">
    <xf numFmtId="0" fontId="0" fillId="0" borderId="0" xfId="0"/>
    <xf numFmtId="43" fontId="1" fillId="0" borderId="0" xfId="1" applyFont="1" applyBorder="1"/>
    <xf numFmtId="0" fontId="1" fillId="0" borderId="0" xfId="0" applyFont="1"/>
    <xf numFmtId="0" fontId="8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9" fontId="3" fillId="0" borderId="0" xfId="1" applyNumberFormat="1" applyFont="1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3" fontId="0" fillId="0" borderId="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164" fontId="0" fillId="0" borderId="0" xfId="1" applyNumberFormat="1" applyFont="1" applyBorder="1"/>
    <xf numFmtId="17" fontId="10" fillId="6" borderId="0" xfId="0" applyNumberFormat="1" applyFont="1" applyFill="1" applyAlignment="1">
      <alignment horizontal="right"/>
    </xf>
    <xf numFmtId="0" fontId="13" fillId="0" borderId="0" xfId="0" applyFont="1"/>
    <xf numFmtId="10" fontId="14" fillId="0" borderId="0" xfId="0" applyNumberFormat="1" applyFont="1" applyAlignment="1">
      <alignment wrapText="1"/>
    </xf>
    <xf numFmtId="4" fontId="0" fillId="0" borderId="0" xfId="0" applyNumberFormat="1"/>
    <xf numFmtId="166" fontId="0" fillId="0" borderId="0" xfId="0" applyNumberFormat="1"/>
    <xf numFmtId="166" fontId="10" fillId="6" borderId="0" xfId="0" applyNumberFormat="1" applyFont="1" applyFill="1"/>
    <xf numFmtId="166" fontId="10" fillId="6" borderId="0" xfId="0" applyNumberFormat="1" applyFont="1" applyFill="1" applyAlignment="1">
      <alignment horizontal="right"/>
    </xf>
    <xf numFmtId="166" fontId="10" fillId="0" borderId="0" xfId="0" applyNumberFormat="1" applyFont="1"/>
    <xf numFmtId="166" fontId="10" fillId="0" borderId="0" xfId="0" applyNumberFormat="1" applyFont="1" applyAlignment="1">
      <alignment horizontal="right"/>
    </xf>
    <xf numFmtId="166" fontId="11" fillId="0" borderId="0" xfId="0" applyNumberFormat="1" applyFont="1"/>
    <xf numFmtId="166" fontId="12" fillId="0" borderId="0" xfId="0" applyNumberFormat="1" applyFont="1"/>
    <xf numFmtId="10" fontId="15" fillId="0" borderId="0" xfId="6" applyNumberFormat="1" applyFont="1"/>
    <xf numFmtId="0" fontId="15" fillId="0" borderId="0" xfId="0" applyFont="1"/>
    <xf numFmtId="166" fontId="16" fillId="7" borderId="0" xfId="0" applyNumberFormat="1" applyFont="1" applyFill="1"/>
    <xf numFmtId="0" fontId="19" fillId="9" borderId="0" xfId="0" applyFont="1" applyFill="1" applyAlignment="1">
      <alignment horizontal="left" vertical="center"/>
    </xf>
    <xf numFmtId="0" fontId="19" fillId="9" borderId="0" xfId="0" applyFont="1" applyFill="1" applyAlignment="1">
      <alignment horizontal="right" vertical="center" wrapText="1"/>
    </xf>
    <xf numFmtId="3" fontId="19" fillId="9" borderId="0" xfId="0" applyNumberFormat="1" applyFont="1" applyFill="1" applyAlignment="1">
      <alignment horizontal="right" vertical="center" wrapText="1"/>
    </xf>
    <xf numFmtId="3" fontId="0" fillId="0" borderId="0" xfId="0" applyNumberFormat="1"/>
    <xf numFmtId="0" fontId="18" fillId="0" borderId="0" xfId="0" applyFont="1"/>
    <xf numFmtId="166" fontId="17" fillId="0" borderId="0" xfId="0" applyNumberFormat="1" applyFont="1"/>
    <xf numFmtId="0" fontId="11" fillId="10" borderId="0" xfId="0" applyFont="1" applyFill="1" applyAlignment="1">
      <alignment horizontal="center"/>
    </xf>
    <xf numFmtId="0" fontId="11" fillId="10" borderId="0" xfId="0" applyFont="1" applyFill="1" applyAlignment="1">
      <alignment horizontal="right"/>
    </xf>
    <xf numFmtId="166" fontId="17" fillId="7" borderId="0" xfId="0" applyNumberFormat="1" applyFont="1" applyFill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  <xf numFmtId="0" fontId="18" fillId="8" borderId="0" xfId="0" applyFont="1" applyFill="1" applyAlignment="1">
      <alignment horizontal="left"/>
    </xf>
    <xf numFmtId="0" fontId="18" fillId="8" borderId="0" xfId="0" applyFont="1" applyFill="1" applyAlignment="1"/>
    <xf numFmtId="166" fontId="0" fillId="0" borderId="1" xfId="0" applyNumberFormat="1" applyBorder="1"/>
    <xf numFmtId="166" fontId="13" fillId="0" borderId="1" xfId="0" applyNumberFormat="1" applyFont="1" applyBorder="1"/>
    <xf numFmtId="166" fontId="12" fillId="0" borderId="1" xfId="0" applyNumberFormat="1" applyFont="1" applyBorder="1"/>
    <xf numFmtId="166" fontId="0" fillId="0" borderId="2" xfId="0" applyNumberFormat="1" applyBorder="1"/>
    <xf numFmtId="166" fontId="0" fillId="0" borderId="0" xfId="0" applyNumberFormat="1" applyBorder="1"/>
    <xf numFmtId="0" fontId="13" fillId="0" borderId="1" xfId="0" applyFont="1" applyBorder="1"/>
    <xf numFmtId="166" fontId="0" fillId="0" borderId="3" xfId="0" applyNumberFormat="1" applyBorder="1"/>
    <xf numFmtId="166" fontId="11" fillId="0" borderId="4" xfId="0" applyNumberFormat="1" applyFont="1" applyBorder="1"/>
    <xf numFmtId="10" fontId="15" fillId="0" borderId="4" xfId="6" applyNumberFormat="1" applyFont="1" applyBorder="1"/>
    <xf numFmtId="17" fontId="20" fillId="9" borderId="5" xfId="0" applyNumberFormat="1" applyFont="1" applyFill="1" applyBorder="1" applyAlignment="1">
      <alignment horizontal="right" vertical="center" wrapText="1"/>
    </xf>
    <xf numFmtId="0" fontId="0" fillId="0" borderId="5" xfId="0" applyBorder="1"/>
    <xf numFmtId="3" fontId="0" fillId="0" borderId="5" xfId="0" applyNumberFormat="1" applyBorder="1"/>
    <xf numFmtId="0" fontId="19" fillId="9" borderId="0" xfId="0" applyFont="1" applyFill="1" applyBorder="1" applyAlignment="1">
      <alignment horizontal="center" vertical="center"/>
    </xf>
    <xf numFmtId="0" fontId="19" fillId="9" borderId="6" xfId="0" applyFont="1" applyFill="1" applyBorder="1" applyAlignment="1">
      <alignment horizontal="center" vertical="center"/>
    </xf>
    <xf numFmtId="17" fontId="20" fillId="9" borderId="7" xfId="0" applyNumberFormat="1" applyFont="1" applyFill="1" applyBorder="1" applyAlignment="1">
      <alignment horizontal="right" vertical="center" wrapText="1"/>
    </xf>
    <xf numFmtId="0" fontId="0" fillId="0" borderId="7" xfId="0" applyBorder="1"/>
    <xf numFmtId="0" fontId="0" fillId="0" borderId="0" xfId="0" applyBorder="1"/>
    <xf numFmtId="0" fontId="0" fillId="0" borderId="6" xfId="0" applyBorder="1"/>
    <xf numFmtId="167" fontId="0" fillId="0" borderId="5" xfId="0" applyNumberFormat="1" applyBorder="1"/>
    <xf numFmtId="10" fontId="0" fillId="0" borderId="5" xfId="0" applyNumberFormat="1" applyBorder="1"/>
    <xf numFmtId="166" fontId="0" fillId="0" borderId="5" xfId="0" applyNumberFormat="1" applyBorder="1"/>
    <xf numFmtId="166" fontId="1" fillId="0" borderId="0" xfId="0" applyNumberFormat="1" applyFont="1"/>
    <xf numFmtId="0" fontId="21" fillId="0" borderId="8" xfId="0" applyFont="1" applyBorder="1"/>
    <xf numFmtId="166" fontId="1" fillId="0" borderId="8" xfId="0" applyNumberFormat="1" applyFont="1" applyBorder="1"/>
    <xf numFmtId="0" fontId="21" fillId="0" borderId="2" xfId="0" applyFont="1" applyBorder="1"/>
    <xf numFmtId="166" fontId="1" fillId="0" borderId="2" xfId="0" applyNumberFormat="1" applyFont="1" applyBorder="1"/>
    <xf numFmtId="0" fontId="11" fillId="0" borderId="8" xfId="0" applyFont="1" applyBorder="1"/>
    <xf numFmtId="166" fontId="0" fillId="0" borderId="8" xfId="0" applyNumberFormat="1" applyBorder="1"/>
    <xf numFmtId="0" fontId="11" fillId="0" borderId="2" xfId="0" applyFont="1" applyBorder="1"/>
    <xf numFmtId="166" fontId="22" fillId="0" borderId="0" xfId="0" applyNumberFormat="1" applyFont="1"/>
    <xf numFmtId="166" fontId="7" fillId="0" borderId="0" xfId="0" applyNumberFormat="1" applyFont="1" applyAlignment="1">
      <alignment horizontal="left"/>
    </xf>
    <xf numFmtId="166" fontId="22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990000"/>
      <color rgb="FFFF3300"/>
      <color rgb="FFFFFF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2</xdr:row>
      <xdr:rowOff>40640</xdr:rowOff>
    </xdr:from>
    <xdr:to>
      <xdr:col>21</xdr:col>
      <xdr:colOff>487680</xdr:colOff>
      <xdr:row>5</xdr:row>
      <xdr:rowOff>112778</xdr:rowOff>
    </xdr:to>
    <xdr:pic>
      <xdr:nvPicPr>
        <xdr:cNvPr id="2" name="Picture 1" descr="Zomato Logo Transparent">
          <a:extLst>
            <a:ext uri="{FF2B5EF4-FFF2-40B4-BE49-F238E27FC236}">
              <a16:creationId xmlns:a16="http://schemas.microsoft.com/office/drawing/2014/main" id="{1F2EF936-EFBD-4CA2-B5AA-61478ABBA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81280" y="518160"/>
          <a:ext cx="2926080" cy="6207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599440</xdr:colOff>
      <xdr:row>6</xdr:row>
      <xdr:rowOff>162560</xdr:rowOff>
    </xdr:from>
    <xdr:to>
      <xdr:col>24</xdr:col>
      <xdr:colOff>121920</xdr:colOff>
      <xdr:row>15</xdr:row>
      <xdr:rowOff>162560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29990C2-9E07-7372-3061-4C34D5B72030}"/>
            </a:ext>
          </a:extLst>
        </xdr:cNvPr>
        <xdr:cNvSpPr txBox="1"/>
      </xdr:nvSpPr>
      <xdr:spPr>
        <a:xfrm>
          <a:off x="12771120" y="1371600"/>
          <a:ext cx="4399280" cy="178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BSE: 543320 </a:t>
          </a:r>
          <a:r>
            <a:rPr lang="en-IN" sz="2400" b="1">
              <a:solidFill>
                <a:schemeClr val="tx1"/>
              </a:solidFill>
            </a:rPr>
            <a:t> </a:t>
          </a:r>
        </a:p>
        <a:p>
          <a:r>
            <a:rPr lang="en-IN" sz="2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NSE: ZOMATO</a:t>
          </a:r>
        </a:p>
        <a:p>
          <a:r>
            <a:rPr lang="en-IN" sz="2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Market Cap: ₹ 2,19,565 Cr.</a:t>
          </a:r>
        </a:p>
        <a:p>
          <a:r>
            <a:rPr lang="en-IN" sz="2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Current Price:</a:t>
          </a:r>
          <a:r>
            <a:rPr lang="en-IN" sz="2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2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₹ 228</a:t>
          </a:r>
          <a:r>
            <a:rPr lang="en-IN" sz="2400" b="1">
              <a:solidFill>
                <a:schemeClr val="tx1"/>
              </a:solidFill>
            </a:rPr>
            <a:t>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defaultColWidth="8.77734375" defaultRowHeight="14.4" x14ac:dyDescent="0.3"/>
  <cols>
    <col min="1" max="1" width="20.6640625" customWidth="1"/>
    <col min="2" max="6" width="13.44140625" customWidth="1"/>
    <col min="7" max="7" width="14.77734375" bestFit="1" customWidth="1"/>
    <col min="8" max="11" width="13.44140625" customWidth="1"/>
    <col min="12" max="12" width="13.33203125" customWidth="1"/>
    <col min="13" max="14" width="12.109375" customWidth="1"/>
  </cols>
  <sheetData>
    <row r="1" spans="1:14" s="2" customFormat="1" x14ac:dyDescent="0.3">
      <c r="A1" s="2" t="str">
        <f>'Data Sheet'!B1</f>
        <v>ZOMATO LTD</v>
      </c>
      <c r="H1" t="str">
        <f>UPDATE</f>
        <v/>
      </c>
      <c r="J1" s="3"/>
      <c r="K1" s="3"/>
      <c r="M1" s="2" t="s">
        <v>1</v>
      </c>
    </row>
    <row r="3" spans="1:14" s="2" customFormat="1" x14ac:dyDescent="0.3">
      <c r="A3" s="11" t="s">
        <v>2</v>
      </c>
      <c r="B3" s="12">
        <f>'Data Sheet'!B16</f>
        <v>0</v>
      </c>
      <c r="C3" s="12">
        <f>'Data Sheet'!C16</f>
        <v>0</v>
      </c>
      <c r="D3" s="12">
        <f>'Data Sheet'!D16</f>
        <v>0</v>
      </c>
      <c r="E3" s="12">
        <f>'Data Sheet'!E16</f>
        <v>43190</v>
      </c>
      <c r="F3" s="12">
        <f>'Data Sheet'!F16</f>
        <v>43555</v>
      </c>
      <c r="G3" s="12">
        <f>'Data Sheet'!G16</f>
        <v>43921</v>
      </c>
      <c r="H3" s="12">
        <f>'Data Sheet'!H16</f>
        <v>44286</v>
      </c>
      <c r="I3" s="12">
        <f>'Data Sheet'!I16</f>
        <v>44651</v>
      </c>
      <c r="J3" s="12">
        <f>'Data Sheet'!J16</f>
        <v>45016</v>
      </c>
      <c r="K3" s="12">
        <f>'Data Sheet'!K16</f>
        <v>45382</v>
      </c>
      <c r="L3" s="13" t="s">
        <v>3</v>
      </c>
      <c r="M3" s="13" t="s">
        <v>4</v>
      </c>
      <c r="N3" s="13" t="s">
        <v>5</v>
      </c>
    </row>
    <row r="4" spans="1:14" s="2" customFormat="1" x14ac:dyDescent="0.3">
      <c r="A4" s="2" t="s">
        <v>6</v>
      </c>
      <c r="B4" s="1">
        <f>'Data Sheet'!B17</f>
        <v>0</v>
      </c>
      <c r="C4" s="1">
        <f>'Data Sheet'!C17</f>
        <v>0</v>
      </c>
      <c r="D4" s="1">
        <f>'Data Sheet'!D17</f>
        <v>0</v>
      </c>
      <c r="E4" s="1">
        <f>'Data Sheet'!E17</f>
        <v>466.02</v>
      </c>
      <c r="F4" s="1">
        <f>'Data Sheet'!F17</f>
        <v>1312.59</v>
      </c>
      <c r="G4" s="1">
        <f>'Data Sheet'!G17</f>
        <v>2604.7399999999998</v>
      </c>
      <c r="H4" s="1">
        <f>'Data Sheet'!H17</f>
        <v>1993.8</v>
      </c>
      <c r="I4" s="1">
        <f>'Data Sheet'!I17</f>
        <v>4192.3999999999996</v>
      </c>
      <c r="J4" s="1">
        <f>'Data Sheet'!J17</f>
        <v>7079</v>
      </c>
      <c r="K4" s="1">
        <f>'Data Sheet'!K17</f>
        <v>12114</v>
      </c>
      <c r="L4" s="1">
        <f>SUM(Quarters!H4:K4)</f>
        <v>17972</v>
      </c>
      <c r="M4" s="1">
        <f>$K4+M23*K4</f>
        <v>22104.951271747021</v>
      </c>
      <c r="N4" s="1">
        <f>$K4+N23*L4</f>
        <v>22172.323211048177</v>
      </c>
    </row>
    <row r="5" spans="1:14" x14ac:dyDescent="0.3">
      <c r="A5" t="s">
        <v>7</v>
      </c>
      <c r="B5" s="6">
        <f>SUM('Data Sheet'!B18,'Data Sheet'!B20:B24, -1*'Data Sheet'!B19)</f>
        <v>0</v>
      </c>
      <c r="C5" s="6">
        <f>SUM('Data Sheet'!C18,'Data Sheet'!C20:C24, -1*'Data Sheet'!C19)</f>
        <v>0</v>
      </c>
      <c r="D5" s="6">
        <f>SUM('Data Sheet'!D18,'Data Sheet'!D20:D24, -1*'Data Sheet'!D19)</f>
        <v>0</v>
      </c>
      <c r="E5" s="6">
        <f>SUM('Data Sheet'!E18,'Data Sheet'!E20:E24, -1*'Data Sheet'!E19)</f>
        <v>558.47</v>
      </c>
      <c r="F5" s="6">
        <f>SUM('Data Sheet'!F18,'Data Sheet'!F20:F24, -1*'Data Sheet'!F19)</f>
        <v>3556.07</v>
      </c>
      <c r="G5" s="6">
        <f>SUM('Data Sheet'!G18,'Data Sheet'!G20:G24, -1*'Data Sheet'!G19)</f>
        <v>4909.4399999999996</v>
      </c>
      <c r="H5" s="6">
        <f>SUM('Data Sheet'!H18,'Data Sheet'!H20:H24, -1*'Data Sheet'!H19)</f>
        <v>2460.9</v>
      </c>
      <c r="I5" s="6">
        <f>SUM('Data Sheet'!I18,'Data Sheet'!I20:I24, -1*'Data Sheet'!I19)</f>
        <v>6043.2000000000007</v>
      </c>
      <c r="J5" s="6">
        <f>SUM('Data Sheet'!J18,'Data Sheet'!J20:J24, -1*'Data Sheet'!J19)</f>
        <v>8290</v>
      </c>
      <c r="K5" s="6">
        <f>SUM('Data Sheet'!K18,'Data Sheet'!K20:K24, -1*'Data Sheet'!K19)</f>
        <v>12071</v>
      </c>
      <c r="L5" s="6">
        <f>SUM(Quarters!H5:K5)</f>
        <v>17321</v>
      </c>
      <c r="M5" s="6">
        <f t="shared" ref="M5:N5" si="0">M4-M6</f>
        <v>21304.243321718794</v>
      </c>
      <c r="N5" s="6">
        <f t="shared" si="0"/>
        <v>22140.289332967332</v>
      </c>
    </row>
    <row r="6" spans="1:14" s="2" customFormat="1" x14ac:dyDescent="0.3">
      <c r="A6" s="2" t="s">
        <v>8</v>
      </c>
      <c r="B6" s="1">
        <f>B4-B5</f>
        <v>0</v>
      </c>
      <c r="C6" s="1">
        <f t="shared" ref="C6:K6" si="1">C4-C5</f>
        <v>0</v>
      </c>
      <c r="D6" s="1">
        <f t="shared" si="1"/>
        <v>0</v>
      </c>
      <c r="E6" s="1">
        <f t="shared" si="1"/>
        <v>-92.450000000000045</v>
      </c>
      <c r="F6" s="1">
        <f t="shared" si="1"/>
        <v>-2243.4800000000005</v>
      </c>
      <c r="G6" s="1">
        <f t="shared" si="1"/>
        <v>-2304.6999999999998</v>
      </c>
      <c r="H6" s="1">
        <f t="shared" si="1"/>
        <v>-467.10000000000014</v>
      </c>
      <c r="I6" s="1">
        <f t="shared" si="1"/>
        <v>-1850.8000000000011</v>
      </c>
      <c r="J6" s="1">
        <f t="shared" si="1"/>
        <v>-1211</v>
      </c>
      <c r="K6" s="1">
        <f t="shared" si="1"/>
        <v>43</v>
      </c>
      <c r="L6" s="1">
        <f>SUM(Quarters!H6:K6)</f>
        <v>651</v>
      </c>
      <c r="M6" s="1">
        <f>M4*M24</f>
        <v>800.70795002822774</v>
      </c>
      <c r="N6" s="1">
        <f>N4*N24</f>
        <v>32.033878080845611</v>
      </c>
    </row>
    <row r="7" spans="1:14" x14ac:dyDescent="0.3">
      <c r="A7" t="s">
        <v>9</v>
      </c>
      <c r="B7" s="6">
        <f>'Data Sheet'!B25</f>
        <v>0</v>
      </c>
      <c r="C7" s="6">
        <f>'Data Sheet'!C25</f>
        <v>0</v>
      </c>
      <c r="D7" s="6">
        <f>'Data Sheet'!D25</f>
        <v>0</v>
      </c>
      <c r="E7" s="6">
        <f>'Data Sheet'!E25</f>
        <v>21.03</v>
      </c>
      <c r="F7" s="6">
        <f>'Data Sheet'!F25</f>
        <v>1285.05</v>
      </c>
      <c r="G7" s="6">
        <f>'Data Sheet'!G25</f>
        <v>15.97</v>
      </c>
      <c r="H7" s="6">
        <f>'Data Sheet'!H25</f>
        <v>-200.2</v>
      </c>
      <c r="I7" s="6">
        <f>'Data Sheet'!I25</f>
        <v>792.6</v>
      </c>
      <c r="J7" s="6">
        <f>'Data Sheet'!J25</f>
        <v>682</v>
      </c>
      <c r="K7" s="6">
        <f>'Data Sheet'!K25</f>
        <v>846</v>
      </c>
      <c r="L7" s="6">
        <f>SUM(Quarters!H7:K7)</f>
        <v>944</v>
      </c>
      <c r="M7" s="6">
        <v>0</v>
      </c>
      <c r="N7" s="6">
        <v>0</v>
      </c>
    </row>
    <row r="8" spans="1:14" x14ac:dyDescent="0.3">
      <c r="A8" t="s">
        <v>10</v>
      </c>
      <c r="B8" s="6">
        <f>'Data Sheet'!B26</f>
        <v>0</v>
      </c>
      <c r="C8" s="6">
        <f>'Data Sheet'!C26</f>
        <v>0</v>
      </c>
      <c r="D8" s="6">
        <f>'Data Sheet'!D26</f>
        <v>0</v>
      </c>
      <c r="E8" s="6">
        <f>'Data Sheet'!E26</f>
        <v>29.15</v>
      </c>
      <c r="F8" s="6">
        <f>'Data Sheet'!F26</f>
        <v>43.12</v>
      </c>
      <c r="G8" s="6">
        <f>'Data Sheet'!G26</f>
        <v>84.24</v>
      </c>
      <c r="H8" s="6">
        <f>'Data Sheet'!H26</f>
        <v>137.69999999999999</v>
      </c>
      <c r="I8" s="6">
        <f>'Data Sheet'!I26</f>
        <v>150.30000000000001</v>
      </c>
      <c r="J8" s="6">
        <f>'Data Sheet'!J26</f>
        <v>437</v>
      </c>
      <c r="K8" s="6">
        <f>'Data Sheet'!K26</f>
        <v>526</v>
      </c>
      <c r="L8" s="6">
        <f>SUM(Quarters!H8:K8)</f>
        <v>716</v>
      </c>
      <c r="M8" s="6">
        <f>+$L8</f>
        <v>716</v>
      </c>
      <c r="N8" s="6">
        <f>+$L8</f>
        <v>716</v>
      </c>
    </row>
    <row r="9" spans="1:14" x14ac:dyDescent="0.3">
      <c r="A9" t="s">
        <v>11</v>
      </c>
      <c r="B9" s="6">
        <f>'Data Sheet'!B27</f>
        <v>0</v>
      </c>
      <c r="C9" s="6">
        <f>'Data Sheet'!C27</f>
        <v>0</v>
      </c>
      <c r="D9" s="6">
        <f>'Data Sheet'!D27</f>
        <v>0</v>
      </c>
      <c r="E9" s="6">
        <f>'Data Sheet'!E27</f>
        <v>6.35</v>
      </c>
      <c r="F9" s="6">
        <f>'Data Sheet'!F27</f>
        <v>8.69</v>
      </c>
      <c r="G9" s="6">
        <f>'Data Sheet'!G27</f>
        <v>12.64</v>
      </c>
      <c r="H9" s="6">
        <f>'Data Sheet'!H27</f>
        <v>10.1</v>
      </c>
      <c r="I9" s="6">
        <f>'Data Sheet'!I27</f>
        <v>12</v>
      </c>
      <c r="J9" s="6">
        <f>'Data Sheet'!J27</f>
        <v>49</v>
      </c>
      <c r="K9" s="6">
        <f>'Data Sheet'!K27</f>
        <v>72</v>
      </c>
      <c r="L9" s="6">
        <f>SUM(Quarters!H9:K9)</f>
        <v>118</v>
      </c>
      <c r="M9" s="6">
        <f>+$L9</f>
        <v>118</v>
      </c>
      <c r="N9" s="6">
        <f>+$L9</f>
        <v>118</v>
      </c>
    </row>
    <row r="10" spans="1:14" x14ac:dyDescent="0.3">
      <c r="A10" t="s">
        <v>12</v>
      </c>
      <c r="B10" s="6">
        <f>'Data Sheet'!B28</f>
        <v>0</v>
      </c>
      <c r="C10" s="6">
        <f>'Data Sheet'!C28</f>
        <v>0</v>
      </c>
      <c r="D10" s="6">
        <f>'Data Sheet'!D28</f>
        <v>0</v>
      </c>
      <c r="E10" s="6">
        <f>'Data Sheet'!E28</f>
        <v>-106.92</v>
      </c>
      <c r="F10" s="6">
        <f>'Data Sheet'!F28</f>
        <v>-1010.24</v>
      </c>
      <c r="G10" s="6">
        <f>'Data Sheet'!G28</f>
        <v>-2385.61</v>
      </c>
      <c r="H10" s="6">
        <f>'Data Sheet'!H28</f>
        <v>-815.1</v>
      </c>
      <c r="I10" s="6">
        <f>'Data Sheet'!I28</f>
        <v>-1220.5</v>
      </c>
      <c r="J10" s="6">
        <f>'Data Sheet'!J28</f>
        <v>-1015</v>
      </c>
      <c r="K10" s="6">
        <f>'Data Sheet'!K28</f>
        <v>291</v>
      </c>
      <c r="L10" s="6">
        <f>SUM(Quarters!H10:K10)</f>
        <v>761</v>
      </c>
      <c r="M10" s="6">
        <f>M6+M7-SUM(M8:M9)</f>
        <v>-33.292049971772258</v>
      </c>
      <c r="N10" s="6">
        <f>N6+N7-SUM(N8:N9)</f>
        <v>-801.96612191915438</v>
      </c>
    </row>
    <row r="11" spans="1:14" x14ac:dyDescent="0.3">
      <c r="A11" t="s">
        <v>13</v>
      </c>
      <c r="B11" s="6">
        <f>'Data Sheet'!B29</f>
        <v>0</v>
      </c>
      <c r="C11" s="6">
        <f>'Data Sheet'!C29</f>
        <v>0</v>
      </c>
      <c r="D11" s="6">
        <f>'Data Sheet'!D29</f>
        <v>0</v>
      </c>
      <c r="E11" s="6">
        <f>'Data Sheet'!E29</f>
        <v>0</v>
      </c>
      <c r="F11" s="6">
        <f>'Data Sheet'!F29</f>
        <v>0</v>
      </c>
      <c r="G11" s="6">
        <f>'Data Sheet'!G29</f>
        <v>0</v>
      </c>
      <c r="H11" s="6">
        <f>'Data Sheet'!H29</f>
        <v>1.3</v>
      </c>
      <c r="I11" s="6">
        <f>'Data Sheet'!I29</f>
        <v>2</v>
      </c>
      <c r="J11" s="6">
        <f>'Data Sheet'!J29</f>
        <v>-44</v>
      </c>
      <c r="K11" s="6">
        <f>'Data Sheet'!K29</f>
        <v>-60</v>
      </c>
      <c r="L11" s="6">
        <f>SUM(Quarters!H11:K11)</f>
        <v>98</v>
      </c>
      <c r="M11" s="7">
        <f>IF($L10&gt;0,$L11/$L10,0)</f>
        <v>0.1287779237844941</v>
      </c>
      <c r="N11" s="7">
        <f>IF($L10&gt;0,$L11/$L10,0)</f>
        <v>0.1287779237844941</v>
      </c>
    </row>
    <row r="12" spans="1:14" s="2" customFormat="1" x14ac:dyDescent="0.3">
      <c r="A12" s="2" t="s">
        <v>14</v>
      </c>
      <c r="B12" s="1">
        <f>'Data Sheet'!B30</f>
        <v>0</v>
      </c>
      <c r="C12" s="1">
        <f>'Data Sheet'!C30</f>
        <v>0</v>
      </c>
      <c r="D12" s="1">
        <f>'Data Sheet'!D30</f>
        <v>0</v>
      </c>
      <c r="E12" s="1">
        <f>'Data Sheet'!E30</f>
        <v>-103.68</v>
      </c>
      <c r="F12" s="1">
        <f>'Data Sheet'!F30</f>
        <v>-964.95</v>
      </c>
      <c r="G12" s="1">
        <f>'Data Sheet'!G30</f>
        <v>-2367.16</v>
      </c>
      <c r="H12" s="1">
        <f>'Data Sheet'!H30</f>
        <v>-812.8</v>
      </c>
      <c r="I12" s="1">
        <f>'Data Sheet'!I30</f>
        <v>-1208.7</v>
      </c>
      <c r="J12" s="1">
        <f>'Data Sheet'!J30</f>
        <v>-971</v>
      </c>
      <c r="K12" s="1">
        <f>'Data Sheet'!K30</f>
        <v>351</v>
      </c>
      <c r="L12" s="1">
        <f>SUM(Quarters!H12:K12)</f>
        <v>663</v>
      </c>
      <c r="M12" s="1">
        <f>M10-M11*M10</f>
        <v>-29.004768897877803</v>
      </c>
      <c r="N12" s="1">
        <f>N10-N11*N10</f>
        <v>-698.69058979290321</v>
      </c>
    </row>
    <row r="13" spans="1:14" x14ac:dyDescent="0.3">
      <c r="A13" t="s">
        <v>57</v>
      </c>
      <c r="B13" s="6">
        <f>IF('Data Sheet'!B93&gt;0,B12/'Data Sheet'!B93,0)</f>
        <v>0</v>
      </c>
      <c r="C13" s="6">
        <f>IF('Data Sheet'!C93&gt;0,C12/'Data Sheet'!C93,0)</f>
        <v>0</v>
      </c>
      <c r="D13" s="6">
        <f>IF('Data Sheet'!D93&gt;0,D12/'Data Sheet'!D93,0)</f>
        <v>0</v>
      </c>
      <c r="E13" s="6">
        <f>IF('Data Sheet'!E93&gt;0,E12/'Data Sheet'!E93,0)</f>
        <v>-3456.0000000000005</v>
      </c>
      <c r="F13" s="6">
        <f>IF('Data Sheet'!F93&gt;0,F12/'Data Sheet'!F93,0)</f>
        <v>-32165.000000000004</v>
      </c>
      <c r="G13" s="6">
        <f>IF('Data Sheet'!G93&gt;0,G12/'Data Sheet'!G93,0)</f>
        <v>-78905.333333333328</v>
      </c>
      <c r="H13" s="6">
        <f>IF('Data Sheet'!H93&gt;0,H12/'Data Sheet'!H93,0)</f>
        <v>-20320</v>
      </c>
      <c r="I13" s="6">
        <f>IF('Data Sheet'!I93&gt;0,I12/'Data Sheet'!I93,0)</f>
        <v>-1.5354615785261498</v>
      </c>
      <c r="J13" s="6">
        <f>IF('Data Sheet'!J93&gt;0,J12/'Data Sheet'!J93,0)</f>
        <v>-1.1352078096685567</v>
      </c>
      <c r="K13" s="6">
        <f>IF('Data Sheet'!K93&gt;0,K12/'Data Sheet'!K93,0)</f>
        <v>0.39796820789587067</v>
      </c>
      <c r="L13" s="6">
        <f>IF('Data Sheet'!$B6&gt;0,'Profit &amp; Loss'!L12/'Data Sheet'!$B6,0)</f>
        <v>0.68756133976673384</v>
      </c>
      <c r="M13" s="6">
        <f>IF('Data Sheet'!$B6&gt;0,'Profit &amp; Loss'!M12/'Data Sheet'!$B6,0)</f>
        <v>-3.0079272644116674E-2</v>
      </c>
      <c r="N13" s="6">
        <f>IF('Data Sheet'!$B6&gt;0,'Profit &amp; Loss'!N12/'Data Sheet'!$B6,0)</f>
        <v>-0.724574114631098</v>
      </c>
    </row>
    <row r="14" spans="1:14" x14ac:dyDescent="0.3">
      <c r="A14" t="s">
        <v>16</v>
      </c>
      <c r="B14" s="6" t="str">
        <f>IF(B15&gt;0,B15/B13,"")</f>
        <v/>
      </c>
      <c r="C14" s="6" t="str">
        <f t="shared" ref="C14:K14" si="2">IF(C15&gt;0,C15/C13,"")</f>
        <v/>
      </c>
      <c r="D14" s="6" t="str">
        <f t="shared" si="2"/>
        <v/>
      </c>
      <c r="E14" s="6" t="str">
        <f t="shared" si="2"/>
        <v/>
      </c>
      <c r="F14" s="6" t="str">
        <f t="shared" si="2"/>
        <v/>
      </c>
      <c r="G14" s="6" t="str">
        <f t="shared" si="2"/>
        <v/>
      </c>
      <c r="H14" s="6" t="str">
        <f t="shared" si="2"/>
        <v/>
      </c>
      <c r="I14" s="6">
        <f t="shared" si="2"/>
        <v>-53.599517663605532</v>
      </c>
      <c r="J14" s="6">
        <f t="shared" si="2"/>
        <v>-44.92569515962925</v>
      </c>
      <c r="K14" s="6">
        <f t="shared" si="2"/>
        <v>457.5742393162393</v>
      </c>
      <c r="L14" s="6">
        <f t="shared" ref="L14" si="3">IF(L13&gt;0,L15/L13,0)</f>
        <v>317.3389592760181</v>
      </c>
      <c r="M14" s="6">
        <f>M25</f>
        <v>387.45659929612873</v>
      </c>
      <c r="N14" s="6">
        <f>N25</f>
        <v>317.3389592760181</v>
      </c>
    </row>
    <row r="15" spans="1:14" s="2" customFormat="1" x14ac:dyDescent="0.3">
      <c r="A15" s="2" t="s">
        <v>58</v>
      </c>
      <c r="B15" s="1">
        <f>'Data Sheet'!B90</f>
        <v>0</v>
      </c>
      <c r="C15" s="1">
        <f>'Data Sheet'!C90</f>
        <v>0</v>
      </c>
      <c r="D15" s="1">
        <f>'Data Sheet'!D90</f>
        <v>0</v>
      </c>
      <c r="E15" s="1">
        <f>'Data Sheet'!E90</f>
        <v>0</v>
      </c>
      <c r="F15" s="1">
        <f>'Data Sheet'!F90</f>
        <v>0</v>
      </c>
      <c r="G15" s="1">
        <f>'Data Sheet'!G90</f>
        <v>0</v>
      </c>
      <c r="H15" s="1">
        <f>'Data Sheet'!H90</f>
        <v>0</v>
      </c>
      <c r="I15" s="1">
        <f>'Data Sheet'!I90</f>
        <v>82.3</v>
      </c>
      <c r="J15" s="1">
        <f>'Data Sheet'!J90</f>
        <v>51</v>
      </c>
      <c r="K15" s="1">
        <f>'Data Sheet'!K90</f>
        <v>182.1</v>
      </c>
      <c r="L15" s="1">
        <f>'Data Sheet'!B8</f>
        <v>218.19</v>
      </c>
      <c r="M15" s="8">
        <f>M13*M14</f>
        <v>-11.65441268799052</v>
      </c>
      <c r="N15" s="9">
        <f>N13*N14</f>
        <v>-229.93559545537488</v>
      </c>
    </row>
    <row r="17" spans="1:14" s="2" customFormat="1" x14ac:dyDescent="0.3">
      <c r="A17" s="2" t="s">
        <v>15</v>
      </c>
    </row>
    <row r="18" spans="1:14" x14ac:dyDescent="0.3">
      <c r="A18" t="s">
        <v>17</v>
      </c>
      <c r="B18" s="5">
        <f>IF('Data Sheet'!B30&gt;0, 'Data Sheet'!B31/'Data Sheet'!B30, 0)</f>
        <v>0</v>
      </c>
      <c r="C18" s="5">
        <f>IF('Data Sheet'!C30&gt;0, 'Data Sheet'!C31/'Data Sheet'!C30, 0)</f>
        <v>0</v>
      </c>
      <c r="D18" s="5">
        <f>IF('Data Sheet'!D30&gt;0, 'Data Sheet'!D31/'Data Sheet'!D30, 0)</f>
        <v>0</v>
      </c>
      <c r="E18" s="5">
        <f>IF('Data Sheet'!E30&gt;0, 'Data Sheet'!E31/'Data Sheet'!E30, 0)</f>
        <v>0</v>
      </c>
      <c r="F18" s="5">
        <f>IF('Data Sheet'!F30&gt;0, 'Data Sheet'!F31/'Data Sheet'!F30, 0)</f>
        <v>0</v>
      </c>
      <c r="G18" s="5">
        <f>IF('Data Sheet'!G30&gt;0, 'Data Sheet'!G31/'Data Sheet'!G30, 0)</f>
        <v>0</v>
      </c>
      <c r="H18" s="5">
        <f>IF('Data Sheet'!H30&gt;0, 'Data Sheet'!H31/'Data Sheet'!H30, 0)</f>
        <v>0</v>
      </c>
      <c r="I18" s="5">
        <f>IF('Data Sheet'!I30&gt;0, 'Data Sheet'!I31/'Data Sheet'!I30, 0)</f>
        <v>0</v>
      </c>
      <c r="J18" s="5">
        <f>IF('Data Sheet'!J30&gt;0, 'Data Sheet'!J31/'Data Sheet'!J30, 0)</f>
        <v>0</v>
      </c>
      <c r="K18" s="5">
        <f>IF('Data Sheet'!K30&gt;0, 'Data Sheet'!K31/'Data Sheet'!K30, 0)</f>
        <v>0</v>
      </c>
    </row>
    <row r="19" spans="1:14" x14ac:dyDescent="0.3">
      <c r="A19" t="s">
        <v>18</v>
      </c>
      <c r="B19" s="5">
        <f t="shared" ref="B19:L19" si="4">IF(B6&gt;0,B6/B4,0)</f>
        <v>0</v>
      </c>
      <c r="C19" s="5">
        <f t="shared" ref="C19:K19" si="5">IF(C6&gt;0,C6/C4,0)</f>
        <v>0</v>
      </c>
      <c r="D19" s="5">
        <f t="shared" si="5"/>
        <v>0</v>
      </c>
      <c r="E19" s="5">
        <f t="shared" si="5"/>
        <v>0</v>
      </c>
      <c r="F19" s="5">
        <f t="shared" si="5"/>
        <v>0</v>
      </c>
      <c r="G19" s="5">
        <f t="shared" si="5"/>
        <v>0</v>
      </c>
      <c r="H19" s="5">
        <f t="shared" si="5"/>
        <v>0</v>
      </c>
      <c r="I19" s="5">
        <f t="shared" si="5"/>
        <v>0</v>
      </c>
      <c r="J19" s="5">
        <f t="shared" si="5"/>
        <v>0</v>
      </c>
      <c r="K19" s="5">
        <f t="shared" si="5"/>
        <v>3.549612019151395E-3</v>
      </c>
      <c r="L19" s="5">
        <f t="shared" si="4"/>
        <v>3.6223013576674824E-2</v>
      </c>
    </row>
    <row r="20" spans="1:14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3">
      <c r="A23"/>
      <c r="B23"/>
      <c r="C23"/>
      <c r="D23"/>
      <c r="E23"/>
      <c r="F23"/>
      <c r="G23" t="s">
        <v>22</v>
      </c>
      <c r="H23" s="5" t="str">
        <f>IF(B4=0,"",POWER($K4/B4,1/9)-1)</f>
        <v/>
      </c>
      <c r="I23" s="5" t="str">
        <f>IF(D4=0,"",POWER($K4/D4,1/7)-1)</f>
        <v/>
      </c>
      <c r="J23" s="5">
        <f>IF(F4=0,"",POWER($K4/F4,1/5)-1)</f>
        <v>0.55966632600980293</v>
      </c>
      <c r="K23" s="5">
        <f>IF(H4=0,"",POWER($K4/H4, 1/3)-1)</f>
        <v>0.82474420271974758</v>
      </c>
      <c r="L23" s="5">
        <f>IF(ISERROR(MAX(IF(J4=0,"",(K4-J4)/J4),IF(K4=0,"",(L4-K4)/K4))),"",MAX(IF(J4=0,"",(K4-J4)/J4),IF(K4=0,"",(L4-K4)/K4)))</f>
        <v>0.71125865235202712</v>
      </c>
      <c r="M23" s="16">
        <f>MAX(K23:L23)</f>
        <v>0.82474420271974758</v>
      </c>
      <c r="N23" s="16">
        <f>MIN(H23:L23)</f>
        <v>0.55966632600980293</v>
      </c>
    </row>
    <row r="24" spans="1:14" x14ac:dyDescent="0.3">
      <c r="G24" t="s">
        <v>18</v>
      </c>
      <c r="H24" s="5">
        <f>IF(SUM(B4:$K$4)=0,"",SUMPRODUCT(B19:$K$19,B4:$K$4)/SUM(B4:$K$4))</f>
        <v>1.4447686774150736E-3</v>
      </c>
      <c r="I24" s="5">
        <f>IF(SUM(E4:$K$4)=0,"",SUMPRODUCT(E19:$K$19,E4:$K$4)/SUM(E4:$K$4))</f>
        <v>1.4447686774150736E-3</v>
      </c>
      <c r="J24" s="5">
        <f>IF(SUM(G4:$K$4)=0,"",SUMPRODUCT(G19:$K$19,G4:$K$4)/SUM(G4:$K$4))</f>
        <v>1.5365956330666804E-3</v>
      </c>
      <c r="K24" s="5">
        <f>IF(SUM(I4:$K$4)=0, "", SUMPRODUCT(I19:$K$19,I4:$K$4)/SUM(I4:$K$4))</f>
        <v>1.8387540944349893E-3</v>
      </c>
      <c r="L24" s="5">
        <f>L19</f>
        <v>3.6223013576674824E-2</v>
      </c>
      <c r="M24" s="16">
        <f>MAX(K24:L24)</f>
        <v>3.6223013576674824E-2</v>
      </c>
      <c r="N24" s="16">
        <f>MIN(H24:L24)</f>
        <v>1.4447686774150736E-3</v>
      </c>
    </row>
    <row r="25" spans="1:14" x14ac:dyDescent="0.3">
      <c r="G25" t="s">
        <v>23</v>
      </c>
      <c r="H25" s="6">
        <f>IF(ISERROR(AVERAGEIF(B14:$L14,"&gt;0")),"",AVERAGEIF(B14:$L14,"&gt;0"))</f>
        <v>387.45659929612873</v>
      </c>
      <c r="I25" s="6">
        <f>IF(ISERROR(AVERAGEIF(E14:$L14,"&gt;0")),"",AVERAGEIF(E14:$L14,"&gt;0"))</f>
        <v>387.45659929612873</v>
      </c>
      <c r="J25" s="6">
        <f>IF(ISERROR(AVERAGEIF(G14:$L14,"&gt;0")),"",AVERAGEIF(G14:$L14,"&gt;0"))</f>
        <v>387.45659929612873</v>
      </c>
      <c r="K25" s="6">
        <f>IF(ISERROR(AVERAGEIF(I14:$L14,"&gt;0")),"",AVERAGEIF(I14:$L14,"&gt;0"))</f>
        <v>387.45659929612873</v>
      </c>
      <c r="L25" s="6">
        <f>L14</f>
        <v>317.3389592760181</v>
      </c>
      <c r="M25" s="1">
        <f>MAX(K25:L25)</f>
        <v>387.45659929612873</v>
      </c>
      <c r="N25" s="1">
        <f>MIN(H25:L25)</f>
        <v>317.3389592760181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0.6640625" customWidth="1"/>
    <col min="2" max="11" width="13.44140625" bestFit="1" customWidth="1"/>
  </cols>
  <sheetData>
    <row r="1" spans="1:11" s="2" customFormat="1" x14ac:dyDescent="0.3">
      <c r="A1" s="2" t="str">
        <f>'Profit &amp; Loss'!A1</f>
        <v>ZOMATO LTD</v>
      </c>
      <c r="E1" t="str">
        <f>UPDATE</f>
        <v/>
      </c>
      <c r="J1" s="2" t="s">
        <v>1</v>
      </c>
    </row>
    <row r="3" spans="1:11" s="2" customFormat="1" x14ac:dyDescent="0.3">
      <c r="A3" s="11" t="s">
        <v>2</v>
      </c>
      <c r="B3" s="12">
        <f>'Data Sheet'!B41</f>
        <v>44834</v>
      </c>
      <c r="C3" s="12">
        <f>'Data Sheet'!C41</f>
        <v>44926</v>
      </c>
      <c r="D3" s="12">
        <f>'Data Sheet'!D41</f>
        <v>45016</v>
      </c>
      <c r="E3" s="12">
        <f>'Data Sheet'!E41</f>
        <v>45107</v>
      </c>
      <c r="F3" s="12">
        <f>'Data Sheet'!F41</f>
        <v>45199</v>
      </c>
      <c r="G3" s="12">
        <f>'Data Sheet'!G41</f>
        <v>45291</v>
      </c>
      <c r="H3" s="12">
        <f>'Data Sheet'!H41</f>
        <v>45382</v>
      </c>
      <c r="I3" s="12">
        <f>'Data Sheet'!I41</f>
        <v>45473</v>
      </c>
      <c r="J3" s="12">
        <f>'Data Sheet'!J41</f>
        <v>45565</v>
      </c>
      <c r="K3" s="12">
        <f>'Data Sheet'!K41</f>
        <v>45657</v>
      </c>
    </row>
    <row r="4" spans="1:11" s="2" customFormat="1" x14ac:dyDescent="0.3">
      <c r="A4" s="2" t="s">
        <v>6</v>
      </c>
      <c r="B4" s="1">
        <f>'Data Sheet'!B42</f>
        <v>1661</v>
      </c>
      <c r="C4" s="1">
        <f>'Data Sheet'!C42</f>
        <v>1948.2</v>
      </c>
      <c r="D4" s="1">
        <f>'Data Sheet'!D42</f>
        <v>2056</v>
      </c>
      <c r="E4" s="1">
        <f>'Data Sheet'!E42</f>
        <v>2416</v>
      </c>
      <c r="F4" s="1">
        <f>'Data Sheet'!F42</f>
        <v>2848</v>
      </c>
      <c r="G4" s="1">
        <f>'Data Sheet'!G42</f>
        <v>3288</v>
      </c>
      <c r="H4" s="1">
        <f>'Data Sheet'!H42</f>
        <v>3562</v>
      </c>
      <c r="I4" s="1">
        <f>'Data Sheet'!I42</f>
        <v>4206</v>
      </c>
      <c r="J4" s="1">
        <f>'Data Sheet'!J42</f>
        <v>4799</v>
      </c>
      <c r="K4" s="1">
        <f>'Data Sheet'!K42</f>
        <v>5405</v>
      </c>
    </row>
    <row r="5" spans="1:11" x14ac:dyDescent="0.3">
      <c r="A5" t="s">
        <v>7</v>
      </c>
      <c r="B5" s="6">
        <f>'Data Sheet'!B43</f>
        <v>1973</v>
      </c>
      <c r="C5" s="6">
        <f>'Data Sheet'!C43</f>
        <v>2314.4</v>
      </c>
      <c r="D5" s="6">
        <f>'Data Sheet'!D43</f>
        <v>2282</v>
      </c>
      <c r="E5" s="6">
        <f>'Data Sheet'!E43</f>
        <v>2464</v>
      </c>
      <c r="F5" s="6">
        <f>'Data Sheet'!F43</f>
        <v>2895</v>
      </c>
      <c r="G5" s="6">
        <f>'Data Sheet'!G43</f>
        <v>3237</v>
      </c>
      <c r="H5" s="6">
        <f>'Data Sheet'!H43</f>
        <v>3476</v>
      </c>
      <c r="I5" s="6">
        <f>'Data Sheet'!I43</f>
        <v>4029</v>
      </c>
      <c r="J5" s="6">
        <f>'Data Sheet'!J43</f>
        <v>4573</v>
      </c>
      <c r="K5" s="6">
        <f>'Data Sheet'!K43</f>
        <v>5243</v>
      </c>
    </row>
    <row r="6" spans="1:11" s="2" customFormat="1" x14ac:dyDescent="0.3">
      <c r="A6" s="2" t="s">
        <v>8</v>
      </c>
      <c r="B6" s="1">
        <f>'Data Sheet'!B50</f>
        <v>-312</v>
      </c>
      <c r="C6" s="1">
        <f>'Data Sheet'!C50</f>
        <v>-366.2</v>
      </c>
      <c r="D6" s="1">
        <f>'Data Sheet'!D50</f>
        <v>-226</v>
      </c>
      <c r="E6" s="1">
        <f>'Data Sheet'!E50</f>
        <v>-48</v>
      </c>
      <c r="F6" s="1">
        <f>'Data Sheet'!F50</f>
        <v>-47</v>
      </c>
      <c r="G6" s="1">
        <f>'Data Sheet'!G50</f>
        <v>51</v>
      </c>
      <c r="H6" s="1">
        <f>'Data Sheet'!H50</f>
        <v>86</v>
      </c>
      <c r="I6" s="1">
        <f>'Data Sheet'!I50</f>
        <v>177</v>
      </c>
      <c r="J6" s="1">
        <f>'Data Sheet'!J50</f>
        <v>226</v>
      </c>
      <c r="K6" s="1">
        <f>'Data Sheet'!K50</f>
        <v>162</v>
      </c>
    </row>
    <row r="7" spans="1:11" x14ac:dyDescent="0.3">
      <c r="A7" t="s">
        <v>9</v>
      </c>
      <c r="B7" s="6">
        <f>'Data Sheet'!B44</f>
        <v>170</v>
      </c>
      <c r="C7" s="6">
        <f>'Data Sheet'!C44</f>
        <v>173.4</v>
      </c>
      <c r="D7" s="6">
        <f>'Data Sheet'!D44</f>
        <v>171</v>
      </c>
      <c r="E7" s="6">
        <f>'Data Sheet'!E44</f>
        <v>181</v>
      </c>
      <c r="F7" s="6">
        <f>'Data Sheet'!F44</f>
        <v>212</v>
      </c>
      <c r="G7" s="6">
        <f>'Data Sheet'!G44</f>
        <v>219</v>
      </c>
      <c r="H7" s="6">
        <f>'Data Sheet'!H44</f>
        <v>235</v>
      </c>
      <c r="I7" s="6">
        <f>'Data Sheet'!I44</f>
        <v>236</v>
      </c>
      <c r="J7" s="6">
        <f>'Data Sheet'!J44</f>
        <v>221</v>
      </c>
      <c r="K7" s="6">
        <f>'Data Sheet'!K44</f>
        <v>252</v>
      </c>
    </row>
    <row r="8" spans="1:11" x14ac:dyDescent="0.3">
      <c r="A8" t="s">
        <v>10</v>
      </c>
      <c r="B8" s="6">
        <f>'Data Sheet'!B45</f>
        <v>107</v>
      </c>
      <c r="C8" s="6">
        <f>'Data Sheet'!C45</f>
        <v>154.80000000000001</v>
      </c>
      <c r="D8" s="6">
        <f>'Data Sheet'!D45</f>
        <v>134</v>
      </c>
      <c r="E8" s="6">
        <f>'Data Sheet'!E45</f>
        <v>130</v>
      </c>
      <c r="F8" s="6">
        <f>'Data Sheet'!F45</f>
        <v>128</v>
      </c>
      <c r="G8" s="6">
        <f>'Data Sheet'!G45</f>
        <v>128</v>
      </c>
      <c r="H8" s="6">
        <f>'Data Sheet'!H45</f>
        <v>140</v>
      </c>
      <c r="I8" s="6">
        <f>'Data Sheet'!I45</f>
        <v>149</v>
      </c>
      <c r="J8" s="6">
        <f>'Data Sheet'!J45</f>
        <v>180</v>
      </c>
      <c r="K8" s="6">
        <f>'Data Sheet'!K45</f>
        <v>247</v>
      </c>
    </row>
    <row r="9" spans="1:11" x14ac:dyDescent="0.3">
      <c r="A9" t="s">
        <v>11</v>
      </c>
      <c r="B9" s="6">
        <f>'Data Sheet'!B46</f>
        <v>12</v>
      </c>
      <c r="C9" s="6">
        <f>'Data Sheet'!C46</f>
        <v>16.100000000000001</v>
      </c>
      <c r="D9" s="6">
        <f>'Data Sheet'!D46</f>
        <v>15</v>
      </c>
      <c r="E9" s="6">
        <f>'Data Sheet'!E46</f>
        <v>18</v>
      </c>
      <c r="F9" s="6">
        <f>'Data Sheet'!F46</f>
        <v>16</v>
      </c>
      <c r="G9" s="6">
        <f>'Data Sheet'!G46</f>
        <v>18</v>
      </c>
      <c r="H9" s="6">
        <f>'Data Sheet'!H46</f>
        <v>20</v>
      </c>
      <c r="I9" s="6">
        <f>'Data Sheet'!I46</f>
        <v>25</v>
      </c>
      <c r="J9" s="6">
        <f>'Data Sheet'!J46</f>
        <v>30</v>
      </c>
      <c r="K9" s="6">
        <f>'Data Sheet'!K46</f>
        <v>43</v>
      </c>
    </row>
    <row r="10" spans="1:11" x14ac:dyDescent="0.3">
      <c r="A10" t="s">
        <v>12</v>
      </c>
      <c r="B10" s="6">
        <f>'Data Sheet'!B47</f>
        <v>-261</v>
      </c>
      <c r="C10" s="6">
        <f>'Data Sheet'!C47</f>
        <v>-363.7</v>
      </c>
      <c r="D10" s="6">
        <f>'Data Sheet'!D47</f>
        <v>-204</v>
      </c>
      <c r="E10" s="6">
        <f>'Data Sheet'!E47</f>
        <v>-15</v>
      </c>
      <c r="F10" s="6">
        <f>'Data Sheet'!F47</f>
        <v>21</v>
      </c>
      <c r="G10" s="6">
        <f>'Data Sheet'!G47</f>
        <v>124</v>
      </c>
      <c r="H10" s="6">
        <f>'Data Sheet'!H47</f>
        <v>161</v>
      </c>
      <c r="I10" s="6">
        <f>'Data Sheet'!I47</f>
        <v>239</v>
      </c>
      <c r="J10" s="6">
        <f>'Data Sheet'!J47</f>
        <v>237</v>
      </c>
      <c r="K10" s="6">
        <f>'Data Sheet'!K47</f>
        <v>124</v>
      </c>
    </row>
    <row r="11" spans="1:11" x14ac:dyDescent="0.3">
      <c r="A11" t="s">
        <v>13</v>
      </c>
      <c r="B11" s="6">
        <f>'Data Sheet'!B48</f>
        <v>-10</v>
      </c>
      <c r="C11" s="6">
        <f>'Data Sheet'!C48</f>
        <v>-17.100000000000001</v>
      </c>
      <c r="D11" s="6">
        <f>'Data Sheet'!D48</f>
        <v>-16</v>
      </c>
      <c r="E11" s="6">
        <f>'Data Sheet'!E48</f>
        <v>-17</v>
      </c>
      <c r="F11" s="6">
        <f>'Data Sheet'!F48</f>
        <v>-15</v>
      </c>
      <c r="G11" s="6">
        <f>'Data Sheet'!G48</f>
        <v>-14</v>
      </c>
      <c r="H11" s="6">
        <f>'Data Sheet'!H48</f>
        <v>-14</v>
      </c>
      <c r="I11" s="6">
        <f>'Data Sheet'!I48</f>
        <v>-14</v>
      </c>
      <c r="J11" s="6">
        <f>'Data Sheet'!J48</f>
        <v>61</v>
      </c>
      <c r="K11" s="6">
        <f>'Data Sheet'!K48</f>
        <v>65</v>
      </c>
    </row>
    <row r="12" spans="1:11" s="2" customFormat="1" x14ac:dyDescent="0.3">
      <c r="A12" s="2" t="s">
        <v>14</v>
      </c>
      <c r="B12" s="1">
        <f>'Data Sheet'!B49</f>
        <v>-251</v>
      </c>
      <c r="C12" s="1">
        <f>'Data Sheet'!C49</f>
        <v>-346.6</v>
      </c>
      <c r="D12" s="1">
        <f>'Data Sheet'!D49</f>
        <v>-189</v>
      </c>
      <c r="E12" s="1">
        <f>'Data Sheet'!E49</f>
        <v>2</v>
      </c>
      <c r="F12" s="1">
        <f>'Data Sheet'!F49</f>
        <v>36</v>
      </c>
      <c r="G12" s="1">
        <f>'Data Sheet'!G49</f>
        <v>138</v>
      </c>
      <c r="H12" s="1">
        <f>'Data Sheet'!H49</f>
        <v>175</v>
      </c>
      <c r="I12" s="1">
        <f>'Data Sheet'!I49</f>
        <v>253</v>
      </c>
      <c r="J12" s="1">
        <f>'Data Sheet'!J49</f>
        <v>176</v>
      </c>
      <c r="K12" s="1">
        <f>'Data Sheet'!K49</f>
        <v>59</v>
      </c>
    </row>
    <row r="14" spans="1:11" s="2" customFormat="1" x14ac:dyDescent="0.3">
      <c r="A14" s="2" t="s">
        <v>18</v>
      </c>
      <c r="B14" s="10">
        <f>IF(B4&gt;0,B6/B4,"")</f>
        <v>-0.18783865141481035</v>
      </c>
      <c r="C14" s="10">
        <f t="shared" ref="C14:K14" si="0">IF(C4&gt;0,C6/C4,"")</f>
        <v>-0.18796838106970537</v>
      </c>
      <c r="D14" s="10">
        <f t="shared" si="0"/>
        <v>-0.10992217898832685</v>
      </c>
      <c r="E14" s="10">
        <f t="shared" si="0"/>
        <v>-1.9867549668874173E-2</v>
      </c>
      <c r="F14" s="10">
        <f t="shared" si="0"/>
        <v>-1.6502808988764044E-2</v>
      </c>
      <c r="G14" s="10">
        <f t="shared" si="0"/>
        <v>1.5510948905109489E-2</v>
      </c>
      <c r="H14" s="10">
        <f t="shared" si="0"/>
        <v>2.4143739472206625E-2</v>
      </c>
      <c r="I14" s="10">
        <f t="shared" si="0"/>
        <v>4.2082738944365192E-2</v>
      </c>
      <c r="J14" s="10">
        <f t="shared" si="0"/>
        <v>4.7093144405084393E-2</v>
      </c>
      <c r="K14" s="10">
        <f t="shared" si="0"/>
        <v>2.9972247918593896E-2</v>
      </c>
    </row>
    <row r="22" s="23" customFormat="1" x14ac:dyDescent="0.3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77734375" defaultRowHeight="14.4" x14ac:dyDescent="0.3"/>
  <cols>
    <col min="1" max="1" width="22.77734375" bestFit="1" customWidth="1"/>
    <col min="2" max="2" width="13.44140625" customWidth="1"/>
    <col min="3" max="11" width="15.44140625" customWidth="1"/>
  </cols>
  <sheetData>
    <row r="1" spans="1:11" s="2" customFormat="1" x14ac:dyDescent="0.3">
      <c r="A1" s="2" t="str">
        <f>'Profit &amp; Loss'!A1</f>
        <v>ZOMATO LTD</v>
      </c>
      <c r="E1" t="str">
        <f>UPDATE</f>
        <v/>
      </c>
      <c r="G1"/>
      <c r="J1" s="2" t="s">
        <v>1</v>
      </c>
    </row>
    <row r="2" spans="1:11" x14ac:dyDescent="0.3">
      <c r="G2" s="2"/>
      <c r="H2" s="2"/>
    </row>
    <row r="3" spans="1:11" x14ac:dyDescent="0.3">
      <c r="A3" s="11" t="s">
        <v>2</v>
      </c>
      <c r="B3" s="12">
        <f>'Data Sheet'!B56</f>
        <v>0</v>
      </c>
      <c r="C3" s="12">
        <f>'Data Sheet'!C56</f>
        <v>0</v>
      </c>
      <c r="D3" s="12">
        <f>'Data Sheet'!D56</f>
        <v>0</v>
      </c>
      <c r="E3" s="12">
        <f>'Data Sheet'!E56</f>
        <v>43190</v>
      </c>
      <c r="F3" s="12">
        <f>'Data Sheet'!F56</f>
        <v>43555</v>
      </c>
      <c r="G3" s="12">
        <f>'Data Sheet'!G56</f>
        <v>43921</v>
      </c>
      <c r="H3" s="12">
        <f>'Data Sheet'!H56</f>
        <v>44286</v>
      </c>
      <c r="I3" s="12">
        <f>'Data Sheet'!I56</f>
        <v>44651</v>
      </c>
      <c r="J3" s="12">
        <f>'Data Sheet'!J56</f>
        <v>45016</v>
      </c>
      <c r="K3" s="12">
        <f>'Data Sheet'!K56</f>
        <v>45382</v>
      </c>
    </row>
    <row r="4" spans="1:11" x14ac:dyDescent="0.3">
      <c r="A4" t="s">
        <v>24</v>
      </c>
      <c r="B4" s="14">
        <f>'Data Sheet'!B57</f>
        <v>0</v>
      </c>
      <c r="C4" s="14">
        <f>'Data Sheet'!C57</f>
        <v>0</v>
      </c>
      <c r="D4" s="14">
        <f>'Data Sheet'!D57</f>
        <v>0</v>
      </c>
      <c r="E4" s="14">
        <f>'Data Sheet'!E57</f>
        <v>0.03</v>
      </c>
      <c r="F4" s="14">
        <f>'Data Sheet'!F57</f>
        <v>0.03</v>
      </c>
      <c r="G4" s="14">
        <f>'Data Sheet'!G57</f>
        <v>0.03</v>
      </c>
      <c r="H4" s="14">
        <f>'Data Sheet'!H57</f>
        <v>0</v>
      </c>
      <c r="I4" s="14">
        <f>'Data Sheet'!I57</f>
        <v>764.3</v>
      </c>
      <c r="J4" s="14">
        <f>'Data Sheet'!J57</f>
        <v>836</v>
      </c>
      <c r="K4" s="14">
        <f>'Data Sheet'!K57</f>
        <v>868</v>
      </c>
    </row>
    <row r="5" spans="1:11" x14ac:dyDescent="0.3">
      <c r="A5" t="s">
        <v>25</v>
      </c>
      <c r="B5" s="14">
        <f>'Data Sheet'!B58</f>
        <v>0</v>
      </c>
      <c r="C5" s="14">
        <f>'Data Sheet'!C58</f>
        <v>0</v>
      </c>
      <c r="D5" s="14">
        <f>'Data Sheet'!D58</f>
        <v>0</v>
      </c>
      <c r="E5" s="14">
        <f>'Data Sheet'!E58</f>
        <v>1036.06</v>
      </c>
      <c r="F5" s="14">
        <f>'Data Sheet'!F58</f>
        <v>2355.61</v>
      </c>
      <c r="G5" s="14">
        <f>'Data Sheet'!G58</f>
        <v>457.35</v>
      </c>
      <c r="H5" s="14">
        <f>'Data Sheet'!H58</f>
        <v>7643.8</v>
      </c>
      <c r="I5" s="14">
        <f>'Data Sheet'!I58</f>
        <v>15741.2</v>
      </c>
      <c r="J5" s="14">
        <f>'Data Sheet'!J58</f>
        <v>18624</v>
      </c>
      <c r="K5" s="14">
        <f>'Data Sheet'!K58</f>
        <v>19545</v>
      </c>
    </row>
    <row r="6" spans="1:11" x14ac:dyDescent="0.3">
      <c r="A6" t="s">
        <v>71</v>
      </c>
      <c r="B6" s="14">
        <f>'Data Sheet'!B59</f>
        <v>0</v>
      </c>
      <c r="C6" s="14">
        <f>'Data Sheet'!C59</f>
        <v>0</v>
      </c>
      <c r="D6" s="14">
        <f>'Data Sheet'!D59</f>
        <v>0</v>
      </c>
      <c r="E6" s="14">
        <f>'Data Sheet'!E59</f>
        <v>186.23</v>
      </c>
      <c r="F6" s="14">
        <f>'Data Sheet'!F59</f>
        <v>347.94</v>
      </c>
      <c r="G6" s="14">
        <f>'Data Sheet'!G59</f>
        <v>325.58</v>
      </c>
      <c r="H6" s="14">
        <f>'Data Sheet'!H59</f>
        <v>527.4</v>
      </c>
      <c r="I6" s="14">
        <f>'Data Sheet'!I59</f>
        <v>70.3</v>
      </c>
      <c r="J6" s="14">
        <f>'Data Sheet'!J59</f>
        <v>507</v>
      </c>
      <c r="K6" s="14">
        <f>'Data Sheet'!K59</f>
        <v>749</v>
      </c>
    </row>
    <row r="7" spans="1:11" x14ac:dyDescent="0.3">
      <c r="A7" t="s">
        <v>72</v>
      </c>
      <c r="B7" s="14">
        <f>'Data Sheet'!B60</f>
        <v>0</v>
      </c>
      <c r="C7" s="14">
        <f>'Data Sheet'!C60</f>
        <v>0</v>
      </c>
      <c r="D7" s="14">
        <f>'Data Sheet'!D60</f>
        <v>0</v>
      </c>
      <c r="E7" s="14">
        <f>'Data Sheet'!E60</f>
        <v>152.16999999999999</v>
      </c>
      <c r="F7" s="14">
        <f>'Data Sheet'!F60</f>
        <v>709.3</v>
      </c>
      <c r="G7" s="14">
        <f>'Data Sheet'!G60</f>
        <v>2117.4299999999998</v>
      </c>
      <c r="H7" s="14">
        <f>'Data Sheet'!H60</f>
        <v>532.29999999999995</v>
      </c>
      <c r="I7" s="14">
        <f>'Data Sheet'!I60</f>
        <v>751.2</v>
      </c>
      <c r="J7" s="14">
        <f>'Data Sheet'!J60</f>
        <v>1632</v>
      </c>
      <c r="K7" s="14">
        <f>'Data Sheet'!K60</f>
        <v>2194</v>
      </c>
    </row>
    <row r="8" spans="1:11" s="2" customFormat="1" x14ac:dyDescent="0.3">
      <c r="A8" s="2" t="s">
        <v>26</v>
      </c>
      <c r="B8" s="15">
        <f>'Data Sheet'!B61</f>
        <v>0</v>
      </c>
      <c r="C8" s="15">
        <f>'Data Sheet'!C61</f>
        <v>0</v>
      </c>
      <c r="D8" s="15">
        <f>'Data Sheet'!D61</f>
        <v>0</v>
      </c>
      <c r="E8" s="15">
        <f>'Data Sheet'!E61</f>
        <v>1374.49</v>
      </c>
      <c r="F8" s="15">
        <f>'Data Sheet'!F61</f>
        <v>3412.88</v>
      </c>
      <c r="G8" s="15">
        <f>'Data Sheet'!G61</f>
        <v>2900.39</v>
      </c>
      <c r="H8" s="15">
        <f>'Data Sheet'!H61</f>
        <v>8703.5</v>
      </c>
      <c r="I8" s="15">
        <f>'Data Sheet'!I61</f>
        <v>17327</v>
      </c>
      <c r="J8" s="15">
        <f>'Data Sheet'!J61</f>
        <v>21599</v>
      </c>
      <c r="K8" s="15">
        <f>'Data Sheet'!K61</f>
        <v>23356</v>
      </c>
    </row>
    <row r="9" spans="1:11" s="2" customFormat="1" x14ac:dyDescent="0.3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">
      <c r="A10" t="s">
        <v>27</v>
      </c>
      <c r="B10" s="14">
        <f>'Data Sheet'!B62</f>
        <v>0</v>
      </c>
      <c r="C10" s="14">
        <f>'Data Sheet'!C62</f>
        <v>0</v>
      </c>
      <c r="D10" s="14">
        <f>'Data Sheet'!D62</f>
        <v>0</v>
      </c>
      <c r="E10" s="14">
        <f>'Data Sheet'!E62</f>
        <v>189.8</v>
      </c>
      <c r="F10" s="14">
        <f>'Data Sheet'!F62</f>
        <v>389.08</v>
      </c>
      <c r="G10" s="14">
        <f>'Data Sheet'!G62</f>
        <v>1590.55</v>
      </c>
      <c r="H10" s="14">
        <f>'Data Sheet'!H62</f>
        <v>1539</v>
      </c>
      <c r="I10" s="14">
        <f>'Data Sheet'!I62</f>
        <v>1404.3</v>
      </c>
      <c r="J10" s="14">
        <f>'Data Sheet'!J62</f>
        <v>6344</v>
      </c>
      <c r="K10" s="14">
        <f>'Data Sheet'!K62</f>
        <v>6448</v>
      </c>
    </row>
    <row r="11" spans="1:11" x14ac:dyDescent="0.3">
      <c r="A11" t="s">
        <v>28</v>
      </c>
      <c r="B11" s="14">
        <f>'Data Sheet'!B63</f>
        <v>0</v>
      </c>
      <c r="C11" s="14">
        <f>'Data Sheet'!C63</f>
        <v>0</v>
      </c>
      <c r="D11" s="14">
        <f>'Data Sheet'!D63</f>
        <v>0</v>
      </c>
      <c r="E11" s="14">
        <f>'Data Sheet'!E63</f>
        <v>1.29</v>
      </c>
      <c r="F11" s="14">
        <f>'Data Sheet'!F63</f>
        <v>0.74</v>
      </c>
      <c r="G11" s="14">
        <f>'Data Sheet'!G63</f>
        <v>0.96</v>
      </c>
      <c r="H11" s="14">
        <f>'Data Sheet'!H63</f>
        <v>0.1</v>
      </c>
      <c r="I11" s="14">
        <f>'Data Sheet'!I63</f>
        <v>0.6</v>
      </c>
      <c r="J11" s="14">
        <f>'Data Sheet'!J63</f>
        <v>7</v>
      </c>
      <c r="K11" s="14">
        <f>'Data Sheet'!K63</f>
        <v>18</v>
      </c>
    </row>
    <row r="12" spans="1:11" x14ac:dyDescent="0.3">
      <c r="A12" t="s">
        <v>29</v>
      </c>
      <c r="B12" s="14">
        <f>'Data Sheet'!B64</f>
        <v>0</v>
      </c>
      <c r="C12" s="14">
        <f>'Data Sheet'!C64</f>
        <v>0</v>
      </c>
      <c r="D12" s="14">
        <f>'Data Sheet'!D64</f>
        <v>0</v>
      </c>
      <c r="E12" s="14">
        <f>'Data Sheet'!E64</f>
        <v>829.23</v>
      </c>
      <c r="F12" s="14">
        <f>'Data Sheet'!F64</f>
        <v>2144.5500000000002</v>
      </c>
      <c r="G12" s="14">
        <f>'Data Sheet'!G64</f>
        <v>323.92</v>
      </c>
      <c r="H12" s="14">
        <f>'Data Sheet'!H64</f>
        <v>2205.1999999999998</v>
      </c>
      <c r="I12" s="14">
        <f>'Data Sheet'!I64</f>
        <v>4717.7</v>
      </c>
      <c r="J12" s="14">
        <f>'Data Sheet'!J64</f>
        <v>6765</v>
      </c>
      <c r="K12" s="14">
        <f>'Data Sheet'!K64</f>
        <v>11645</v>
      </c>
    </row>
    <row r="13" spans="1:11" x14ac:dyDescent="0.3">
      <c r="A13" t="s">
        <v>73</v>
      </c>
      <c r="B13" s="14">
        <f>'Data Sheet'!B65</f>
        <v>0</v>
      </c>
      <c r="C13" s="14">
        <f>'Data Sheet'!C65</f>
        <v>0</v>
      </c>
      <c r="D13" s="14">
        <f>'Data Sheet'!D65</f>
        <v>0</v>
      </c>
      <c r="E13" s="14">
        <f>'Data Sheet'!E65</f>
        <v>354.17</v>
      </c>
      <c r="F13" s="14">
        <f>'Data Sheet'!F65</f>
        <v>878.51</v>
      </c>
      <c r="G13" s="14">
        <f>'Data Sheet'!G65</f>
        <v>984.96</v>
      </c>
      <c r="H13" s="14">
        <f>'Data Sheet'!H65</f>
        <v>4959.2</v>
      </c>
      <c r="I13" s="14">
        <f>'Data Sheet'!I65</f>
        <v>11204.4</v>
      </c>
      <c r="J13" s="14">
        <f>'Data Sheet'!J65</f>
        <v>8483</v>
      </c>
      <c r="K13" s="14">
        <f>'Data Sheet'!K65</f>
        <v>5245</v>
      </c>
    </row>
    <row r="14" spans="1:11" s="2" customFormat="1" x14ac:dyDescent="0.3">
      <c r="A14" s="2" t="s">
        <v>26</v>
      </c>
      <c r="B14" s="14">
        <f>'Data Sheet'!B66</f>
        <v>0</v>
      </c>
      <c r="C14" s="14">
        <f>'Data Sheet'!C66</f>
        <v>0</v>
      </c>
      <c r="D14" s="14">
        <f>'Data Sheet'!D66</f>
        <v>0</v>
      </c>
      <c r="E14" s="14">
        <f>'Data Sheet'!E66</f>
        <v>1374.49</v>
      </c>
      <c r="F14" s="14">
        <f>'Data Sheet'!F66</f>
        <v>3412.88</v>
      </c>
      <c r="G14" s="14">
        <f>'Data Sheet'!G66</f>
        <v>2900.39</v>
      </c>
      <c r="H14" s="14">
        <f>'Data Sheet'!H66</f>
        <v>8703.5</v>
      </c>
      <c r="I14" s="14">
        <f>'Data Sheet'!I66</f>
        <v>17327</v>
      </c>
      <c r="J14" s="14">
        <f>'Data Sheet'!J66</f>
        <v>21599</v>
      </c>
      <c r="K14" s="14">
        <f>'Data Sheet'!K66</f>
        <v>23356</v>
      </c>
    </row>
    <row r="15" spans="1:1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t="s">
        <v>30</v>
      </c>
      <c r="B16" s="4">
        <f>B13-B7</f>
        <v>0</v>
      </c>
      <c r="C16" s="4">
        <f t="shared" ref="C16:K16" si="0">C13-C7</f>
        <v>0</v>
      </c>
      <c r="D16" s="4">
        <f t="shared" si="0"/>
        <v>0</v>
      </c>
      <c r="E16" s="4">
        <f t="shared" si="0"/>
        <v>202.00000000000003</v>
      </c>
      <c r="F16" s="4">
        <f t="shared" si="0"/>
        <v>169.21000000000004</v>
      </c>
      <c r="G16" s="4">
        <f t="shared" si="0"/>
        <v>-1132.4699999999998</v>
      </c>
      <c r="H16" s="4">
        <f t="shared" si="0"/>
        <v>4426.8999999999996</v>
      </c>
      <c r="I16" s="4">
        <f t="shared" si="0"/>
        <v>10453.199999999999</v>
      </c>
      <c r="J16" s="4">
        <f t="shared" si="0"/>
        <v>6851</v>
      </c>
      <c r="K16" s="4">
        <f t="shared" si="0"/>
        <v>3051</v>
      </c>
    </row>
    <row r="17" spans="1:11" x14ac:dyDescent="0.3">
      <c r="A17" t="s">
        <v>44</v>
      </c>
      <c r="B17" s="4">
        <f>'Data Sheet'!B67</f>
        <v>0</v>
      </c>
      <c r="C17" s="4">
        <f>'Data Sheet'!C67</f>
        <v>0</v>
      </c>
      <c r="D17" s="4">
        <f>'Data Sheet'!D67</f>
        <v>0</v>
      </c>
      <c r="E17" s="4">
        <f>'Data Sheet'!E67</f>
        <v>26.08</v>
      </c>
      <c r="F17" s="4">
        <f>'Data Sheet'!F67</f>
        <v>70.34</v>
      </c>
      <c r="G17" s="4">
        <f>'Data Sheet'!G67</f>
        <v>123.12</v>
      </c>
      <c r="H17" s="4">
        <f>'Data Sheet'!H67</f>
        <v>129.9</v>
      </c>
      <c r="I17" s="4">
        <f>'Data Sheet'!I67</f>
        <v>159.9</v>
      </c>
      <c r="J17" s="4">
        <f>'Data Sheet'!J67</f>
        <v>457</v>
      </c>
      <c r="K17" s="4">
        <f>'Data Sheet'!K67</f>
        <v>794</v>
      </c>
    </row>
    <row r="18" spans="1:11" x14ac:dyDescent="0.3">
      <c r="A18" t="s">
        <v>45</v>
      </c>
      <c r="B18" s="4">
        <f>'Data Sheet'!B68</f>
        <v>0</v>
      </c>
      <c r="C18" s="4">
        <f>'Data Sheet'!C68</f>
        <v>0</v>
      </c>
      <c r="D18" s="4">
        <f>'Data Sheet'!D68</f>
        <v>0</v>
      </c>
      <c r="E18" s="4">
        <f>'Data Sheet'!E68</f>
        <v>0</v>
      </c>
      <c r="F18" s="4">
        <f>'Data Sheet'!F68</f>
        <v>2.13</v>
      </c>
      <c r="G18" s="4">
        <f>'Data Sheet'!G68</f>
        <v>3.73</v>
      </c>
      <c r="H18" s="4">
        <f>'Data Sheet'!H68</f>
        <v>14.8</v>
      </c>
      <c r="I18" s="4">
        <f>'Data Sheet'!I68</f>
        <v>39.700000000000003</v>
      </c>
      <c r="J18" s="4">
        <f>'Data Sheet'!J68</f>
        <v>83</v>
      </c>
      <c r="K18" s="4">
        <f>'Data Sheet'!K68</f>
        <v>88</v>
      </c>
    </row>
    <row r="20" spans="1:11" x14ac:dyDescent="0.3">
      <c r="A20" t="s">
        <v>46</v>
      </c>
      <c r="B20" s="4">
        <f>IF('Profit &amp; Loss'!B4&gt;0,'Balance Sheet'!B17/('Profit &amp; Loss'!B4/365),0)</f>
        <v>0</v>
      </c>
      <c r="C20" s="4">
        <f>IF('Profit &amp; Loss'!C4&gt;0,'Balance Sheet'!C17/('Profit &amp; Loss'!C4/365),0)</f>
        <v>0</v>
      </c>
      <c r="D20" s="4">
        <f>IF('Profit &amp; Loss'!D4&gt;0,'Balance Sheet'!D17/('Profit &amp; Loss'!D4/365),0)</f>
        <v>0</v>
      </c>
      <c r="E20" s="4">
        <f>IF('Profit &amp; Loss'!E4&gt;0,'Balance Sheet'!E17/('Profit &amp; Loss'!E4/365),0)</f>
        <v>20.426591133427749</v>
      </c>
      <c r="F20" s="4">
        <f>IF('Profit &amp; Loss'!F4&gt;0,'Balance Sheet'!F17/('Profit &amp; Loss'!F4/365),0)</f>
        <v>19.559877798855702</v>
      </c>
      <c r="G20" s="4">
        <f>IF('Profit &amp; Loss'!G4&gt;0,'Balance Sheet'!G17/('Profit &amp; Loss'!G4/365),0)</f>
        <v>17.252700845381884</v>
      </c>
      <c r="H20" s="4">
        <f>IF('Profit &amp; Loss'!H4&gt;0,'Balance Sheet'!H17/('Profit &amp; Loss'!H4/365),0)</f>
        <v>23.780469455311465</v>
      </c>
      <c r="I20" s="4">
        <f>IF('Profit &amp; Loss'!I4&gt;0,'Balance Sheet'!I17/('Profit &amp; Loss'!I4/365),0)</f>
        <v>13.921262284133196</v>
      </c>
      <c r="J20" s="4">
        <f>IF('Profit &amp; Loss'!J4&gt;0,'Balance Sheet'!J17/('Profit &amp; Loss'!J4/365),0)</f>
        <v>23.563356406272071</v>
      </c>
      <c r="K20" s="4">
        <f>IF('Profit &amp; Loss'!K4&gt;0,'Balance Sheet'!K17/('Profit &amp; Loss'!K4/365),0)</f>
        <v>23.923559517913159</v>
      </c>
    </row>
    <row r="21" spans="1:11" x14ac:dyDescent="0.3">
      <c r="A21" t="s">
        <v>47</v>
      </c>
      <c r="B21" s="4">
        <f>IF('Balance Sheet'!B18&gt;0,'Profit &amp; Loss'!B4/'Balance Sheet'!B18,0)</f>
        <v>0</v>
      </c>
      <c r="C21" s="4">
        <f>IF('Balance Sheet'!C18&gt;0,'Profit &amp; Loss'!C4/'Balance Sheet'!C18,0)</f>
        <v>0</v>
      </c>
      <c r="D21" s="4">
        <f>IF('Balance Sheet'!D18&gt;0,'Profit &amp; Loss'!D4/'Balance Sheet'!D18,0)</f>
        <v>0</v>
      </c>
      <c r="E21" s="4">
        <f>IF('Balance Sheet'!E18&gt;0,'Profit &amp; Loss'!E4/'Balance Sheet'!E18,0)</f>
        <v>0</v>
      </c>
      <c r="F21" s="4">
        <f>IF('Balance Sheet'!F18&gt;0,'Profit &amp; Loss'!F4/'Balance Sheet'!F18,0)</f>
        <v>616.23943661971828</v>
      </c>
      <c r="G21" s="4">
        <f>IF('Balance Sheet'!G18&gt;0,'Profit &amp; Loss'!G4/'Balance Sheet'!G18,0)</f>
        <v>698.32171581769433</v>
      </c>
      <c r="H21" s="4">
        <f>IF('Balance Sheet'!H18&gt;0,'Profit &amp; Loss'!H4/'Balance Sheet'!H18,0)</f>
        <v>134.7162162162162</v>
      </c>
      <c r="I21" s="4">
        <f>IF('Balance Sheet'!I18&gt;0,'Profit &amp; Loss'!I4/'Balance Sheet'!I18,0)</f>
        <v>105.60201511335011</v>
      </c>
      <c r="J21" s="4">
        <f>IF('Balance Sheet'!J18&gt;0,'Profit &amp; Loss'!J4/'Balance Sheet'!J18,0)</f>
        <v>85.289156626506028</v>
      </c>
      <c r="K21" s="4">
        <f>IF('Balance Sheet'!K18&gt;0,'Profit &amp; Loss'!K4/'Balance Sheet'!K18,0)</f>
        <v>137.65909090909091</v>
      </c>
    </row>
    <row r="23" spans="1:11" s="2" customFormat="1" x14ac:dyDescent="0.3">
      <c r="A23" s="2" t="s">
        <v>59</v>
      </c>
      <c r="B23" s="10" t="str">
        <f>IF(SUM('Balance Sheet'!B4:B5)&gt;0,'Profit &amp; Loss'!B12/SUM('Balance Sheet'!B4:B5),"")</f>
        <v/>
      </c>
      <c r="C23" s="10" t="str">
        <f>IF(SUM('Balance Sheet'!C4:C5)&gt;0,'Profit &amp; Loss'!C12/SUM('Balance Sheet'!C4:C5),"")</f>
        <v/>
      </c>
      <c r="D23" s="10" t="str">
        <f>IF(SUM('Balance Sheet'!D4:D5)&gt;0,'Profit &amp; Loss'!D12/SUM('Balance Sheet'!D4:D5),"")</f>
        <v/>
      </c>
      <c r="E23" s="10">
        <f>IF(SUM('Balance Sheet'!E4:E5)&gt;0,'Profit &amp; Loss'!E12/SUM('Balance Sheet'!E4:E5),"")</f>
        <v>-0.10006852686542676</v>
      </c>
      <c r="F23" s="10">
        <f>IF(SUM('Balance Sheet'!F4:F5)&gt;0,'Profit &amp; Loss'!F12/SUM('Balance Sheet'!F4:F5),"")</f>
        <v>-0.40963389991679539</v>
      </c>
      <c r="G23" s="10">
        <f>IF(SUM('Balance Sheet'!G4:G5)&gt;0,'Profit &amp; Loss'!G12/SUM('Balance Sheet'!G4:G5),"")</f>
        <v>-5.1754777209322658</v>
      </c>
      <c r="H23" s="10">
        <f>IF(SUM('Balance Sheet'!H4:H5)&gt;0,'Profit &amp; Loss'!H12/SUM('Balance Sheet'!H4:H5),"")</f>
        <v>-0.10633454564483633</v>
      </c>
      <c r="I23" s="10">
        <f>IF(SUM('Balance Sheet'!I4:I5)&gt;0,'Profit &amp; Loss'!I12/SUM('Balance Sheet'!I4:I5),"")</f>
        <v>-7.3230135409408995E-2</v>
      </c>
      <c r="J23" s="10">
        <f>IF(SUM('Balance Sheet'!J4:J5)&gt;0,'Profit &amp; Loss'!J12/SUM('Balance Sheet'!J4:J5),"")</f>
        <v>-4.9897225077081192E-2</v>
      </c>
      <c r="K23" s="10">
        <f>IF(SUM('Balance Sheet'!K4:K5)&gt;0,'Profit &amp; Loss'!K12/SUM('Balance Sheet'!K4:K5),"")</f>
        <v>1.719492480282173E-2</v>
      </c>
    </row>
    <row r="24" spans="1:11" s="2" customFormat="1" x14ac:dyDescent="0.3">
      <c r="A24" s="2" t="s">
        <v>60</v>
      </c>
      <c r="B24" s="10"/>
      <c r="C24" s="10" t="str">
        <f>IF((B4+B5+B6+C4+C5+C6)&gt;0,('Profit &amp; Loss'!C10+'Profit &amp; Loss'!C9)*2/(B4+B5+B6+C4+C5+C6),"")</f>
        <v/>
      </c>
      <c r="D24" s="10" t="str">
        <f>IF((C4+C5+C6+D4+D5+D6)&gt;0,('Profit &amp; Loss'!D10+'Profit &amp; Loss'!D9)*2/(C4+C5+C6+D4+D5+D6),"")</f>
        <v/>
      </c>
      <c r="E24" s="10">
        <f>IF((D4+D5+D6+E4+E5+E6)&gt;0,('Profit &amp; Loss'!E10+'Profit &amp; Loss'!E9)*2/(D4+D5+D6+E4+E5+E6),"")</f>
        <v>-0.16455592643497613</v>
      </c>
      <c r="F24" s="10">
        <f>IF((E4+E5+E6+F4+F5+F6)&gt;0,('Profit &amp; Loss'!F10+'Profit &amp; Loss'!F9)*2/(E4+E5+E6+F4+F5+F6),"")</f>
        <v>-0.5102269543289436</v>
      </c>
      <c r="G24" s="10">
        <f>IF((F4+F5+F6+G4+G5+G6)&gt;0,('Profit &amp; Loss'!G10+'Profit &amp; Loss'!G9)*2/(F4+F5+F6+G4+G5+G6),"")</f>
        <v>-1.3612177115421018</v>
      </c>
      <c r="H24" s="10">
        <f>IF((G4+G5+G6+H4+H5+H6)&gt;0,('Profit &amp; Loss'!H10+'Profit &amp; Loss'!H9)*2/(G4+G5+G6+H4+H5+H6),"")</f>
        <v>-0.17980469413099609</v>
      </c>
      <c r="I24" s="10">
        <f>IF((H4+H5+H6+I4+I5+I6)&gt;0,('Profit &amp; Loss'!I10+'Profit &amp; Loss'!I9)*2/(H4+H5+H6+I4+I5+I6),"")</f>
        <v>-9.766840425102033E-2</v>
      </c>
      <c r="J24" s="10">
        <f>IF((I4+I5+I6+J4+J5+J6)&gt;0,('Profit &amp; Loss'!J10+'Profit &amp; Loss'!J9)*2/(I4+I5+I6+J4+J5+J6),"")</f>
        <v>-5.2869511914795796E-2</v>
      </c>
      <c r="K24" s="10">
        <f>IF((J4+J5+J6+K4+K5+K6)&gt;0,('Profit &amp; Loss'!K10+'Profit &amp; Loss'!K9)*2/(J4+J5+J6+K4+K5+K6),"")</f>
        <v>1.7651778550414551E-2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6.77734375" bestFit="1" customWidth="1"/>
    <col min="2" max="6" width="13.44140625" customWidth="1"/>
    <col min="7" max="11" width="13.44140625" bestFit="1" customWidth="1"/>
  </cols>
  <sheetData>
    <row r="1" spans="1:11" s="2" customFormat="1" x14ac:dyDescent="0.3">
      <c r="A1" s="2" t="str">
        <f>'Balance Sheet'!A1</f>
        <v>ZOMATO LTD</v>
      </c>
      <c r="E1" t="str">
        <f>UPDATE</f>
        <v/>
      </c>
      <c r="F1"/>
      <c r="J1" s="2" t="s">
        <v>1</v>
      </c>
    </row>
    <row r="3" spans="1:11" s="2" customFormat="1" x14ac:dyDescent="0.3">
      <c r="A3" s="11" t="s">
        <v>2</v>
      </c>
      <c r="B3" s="12">
        <f>'Data Sheet'!B81</f>
        <v>0</v>
      </c>
      <c r="C3" s="12">
        <f>'Data Sheet'!C81</f>
        <v>0</v>
      </c>
      <c r="D3" s="12">
        <f>'Data Sheet'!D81</f>
        <v>0</v>
      </c>
      <c r="E3" s="12">
        <f>'Data Sheet'!E81</f>
        <v>43190</v>
      </c>
      <c r="F3" s="12">
        <f>'Data Sheet'!F81</f>
        <v>43555</v>
      </c>
      <c r="G3" s="12">
        <f>'Data Sheet'!G81</f>
        <v>43921</v>
      </c>
      <c r="H3" s="12">
        <f>'Data Sheet'!H81</f>
        <v>44286</v>
      </c>
      <c r="I3" s="12">
        <f>'Data Sheet'!I81</f>
        <v>44651</v>
      </c>
      <c r="J3" s="12">
        <f>'Data Sheet'!J81</f>
        <v>45016</v>
      </c>
      <c r="K3" s="12">
        <f>'Data Sheet'!K81</f>
        <v>45382</v>
      </c>
    </row>
    <row r="4" spans="1:11" s="2" customFormat="1" x14ac:dyDescent="0.3">
      <c r="A4" s="2" t="s">
        <v>32</v>
      </c>
      <c r="B4" s="1">
        <f>'Data Sheet'!B82</f>
        <v>0</v>
      </c>
      <c r="C4" s="1">
        <f>'Data Sheet'!C82</f>
        <v>0</v>
      </c>
      <c r="D4" s="1">
        <f>'Data Sheet'!D82</f>
        <v>0</v>
      </c>
      <c r="E4" s="1">
        <f>'Data Sheet'!E82</f>
        <v>0</v>
      </c>
      <c r="F4" s="1">
        <f>'Data Sheet'!F82</f>
        <v>0</v>
      </c>
      <c r="G4" s="1">
        <f>'Data Sheet'!G82</f>
        <v>-2143.63</v>
      </c>
      <c r="H4" s="1">
        <f>'Data Sheet'!H82</f>
        <v>-1017.9</v>
      </c>
      <c r="I4" s="1">
        <f>'Data Sheet'!I82</f>
        <v>-693</v>
      </c>
      <c r="J4" s="1">
        <f>'Data Sheet'!J82</f>
        <v>-844</v>
      </c>
      <c r="K4" s="1">
        <f>'Data Sheet'!K82</f>
        <v>646</v>
      </c>
    </row>
    <row r="5" spans="1:11" x14ac:dyDescent="0.3">
      <c r="A5" t="s">
        <v>33</v>
      </c>
      <c r="B5" s="6">
        <f>'Data Sheet'!B83</f>
        <v>0</v>
      </c>
      <c r="C5" s="6">
        <f>'Data Sheet'!C83</f>
        <v>0</v>
      </c>
      <c r="D5" s="6">
        <f>'Data Sheet'!D83</f>
        <v>0</v>
      </c>
      <c r="E5" s="6">
        <f>'Data Sheet'!E83</f>
        <v>0</v>
      </c>
      <c r="F5" s="6">
        <f>'Data Sheet'!F83</f>
        <v>0</v>
      </c>
      <c r="G5" s="6">
        <f>'Data Sheet'!G83</f>
        <v>1739.51</v>
      </c>
      <c r="H5" s="6">
        <f>'Data Sheet'!H83</f>
        <v>-5244.6</v>
      </c>
      <c r="I5" s="6">
        <f>'Data Sheet'!I83</f>
        <v>-7971</v>
      </c>
      <c r="J5" s="6">
        <f>'Data Sheet'!J83</f>
        <v>797</v>
      </c>
      <c r="K5" s="6">
        <f>'Data Sheet'!K83</f>
        <v>-348</v>
      </c>
    </row>
    <row r="6" spans="1:11" x14ac:dyDescent="0.3">
      <c r="A6" t="s">
        <v>34</v>
      </c>
      <c r="B6" s="6">
        <f>'Data Sheet'!B84</f>
        <v>0</v>
      </c>
      <c r="C6" s="6">
        <f>'Data Sheet'!C84</f>
        <v>0</v>
      </c>
      <c r="D6" s="6">
        <f>'Data Sheet'!D84</f>
        <v>0</v>
      </c>
      <c r="E6" s="6">
        <f>'Data Sheet'!E84</f>
        <v>0</v>
      </c>
      <c r="F6" s="6">
        <f>'Data Sheet'!F84</f>
        <v>0</v>
      </c>
      <c r="G6" s="6">
        <f>'Data Sheet'!G84</f>
        <v>358.91</v>
      </c>
      <c r="H6" s="6">
        <f>'Data Sheet'!H84</f>
        <v>6401.9</v>
      </c>
      <c r="I6" s="6">
        <f>'Data Sheet'!I84</f>
        <v>8749.7999999999993</v>
      </c>
      <c r="J6" s="6">
        <f>'Data Sheet'!J84</f>
        <v>-127</v>
      </c>
      <c r="K6" s="6">
        <f>'Data Sheet'!K84</f>
        <v>-207</v>
      </c>
    </row>
    <row r="7" spans="1:11" s="2" customFormat="1" x14ac:dyDescent="0.3">
      <c r="A7" s="2" t="s">
        <v>35</v>
      </c>
      <c r="B7" s="1">
        <f>'Data Sheet'!B85</f>
        <v>0</v>
      </c>
      <c r="C7" s="1">
        <f>'Data Sheet'!C85</f>
        <v>0</v>
      </c>
      <c r="D7" s="1">
        <f>'Data Sheet'!D85</f>
        <v>0</v>
      </c>
      <c r="E7" s="1">
        <f>'Data Sheet'!E85</f>
        <v>0</v>
      </c>
      <c r="F7" s="1">
        <f>'Data Sheet'!F85</f>
        <v>0</v>
      </c>
      <c r="G7" s="1">
        <f>'Data Sheet'!G85</f>
        <v>-45.22</v>
      </c>
      <c r="H7" s="1">
        <f>'Data Sheet'!H85</f>
        <v>139.4</v>
      </c>
      <c r="I7" s="1">
        <f>'Data Sheet'!I85</f>
        <v>85.8</v>
      </c>
      <c r="J7" s="1">
        <f>'Data Sheet'!J85</f>
        <v>-174</v>
      </c>
      <c r="K7" s="1">
        <f>'Data Sheet'!K85</f>
        <v>91</v>
      </c>
    </row>
    <row r="8" spans="1:11" x14ac:dyDescent="0.3">
      <c r="B8" s="6"/>
      <c r="C8" s="6"/>
      <c r="D8" s="6"/>
      <c r="E8" s="6"/>
      <c r="F8" s="6"/>
      <c r="G8" s="6"/>
      <c r="H8" s="6"/>
      <c r="I8" s="6"/>
      <c r="J8" s="6"/>
      <c r="K8" s="6"/>
    </row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C8" sqref="C8"/>
    </sheetView>
  </sheetViews>
  <sheetFormatPr defaultColWidth="8.77734375" defaultRowHeight="14.4" x14ac:dyDescent="0.3"/>
  <cols>
    <col min="1" max="1" width="8.77734375" style="2"/>
    <col min="2" max="2" width="10.44140625" customWidth="1"/>
    <col min="3" max="3" width="13.33203125" style="20" customWidth="1"/>
    <col min="6" max="6" width="6.77734375" customWidth="1"/>
  </cols>
  <sheetData>
    <row r="1" spans="1:7" ht="21" x14ac:dyDescent="0.4">
      <c r="A1" s="19" t="s">
        <v>56</v>
      </c>
    </row>
    <row r="3" spans="1:7" x14ac:dyDescent="0.3">
      <c r="A3" s="2" t="s">
        <v>48</v>
      </c>
    </row>
    <row r="4" spans="1:7" x14ac:dyDescent="0.3">
      <c r="B4" t="s">
        <v>90</v>
      </c>
    </row>
    <row r="5" spans="1:7" x14ac:dyDescent="0.3">
      <c r="B5" t="s">
        <v>49</v>
      </c>
    </row>
    <row r="7" spans="1:7" x14ac:dyDescent="0.3">
      <c r="A7" s="2" t="s">
        <v>50</v>
      </c>
    </row>
    <row r="8" spans="1:7" x14ac:dyDescent="0.3">
      <c r="B8" t="s">
        <v>51</v>
      </c>
      <c r="C8" s="21" t="s">
        <v>91</v>
      </c>
    </row>
    <row r="10" spans="1:7" x14ac:dyDescent="0.3">
      <c r="A10" s="2" t="s">
        <v>52</v>
      </c>
    </row>
    <row r="11" spans="1:7" x14ac:dyDescent="0.3">
      <c r="B11" t="s">
        <v>53</v>
      </c>
    </row>
    <row r="14" spans="1:7" x14ac:dyDescent="0.3">
      <c r="A14" s="2" t="s">
        <v>54</v>
      </c>
    </row>
    <row r="15" spans="1:7" x14ac:dyDescent="0.3">
      <c r="B15" t="s">
        <v>55</v>
      </c>
    </row>
    <row r="16" spans="1:7" x14ac:dyDescent="0.3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C46F-80E2-44DB-9C41-03ED8E6E39CE}">
  <dimension ref="A1:U101"/>
  <sheetViews>
    <sheetView showGridLines="0" tabSelected="1" zoomScale="75" zoomScaleNormal="75" workbookViewId="0">
      <pane ySplit="2" topLeftCell="A3" activePane="bottomLeft" state="frozen"/>
      <selection pane="bottomLeft" activeCell="T19" sqref="T19"/>
    </sheetView>
  </sheetViews>
  <sheetFormatPr defaultRowHeight="14.4" x14ac:dyDescent="0.3"/>
  <cols>
    <col min="1" max="1" width="2.21875" style="29" customWidth="1"/>
    <col min="2" max="2" width="21.77734375" style="29" customWidth="1"/>
    <col min="3" max="9" width="13" style="29" customWidth="1"/>
    <col min="10" max="16384" width="8.88671875" style="29"/>
  </cols>
  <sheetData>
    <row r="1" spans="1:21" ht="23.4" x14ac:dyDescent="0.45">
      <c r="A1" s="38"/>
      <c r="B1" s="47" t="str">
        <f>"Histrotical Financial Statement- " &amp; 'Data Sheet'!B1</f>
        <v>Histrotical Financial Statement- ZOMATO LTD</v>
      </c>
      <c r="C1" s="47"/>
      <c r="D1" s="47"/>
      <c r="E1" s="47"/>
      <c r="F1" s="47"/>
      <c r="G1" s="47"/>
      <c r="H1" s="47"/>
      <c r="I1" s="47"/>
      <c r="J1" s="44"/>
      <c r="K1" s="32"/>
      <c r="L1" s="32"/>
      <c r="M1" s="32"/>
      <c r="N1" s="32"/>
    </row>
    <row r="2" spans="1:21" x14ac:dyDescent="0.3">
      <c r="A2" s="30"/>
      <c r="B2" s="31"/>
      <c r="C2" s="25">
        <f>'Data Sheet'!E16</f>
        <v>43190</v>
      </c>
      <c r="D2" s="25">
        <f>'Data Sheet'!F16</f>
        <v>43555</v>
      </c>
      <c r="E2" s="25">
        <f>'Data Sheet'!G16</f>
        <v>43921</v>
      </c>
      <c r="F2" s="25">
        <f>'Data Sheet'!H16</f>
        <v>44286</v>
      </c>
      <c r="G2" s="25">
        <f>'Data Sheet'!I16</f>
        <v>44651</v>
      </c>
      <c r="H2" s="25">
        <f>'Data Sheet'!J16</f>
        <v>45016</v>
      </c>
      <c r="I2" s="25">
        <f>'Data Sheet'!K16</f>
        <v>45382</v>
      </c>
      <c r="J2" s="33" t="s">
        <v>93</v>
      </c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</row>
    <row r="4" spans="1:21" x14ac:dyDescent="0.3">
      <c r="A4" s="29" t="s">
        <v>114</v>
      </c>
      <c r="B4" s="51" t="s">
        <v>161</v>
      </c>
      <c r="C4" s="51"/>
      <c r="D4" s="51"/>
      <c r="E4" s="51"/>
      <c r="F4" s="51"/>
      <c r="G4" s="51"/>
      <c r="H4" s="51"/>
      <c r="I4" s="51"/>
    </row>
    <row r="5" spans="1:21" x14ac:dyDescent="0.3">
      <c r="B5" s="34" t="s">
        <v>6</v>
      </c>
      <c r="C5" s="73">
        <f>IFERROR('Data Sheet'!E17,0)</f>
        <v>466.02</v>
      </c>
      <c r="D5" s="73">
        <f>IFERROR('Data Sheet'!F17,0)</f>
        <v>1312.59</v>
      </c>
      <c r="E5" s="73">
        <f>IFERROR('Data Sheet'!G17,0)</f>
        <v>2604.7399999999998</v>
      </c>
      <c r="F5" s="73">
        <f>IFERROR('Data Sheet'!H17,0)</f>
        <v>1993.8</v>
      </c>
      <c r="G5" s="73">
        <f>IFERROR('Data Sheet'!I17,0)</f>
        <v>4192.3999999999996</v>
      </c>
      <c r="H5" s="73">
        <f>IFERROR('Data Sheet'!J17,0)</f>
        <v>7079</v>
      </c>
      <c r="I5" s="73">
        <f>IFERROR('Data Sheet'!K17,0)</f>
        <v>12114</v>
      </c>
    </row>
    <row r="6" spans="1:21" x14ac:dyDescent="0.3">
      <c r="B6" s="35" t="s">
        <v>22</v>
      </c>
      <c r="D6" s="27">
        <f>D5/C5-1</f>
        <v>1.8165958542551821</v>
      </c>
      <c r="E6" s="27">
        <f t="shared" ref="E6:I6" si="0">E5/D5-1</f>
        <v>0.98442773447915943</v>
      </c>
      <c r="F6" s="27">
        <f t="shared" si="0"/>
        <v>-0.23454932162135178</v>
      </c>
      <c r="G6" s="27">
        <f t="shared" si="0"/>
        <v>1.1027184271240844</v>
      </c>
      <c r="H6" s="27">
        <f t="shared" si="0"/>
        <v>0.6885316286613874</v>
      </c>
      <c r="I6" s="27">
        <f t="shared" si="0"/>
        <v>0.71125865235202723</v>
      </c>
    </row>
    <row r="7" spans="1:21" ht="15.6" x14ac:dyDescent="0.3">
      <c r="B7" s="53"/>
      <c r="C7" s="52"/>
      <c r="D7" s="52"/>
      <c r="E7" s="52"/>
      <c r="F7" s="52"/>
      <c r="G7" s="52"/>
      <c r="H7" s="52"/>
      <c r="I7" s="52"/>
      <c r="N7"/>
      <c r="S7" s="81"/>
      <c r="T7" s="81"/>
      <c r="U7" s="81"/>
    </row>
    <row r="8" spans="1:21" ht="21" customHeight="1" x14ac:dyDescent="0.4">
      <c r="B8" s="34" t="s">
        <v>94</v>
      </c>
      <c r="C8" s="29">
        <f>IFERROR(SUM('Data Sheet'!E18,'Data Sheet'!E20,'Data Sheet'!E21,'Data Sheet'!E22)*1-'Data Sheet'!E19,0)</f>
        <v>342.71000000000004</v>
      </c>
      <c r="D8" s="29">
        <f>IFERROR(SUM('Data Sheet'!F18,'Data Sheet'!F20,'Data Sheet'!F21,'Data Sheet'!F22)*1-'Data Sheet'!F19,0)</f>
        <v>1960.25</v>
      </c>
      <c r="E8" s="29">
        <f>IFERROR(SUM('Data Sheet'!G18,'Data Sheet'!G20,'Data Sheet'!G21,'Data Sheet'!G22)*1-'Data Sheet'!G19,0)</f>
        <v>3023</v>
      </c>
      <c r="F8" s="29">
        <f>IFERROR(SUM('Data Sheet'!H18,'Data Sheet'!H20,'Data Sheet'!H21,'Data Sheet'!H22)*1-'Data Sheet'!H19,0)</f>
        <v>1009.0999999999999</v>
      </c>
      <c r="G8" s="29">
        <f>IFERROR(SUM('Data Sheet'!I18,'Data Sheet'!I20,'Data Sheet'!I21,'Data Sheet'!I22)*1-'Data Sheet'!I19,0)</f>
        <v>2345</v>
      </c>
      <c r="H8" s="29">
        <f>IFERROR(SUM('Data Sheet'!J18,'Data Sheet'!J20,'Data Sheet'!J21,'Data Sheet'!J22)*1-'Data Sheet'!J19,0)</f>
        <v>3267</v>
      </c>
      <c r="I8" s="29">
        <f>IFERROR(SUM('Data Sheet'!K18,'Data Sheet'!K20,'Data Sheet'!K21,'Data Sheet'!K22)*1-'Data Sheet'!K19,0)</f>
        <v>5113</v>
      </c>
      <c r="S8" s="81"/>
      <c r="T8" s="82"/>
      <c r="U8" s="83"/>
    </row>
    <row r="9" spans="1:21" ht="15.6" x14ac:dyDescent="0.3">
      <c r="B9" s="35" t="s">
        <v>95</v>
      </c>
      <c r="C9" s="27">
        <f>C8/C5</f>
        <v>0.7353976224196388</v>
      </c>
      <c r="D9" s="27">
        <f t="shared" ref="D9:I9" si="1">D8/D5</f>
        <v>1.4934214034847135</v>
      </c>
      <c r="E9" s="27">
        <f t="shared" si="1"/>
        <v>1.1605764874805164</v>
      </c>
      <c r="F9" s="27">
        <f t="shared" si="1"/>
        <v>0.50611896880329021</v>
      </c>
      <c r="G9" s="27">
        <f t="shared" si="1"/>
        <v>0.55934548230130721</v>
      </c>
      <c r="H9" s="27">
        <f t="shared" si="1"/>
        <v>0.4615058624099449</v>
      </c>
      <c r="I9" s="27">
        <f t="shared" si="1"/>
        <v>0.42207363381211821</v>
      </c>
      <c r="S9" s="81"/>
      <c r="T9" s="83"/>
      <c r="U9" s="83"/>
    </row>
    <row r="10" spans="1:21" ht="15.6" x14ac:dyDescent="0.3">
      <c r="B10" s="53"/>
      <c r="C10" s="52"/>
      <c r="D10" s="52"/>
      <c r="E10" s="52"/>
      <c r="F10" s="52"/>
      <c r="G10" s="52"/>
      <c r="H10" s="52"/>
      <c r="I10" s="52"/>
      <c r="S10" s="81"/>
      <c r="T10" s="83"/>
      <c r="U10" s="83"/>
    </row>
    <row r="11" spans="1:21" x14ac:dyDescent="0.3">
      <c r="B11" s="34" t="s">
        <v>96</v>
      </c>
      <c r="C11" s="73">
        <f>C5-C8</f>
        <v>123.30999999999995</v>
      </c>
      <c r="D11" s="73">
        <f t="shared" ref="D11:I11" si="2">D5-D8</f>
        <v>-647.66000000000008</v>
      </c>
      <c r="E11" s="73">
        <f t="shared" si="2"/>
        <v>-418.26000000000022</v>
      </c>
      <c r="F11" s="73">
        <f t="shared" si="2"/>
        <v>984.7</v>
      </c>
      <c r="G11" s="73">
        <f t="shared" si="2"/>
        <v>1847.3999999999996</v>
      </c>
      <c r="H11" s="73">
        <f t="shared" si="2"/>
        <v>3812</v>
      </c>
      <c r="I11" s="73">
        <f t="shared" si="2"/>
        <v>7001</v>
      </c>
      <c r="T11" s="84"/>
      <c r="U11" s="84"/>
    </row>
    <row r="12" spans="1:21" x14ac:dyDescent="0.3">
      <c r="B12" s="35" t="s">
        <v>97</v>
      </c>
      <c r="C12" s="27">
        <f>C11/C5</f>
        <v>0.26460237758036126</v>
      </c>
      <c r="D12" s="27">
        <f t="shared" ref="D12:I12" si="3">D11/D5</f>
        <v>-0.49342140348471353</v>
      </c>
      <c r="E12" s="27">
        <f t="shared" si="3"/>
        <v>-0.16057648748051639</v>
      </c>
      <c r="F12" s="27">
        <f t="shared" si="3"/>
        <v>0.49388103119670984</v>
      </c>
      <c r="G12" s="27">
        <f t="shared" si="3"/>
        <v>0.44065451769869285</v>
      </c>
      <c r="H12" s="27">
        <f t="shared" si="3"/>
        <v>0.53849413759005504</v>
      </c>
      <c r="I12" s="27">
        <f t="shared" si="3"/>
        <v>0.57792636618788173</v>
      </c>
    </row>
    <row r="13" spans="1:21" x14ac:dyDescent="0.3">
      <c r="B13" s="53"/>
      <c r="C13" s="52"/>
      <c r="D13" s="52"/>
      <c r="E13" s="52"/>
      <c r="F13" s="52"/>
      <c r="G13" s="52"/>
      <c r="H13" s="52"/>
      <c r="I13" s="52"/>
    </row>
    <row r="14" spans="1:21" x14ac:dyDescent="0.3">
      <c r="B14" s="34" t="s">
        <v>98</v>
      </c>
      <c r="C14" s="29">
        <f>IFERROR(SUM('Data Sheet'!E23,'Data Sheet'!E24),0)</f>
        <v>215.76</v>
      </c>
      <c r="D14" s="29">
        <f>IFERROR(SUM('Data Sheet'!F23,'Data Sheet'!F24),0)</f>
        <v>1595.82</v>
      </c>
      <c r="E14" s="29">
        <f>IFERROR(SUM('Data Sheet'!G23,'Data Sheet'!G24),0)</f>
        <v>1886.4399999999998</v>
      </c>
      <c r="F14" s="29">
        <f>IFERROR(SUM('Data Sheet'!H23,'Data Sheet'!H24),0)</f>
        <v>1451.8</v>
      </c>
      <c r="G14" s="29">
        <f>IFERROR(SUM('Data Sheet'!I23,'Data Sheet'!I24),0)</f>
        <v>3698.2000000000003</v>
      </c>
      <c r="H14" s="29">
        <f>IFERROR(SUM('Data Sheet'!J23,'Data Sheet'!J24),0)</f>
        <v>5023</v>
      </c>
      <c r="I14" s="29">
        <f>IFERROR(SUM('Data Sheet'!K23,'Data Sheet'!K24),0)</f>
        <v>6958</v>
      </c>
    </row>
    <row r="15" spans="1:21" x14ac:dyDescent="0.3">
      <c r="B15" s="37" t="s">
        <v>118</v>
      </c>
      <c r="C15" s="27">
        <f>C14/C5</f>
        <v>0.46298442126947342</v>
      </c>
      <c r="D15" s="27">
        <f t="shared" ref="D15:I15" si="4">D14/D5</f>
        <v>1.2157794894064406</v>
      </c>
      <c r="E15" s="27">
        <f t="shared" si="4"/>
        <v>0.72423351274983294</v>
      </c>
      <c r="F15" s="27">
        <f t="shared" si="4"/>
        <v>0.72815728759153375</v>
      </c>
      <c r="G15" s="27">
        <f t="shared" si="4"/>
        <v>0.88212002671500822</v>
      </c>
      <c r="H15" s="27">
        <f t="shared" si="4"/>
        <v>0.70956349766916227</v>
      </c>
      <c r="I15" s="27">
        <f t="shared" si="4"/>
        <v>0.57437675416873035</v>
      </c>
    </row>
    <row r="16" spans="1:21" x14ac:dyDescent="0.3">
      <c r="B16" s="54"/>
      <c r="C16" s="52"/>
      <c r="D16" s="52"/>
      <c r="E16" s="52"/>
      <c r="F16" s="52"/>
      <c r="G16" s="52"/>
      <c r="H16" s="52"/>
      <c r="I16" s="52"/>
    </row>
    <row r="17" spans="2:10" x14ac:dyDescent="0.3">
      <c r="B17" s="34" t="s">
        <v>99</v>
      </c>
      <c r="C17" s="73">
        <f>C11-C14</f>
        <v>-92.450000000000045</v>
      </c>
      <c r="D17" s="73">
        <f t="shared" ref="D17:I17" si="5">D11-D14</f>
        <v>-2243.48</v>
      </c>
      <c r="E17" s="73">
        <f t="shared" si="5"/>
        <v>-2304.6999999999998</v>
      </c>
      <c r="F17" s="73">
        <f t="shared" si="5"/>
        <v>-467.09999999999991</v>
      </c>
      <c r="G17" s="73">
        <f t="shared" si="5"/>
        <v>-1850.8000000000006</v>
      </c>
      <c r="H17" s="73">
        <f t="shared" si="5"/>
        <v>-1211</v>
      </c>
      <c r="I17" s="73">
        <f t="shared" si="5"/>
        <v>43</v>
      </c>
    </row>
    <row r="18" spans="2:10" x14ac:dyDescent="0.3">
      <c r="B18" s="35" t="s">
        <v>100</v>
      </c>
      <c r="C18" s="27">
        <f>C17/C5</f>
        <v>-0.19838204368911216</v>
      </c>
      <c r="D18" s="27">
        <f t="shared" ref="D18:I18" si="6">D17/D5</f>
        <v>-1.7092008928911542</v>
      </c>
      <c r="E18" s="27">
        <f t="shared" si="6"/>
        <v>-0.88481000023034928</v>
      </c>
      <c r="F18" s="27">
        <f t="shared" si="6"/>
        <v>-0.23427625639482391</v>
      </c>
      <c r="G18" s="27">
        <f t="shared" si="6"/>
        <v>-0.44146550901631543</v>
      </c>
      <c r="H18" s="27">
        <f t="shared" si="6"/>
        <v>-0.17106936007910722</v>
      </c>
      <c r="I18" s="27">
        <f t="shared" si="6"/>
        <v>3.549612019151395E-3</v>
      </c>
    </row>
    <row r="19" spans="2:10" x14ac:dyDescent="0.3">
      <c r="B19" s="53"/>
      <c r="C19" s="52"/>
      <c r="D19" s="52"/>
      <c r="E19" s="52"/>
      <c r="F19" s="52"/>
      <c r="G19" s="52"/>
      <c r="H19" s="52"/>
      <c r="I19" s="52"/>
    </row>
    <row r="20" spans="2:10" x14ac:dyDescent="0.3">
      <c r="B20" s="34" t="s">
        <v>101</v>
      </c>
      <c r="C20" s="29">
        <f>IFERROR('Data Sheet'!E27,0)</f>
        <v>6.35</v>
      </c>
      <c r="D20" s="29">
        <f>IFERROR('Data Sheet'!F27,0)</f>
        <v>8.69</v>
      </c>
      <c r="E20" s="29">
        <f>IFERROR('Data Sheet'!G27,0)</f>
        <v>12.64</v>
      </c>
      <c r="F20" s="29">
        <f>IFERROR('Data Sheet'!H27,0)</f>
        <v>10.1</v>
      </c>
      <c r="G20" s="29">
        <f>IFERROR('Data Sheet'!I27,0)</f>
        <v>12</v>
      </c>
      <c r="H20" s="29">
        <f>IFERROR('Data Sheet'!J27,0)</f>
        <v>49</v>
      </c>
      <c r="I20" s="29">
        <f>IFERROR('Data Sheet'!K27,0)</f>
        <v>72</v>
      </c>
    </row>
    <row r="21" spans="2:10" x14ac:dyDescent="0.3">
      <c r="B21" s="35" t="s">
        <v>102</v>
      </c>
      <c r="C21" s="27">
        <f>C20/C5</f>
        <v>1.3626024634135874E-2</v>
      </c>
      <c r="D21" s="27">
        <f t="shared" ref="D21:I21" si="7">D20/D5</f>
        <v>6.6204984039189693E-3</v>
      </c>
      <c r="E21" s="27">
        <f t="shared" si="7"/>
        <v>4.8526916314104293E-3</v>
      </c>
      <c r="F21" s="27">
        <f t="shared" si="7"/>
        <v>5.0657036814123783E-3</v>
      </c>
      <c r="G21" s="27">
        <f t="shared" si="7"/>
        <v>2.8623222974906975E-3</v>
      </c>
      <c r="H21" s="27">
        <f t="shared" si="7"/>
        <v>6.9218816216979799E-3</v>
      </c>
      <c r="I21" s="27">
        <f t="shared" si="7"/>
        <v>5.9435364041604752E-3</v>
      </c>
    </row>
    <row r="22" spans="2:10" x14ac:dyDescent="0.3">
      <c r="B22" s="53"/>
      <c r="C22" s="52"/>
      <c r="D22" s="52"/>
      <c r="E22" s="52"/>
      <c r="F22" s="52"/>
      <c r="G22" s="52"/>
      <c r="H22" s="52"/>
      <c r="I22" s="52"/>
    </row>
    <row r="23" spans="2:10" x14ac:dyDescent="0.3">
      <c r="B23" s="34" t="s">
        <v>103</v>
      </c>
      <c r="C23" s="29">
        <f>IFERROR('Data Sheet'!E26,0)</f>
        <v>29.15</v>
      </c>
      <c r="D23" s="29">
        <f>IFERROR('Data Sheet'!F26,0)</f>
        <v>43.12</v>
      </c>
      <c r="E23" s="29">
        <f>IFERROR('Data Sheet'!G26,0)</f>
        <v>84.24</v>
      </c>
      <c r="F23" s="29">
        <f>IFERROR('Data Sheet'!H26,0)</f>
        <v>137.69999999999999</v>
      </c>
      <c r="G23" s="29">
        <f>IFERROR('Data Sheet'!I26,0)</f>
        <v>150.30000000000001</v>
      </c>
      <c r="H23" s="29">
        <f>IFERROR('Data Sheet'!J26,0)</f>
        <v>437</v>
      </c>
      <c r="I23" s="29">
        <f>IFERROR('Data Sheet'!K26,0)</f>
        <v>526</v>
      </c>
    </row>
    <row r="24" spans="2:10" x14ac:dyDescent="0.3">
      <c r="B24" s="35" t="s">
        <v>104</v>
      </c>
      <c r="C24" s="27">
        <f>C23/C5</f>
        <v>6.2550963477962324E-2</v>
      </c>
      <c r="D24" s="27">
        <f t="shared" ref="D24:I24" si="8">D23/D5</f>
        <v>3.2851080687800453E-2</v>
      </c>
      <c r="E24" s="27">
        <f t="shared" si="8"/>
        <v>3.2341039796678364E-2</v>
      </c>
      <c r="F24" s="27">
        <f t="shared" si="8"/>
        <v>6.9064098705988564E-2</v>
      </c>
      <c r="G24" s="27">
        <f t="shared" si="8"/>
        <v>3.5850586776070989E-2</v>
      </c>
      <c r="H24" s="27">
        <f t="shared" si="8"/>
        <v>6.1731883034326883E-2</v>
      </c>
      <c r="I24" s="27">
        <f t="shared" si="8"/>
        <v>4.342083539706125E-2</v>
      </c>
      <c r="J24" s="27"/>
    </row>
    <row r="25" spans="2:10" x14ac:dyDescent="0.3">
      <c r="B25" s="53"/>
      <c r="C25" s="52"/>
      <c r="D25" s="52"/>
      <c r="E25" s="52"/>
      <c r="F25" s="52"/>
      <c r="G25" s="52"/>
      <c r="H25" s="52"/>
      <c r="I25" s="52"/>
    </row>
    <row r="26" spans="2:10" x14ac:dyDescent="0.3">
      <c r="B26" s="34" t="s">
        <v>120</v>
      </c>
      <c r="C26" s="73">
        <f>IFERROR(C17-SUM(C20+C23),0)</f>
        <v>-127.95000000000005</v>
      </c>
      <c r="D26" s="73">
        <f t="shared" ref="D26:I26" si="9">IFERROR(D17-SUM(D20+D23),0)</f>
        <v>-2295.29</v>
      </c>
      <c r="E26" s="73">
        <f t="shared" si="9"/>
        <v>-2401.58</v>
      </c>
      <c r="F26" s="73">
        <f t="shared" si="9"/>
        <v>-614.89999999999986</v>
      </c>
      <c r="G26" s="73">
        <f t="shared" si="9"/>
        <v>-2013.1000000000006</v>
      </c>
      <c r="H26" s="73">
        <f t="shared" si="9"/>
        <v>-1697</v>
      </c>
      <c r="I26" s="73">
        <f t="shared" si="9"/>
        <v>-555</v>
      </c>
    </row>
    <row r="27" spans="2:10" x14ac:dyDescent="0.3">
      <c r="B27" s="35" t="s">
        <v>105</v>
      </c>
      <c r="C27" s="27">
        <f>C26/C5</f>
        <v>-0.27455903180121033</v>
      </c>
      <c r="D27" s="27">
        <f t="shared" ref="D27:I27" si="10">D26/D5</f>
        <v>-1.7486724719828737</v>
      </c>
      <c r="E27" s="27">
        <f t="shared" si="10"/>
        <v>-0.92200373165843807</v>
      </c>
      <c r="F27" s="27">
        <f t="shared" si="10"/>
        <v>-0.30840605878222482</v>
      </c>
      <c r="G27" s="27">
        <f t="shared" si="10"/>
        <v>-0.4801784180898771</v>
      </c>
      <c r="H27" s="27">
        <f t="shared" si="10"/>
        <v>-0.23972312473513208</v>
      </c>
      <c r="I27" s="27">
        <f t="shared" si="10"/>
        <v>-4.5814759782070329E-2</v>
      </c>
    </row>
    <row r="28" spans="2:10" x14ac:dyDescent="0.3">
      <c r="B28" s="53"/>
      <c r="C28" s="52"/>
      <c r="D28" s="52"/>
      <c r="E28" s="52"/>
      <c r="F28" s="52"/>
      <c r="G28" s="52"/>
      <c r="H28" s="52"/>
      <c r="I28" s="52"/>
    </row>
    <row r="29" spans="2:10" x14ac:dyDescent="0.3">
      <c r="B29" s="34" t="s">
        <v>106</v>
      </c>
      <c r="C29" s="29">
        <v>0</v>
      </c>
      <c r="D29" s="29">
        <f>IFERROR('Data Sheet'!F29,0)</f>
        <v>0</v>
      </c>
      <c r="E29" s="29">
        <f>IFERROR('Data Sheet'!G29,0)</f>
        <v>0</v>
      </c>
      <c r="F29" s="29">
        <f>IFERROR('Data Sheet'!H29,0)</f>
        <v>1.3</v>
      </c>
      <c r="G29" s="29">
        <f>IFERROR('Data Sheet'!I29,0)</f>
        <v>2</v>
      </c>
      <c r="H29" s="29">
        <f>IFERROR('Data Sheet'!J29,0)</f>
        <v>-44</v>
      </c>
      <c r="I29" s="29">
        <f>IFERROR('Data Sheet'!K29,0)</f>
        <v>-60</v>
      </c>
    </row>
    <row r="30" spans="2:10" x14ac:dyDescent="0.3">
      <c r="B30" s="35" t="s">
        <v>115</v>
      </c>
      <c r="C30" s="29">
        <f>C29/C26</f>
        <v>0</v>
      </c>
      <c r="D30" s="29">
        <f t="shared" ref="D30:I30" si="11">D29/D26</f>
        <v>0</v>
      </c>
      <c r="E30" s="29">
        <f t="shared" si="11"/>
        <v>0</v>
      </c>
      <c r="F30" s="27">
        <f t="shared" si="11"/>
        <v>-2.1141649048625798E-3</v>
      </c>
      <c r="G30" s="27">
        <f t="shared" si="11"/>
        <v>-9.9349262331727161E-4</v>
      </c>
      <c r="H30" s="27">
        <f t="shared" si="11"/>
        <v>2.5928108426635239E-2</v>
      </c>
      <c r="I30" s="27">
        <f t="shared" si="11"/>
        <v>0.10810810810810811</v>
      </c>
    </row>
    <row r="31" spans="2:10" x14ac:dyDescent="0.3">
      <c r="B31" s="53"/>
      <c r="C31" s="52"/>
      <c r="D31" s="52"/>
      <c r="E31" s="52"/>
      <c r="F31" s="52"/>
      <c r="G31" s="52"/>
      <c r="H31" s="52"/>
      <c r="I31" s="52"/>
    </row>
    <row r="32" spans="2:10" x14ac:dyDescent="0.3">
      <c r="B32" s="34" t="s">
        <v>107</v>
      </c>
      <c r="C32" s="73">
        <f>C26-C29</f>
        <v>-127.95000000000005</v>
      </c>
      <c r="D32" s="73">
        <f t="shared" ref="D32:I32" si="12">D26-D29</f>
        <v>-2295.29</v>
      </c>
      <c r="E32" s="73">
        <f t="shared" si="12"/>
        <v>-2401.58</v>
      </c>
      <c r="F32" s="73">
        <f t="shared" si="12"/>
        <v>-616.19999999999982</v>
      </c>
      <c r="G32" s="73">
        <f t="shared" si="12"/>
        <v>-2015.1000000000006</v>
      </c>
      <c r="H32" s="73">
        <f t="shared" si="12"/>
        <v>-1653</v>
      </c>
      <c r="I32" s="73">
        <f t="shared" si="12"/>
        <v>-495</v>
      </c>
    </row>
    <row r="33" spans="1:9" x14ac:dyDescent="0.3">
      <c r="B33" s="35" t="s">
        <v>108</v>
      </c>
      <c r="C33" s="27">
        <f>C32/C5</f>
        <v>-0.27455903180121033</v>
      </c>
      <c r="D33" s="27">
        <f t="shared" ref="D33:I33" si="13">D32/D5</f>
        <v>-1.7486724719828737</v>
      </c>
      <c r="E33" s="27">
        <f t="shared" si="13"/>
        <v>-0.92200373165843807</v>
      </c>
      <c r="F33" s="27">
        <f t="shared" si="13"/>
        <v>-0.30905808004814916</v>
      </c>
      <c r="G33" s="27">
        <f t="shared" si="13"/>
        <v>-0.48065547180612556</v>
      </c>
      <c r="H33" s="27">
        <f t="shared" si="13"/>
        <v>-0.23350755756462777</v>
      </c>
      <c r="I33" s="27">
        <f t="shared" si="13"/>
        <v>-4.0861812778603269E-2</v>
      </c>
    </row>
    <row r="34" spans="1:9" x14ac:dyDescent="0.3">
      <c r="A34" s="56"/>
      <c r="B34" s="53"/>
      <c r="C34" s="52"/>
      <c r="D34" s="52"/>
      <c r="E34" s="52"/>
      <c r="F34" s="52"/>
      <c r="G34" s="52"/>
      <c r="H34" s="52"/>
      <c r="I34" s="52"/>
    </row>
    <row r="35" spans="1:9" x14ac:dyDescent="0.3">
      <c r="B35" s="34" t="s">
        <v>109</v>
      </c>
      <c r="C35" s="28">
        <f>IFERROR('Data Sheet'!E93,0)</f>
        <v>0.03</v>
      </c>
      <c r="D35" s="28">
        <f>IFERROR('Data Sheet'!F93,0)</f>
        <v>0.03</v>
      </c>
      <c r="E35" s="28">
        <f>IFERROR('Data Sheet'!G93,0)</f>
        <v>0.03</v>
      </c>
      <c r="F35" s="28">
        <f>IFERROR('Data Sheet'!H93,0)</f>
        <v>0.04</v>
      </c>
      <c r="G35" s="28">
        <f>IFERROR('Data Sheet'!I93,0)</f>
        <v>787.19</v>
      </c>
      <c r="H35" s="28">
        <f>IFERROR('Data Sheet'!J93,0)</f>
        <v>855.35</v>
      </c>
      <c r="I35" s="28">
        <f>IFERROR('Data Sheet'!K93,0)</f>
        <v>881.98</v>
      </c>
    </row>
    <row r="36" spans="1:9" x14ac:dyDescent="0.3">
      <c r="B36" s="53"/>
      <c r="C36" s="52"/>
      <c r="D36" s="52"/>
      <c r="E36" s="52"/>
      <c r="F36" s="52"/>
      <c r="G36" s="52"/>
      <c r="H36" s="52"/>
      <c r="I36" s="52"/>
    </row>
    <row r="37" spans="1:9" x14ac:dyDescent="0.3">
      <c r="B37" s="34" t="s">
        <v>110</v>
      </c>
      <c r="C37" s="73">
        <f>C32/C35</f>
        <v>-4265.0000000000018</v>
      </c>
      <c r="D37" s="73">
        <f t="shared" ref="D37:I37" si="14">D32/D35</f>
        <v>-76509.666666666672</v>
      </c>
      <c r="E37" s="73">
        <f t="shared" si="14"/>
        <v>-80052.666666666672</v>
      </c>
      <c r="F37" s="73">
        <f t="shared" si="14"/>
        <v>-15404.999999999995</v>
      </c>
      <c r="G37" s="73">
        <f t="shared" si="14"/>
        <v>-2.5598648356813483</v>
      </c>
      <c r="H37" s="73">
        <f t="shared" si="14"/>
        <v>-1.9325422341731455</v>
      </c>
      <c r="I37" s="29">
        <f t="shared" si="14"/>
        <v>-0.56123721626340728</v>
      </c>
    </row>
    <row r="38" spans="1:9" x14ac:dyDescent="0.3">
      <c r="B38" s="35" t="s">
        <v>117</v>
      </c>
      <c r="D38" s="27">
        <f>D37/C37-1</f>
        <v>16.938960531457592</v>
      </c>
      <c r="E38" s="27">
        <f t="shared" ref="E38:I38" si="15">E37/D37-1</f>
        <v>4.6307873950568235E-2</v>
      </c>
      <c r="F38" s="27">
        <f t="shared" si="15"/>
        <v>-0.80756418691028409</v>
      </c>
      <c r="G38" s="27">
        <f t="shared" si="15"/>
        <v>-0.99983382896230566</v>
      </c>
      <c r="H38" s="27">
        <f t="shared" si="15"/>
        <v>-0.24506083007356561</v>
      </c>
      <c r="I38" s="27">
        <f t="shared" si="15"/>
        <v>-0.70958605388329987</v>
      </c>
    </row>
    <row r="39" spans="1:9" x14ac:dyDescent="0.3">
      <c r="B39" s="53"/>
      <c r="C39" s="52"/>
      <c r="D39" s="52"/>
      <c r="E39" s="52"/>
      <c r="F39" s="52"/>
      <c r="G39" s="52"/>
      <c r="H39" s="52"/>
      <c r="I39" s="52"/>
    </row>
    <row r="40" spans="1:9" x14ac:dyDescent="0.3">
      <c r="B40" s="34" t="s">
        <v>111</v>
      </c>
      <c r="C40" s="29">
        <f>IFERROR('Data Sheet'!E31,0)</f>
        <v>0</v>
      </c>
      <c r="D40" s="29">
        <f>IFERROR('Data Sheet'!F31,0)</f>
        <v>0</v>
      </c>
      <c r="E40" s="29">
        <f>IFERROR('Data Sheet'!G31,0)</f>
        <v>0</v>
      </c>
      <c r="F40" s="29">
        <f>IFERROR('Data Sheet'!H31,0)</f>
        <v>0</v>
      </c>
      <c r="G40" s="29">
        <f>IFERROR('Data Sheet'!I31,0)</f>
        <v>0</v>
      </c>
      <c r="H40" s="29">
        <f>IFERROR('Data Sheet'!J31,0)</f>
        <v>0</v>
      </c>
      <c r="I40" s="29">
        <f>IFERROR('Data Sheet'!K31,0)</f>
        <v>0</v>
      </c>
    </row>
    <row r="41" spans="1:9" x14ac:dyDescent="0.3">
      <c r="B41" s="35" t="s">
        <v>112</v>
      </c>
      <c r="C41" s="36">
        <f>C40/C37</f>
        <v>0</v>
      </c>
      <c r="D41" s="36">
        <f t="shared" ref="D41:I41" si="16">D40/D37</f>
        <v>0</v>
      </c>
      <c r="E41" s="36">
        <f t="shared" si="16"/>
        <v>0</v>
      </c>
      <c r="F41" s="36">
        <f t="shared" si="16"/>
        <v>0</v>
      </c>
      <c r="G41" s="36">
        <f t="shared" si="16"/>
        <v>0</v>
      </c>
      <c r="H41" s="36">
        <f t="shared" si="16"/>
        <v>0</v>
      </c>
      <c r="I41" s="36">
        <f t="shared" si="16"/>
        <v>0</v>
      </c>
    </row>
    <row r="42" spans="1:9" x14ac:dyDescent="0.3">
      <c r="B42" s="52"/>
      <c r="C42" s="52"/>
      <c r="D42" s="52"/>
      <c r="E42" s="52"/>
      <c r="F42" s="52"/>
      <c r="G42" s="52"/>
      <c r="H42" s="52"/>
      <c r="I42" s="52"/>
    </row>
    <row r="43" spans="1:9" ht="15" thickBot="1" x14ac:dyDescent="0.35">
      <c r="B43" s="59" t="s">
        <v>113</v>
      </c>
      <c r="C43" s="60">
        <f>IFERROR(IF(C37&gt;C40,1-C41,0),0)</f>
        <v>0</v>
      </c>
      <c r="D43" s="60">
        <f t="shared" ref="D43:I43" si="17">IFERROR(IF(D37&gt;D40,1-D41,0),0)</f>
        <v>0</v>
      </c>
      <c r="E43" s="60">
        <f t="shared" si="17"/>
        <v>0</v>
      </c>
      <c r="F43" s="60">
        <f t="shared" si="17"/>
        <v>0</v>
      </c>
      <c r="G43" s="60">
        <f t="shared" si="17"/>
        <v>0</v>
      </c>
      <c r="H43" s="60">
        <f t="shared" si="17"/>
        <v>0</v>
      </c>
      <c r="I43" s="60">
        <f t="shared" si="17"/>
        <v>0</v>
      </c>
    </row>
    <row r="44" spans="1:9" ht="15" thickTop="1" x14ac:dyDescent="0.3">
      <c r="B44" s="56"/>
      <c r="C44" s="56"/>
      <c r="D44" s="56"/>
      <c r="E44" s="56"/>
      <c r="F44" s="56"/>
      <c r="G44" s="56"/>
      <c r="H44" s="56"/>
      <c r="I44" s="56"/>
    </row>
    <row r="45" spans="1:9" x14ac:dyDescent="0.3">
      <c r="B45" s="56"/>
      <c r="C45" s="56"/>
      <c r="D45" s="56"/>
      <c r="E45" s="56"/>
      <c r="F45" s="56"/>
      <c r="G45" s="56"/>
      <c r="H45" s="56"/>
      <c r="I45" s="56"/>
    </row>
    <row r="46" spans="1:9" x14ac:dyDescent="0.3">
      <c r="A46" s="29" t="s">
        <v>114</v>
      </c>
      <c r="B46" s="51" t="s">
        <v>119</v>
      </c>
      <c r="C46" s="51"/>
      <c r="D46" s="51"/>
      <c r="E46" s="51"/>
      <c r="F46" s="51"/>
      <c r="G46" s="51"/>
      <c r="H46" s="51"/>
      <c r="I46" s="51"/>
    </row>
    <row r="47" spans="1:9" x14ac:dyDescent="0.3">
      <c r="B47" s="26" t="s">
        <v>24</v>
      </c>
      <c r="C47" s="29">
        <f>IFERROR('Data Sheet'!E57,0)</f>
        <v>0.03</v>
      </c>
      <c r="D47" s="29">
        <f>IFERROR('Data Sheet'!F57,0)</f>
        <v>0.03</v>
      </c>
      <c r="E47" s="29">
        <f>IFERROR('Data Sheet'!G57,0)</f>
        <v>0.03</v>
      </c>
      <c r="F47" s="29">
        <f>IFERROR('Data Sheet'!H57,0)</f>
        <v>0</v>
      </c>
      <c r="G47" s="29">
        <f>IFERROR('Data Sheet'!I57,0)</f>
        <v>764.3</v>
      </c>
      <c r="H47" s="29">
        <f>IFERROR('Data Sheet'!J57,0)</f>
        <v>836</v>
      </c>
      <c r="I47" s="29">
        <f>IFERROR('Data Sheet'!K57,0)</f>
        <v>868</v>
      </c>
    </row>
    <row r="48" spans="1:9" x14ac:dyDescent="0.3">
      <c r="B48" s="26" t="s">
        <v>25</v>
      </c>
      <c r="C48" s="29">
        <f>IFERROR('Data Sheet'!E58,0)</f>
        <v>1036.06</v>
      </c>
      <c r="D48" s="29">
        <f>IFERROR('Data Sheet'!F58,0)</f>
        <v>2355.61</v>
      </c>
      <c r="E48" s="29">
        <f>IFERROR('Data Sheet'!G58,0)</f>
        <v>457.35</v>
      </c>
      <c r="F48" s="29">
        <f>IFERROR('Data Sheet'!H58,0)</f>
        <v>7643.8</v>
      </c>
      <c r="G48" s="29">
        <f>IFERROR('Data Sheet'!I58,0)</f>
        <v>15741.2</v>
      </c>
      <c r="H48" s="29">
        <f>IFERROR('Data Sheet'!J58,0)</f>
        <v>18624</v>
      </c>
      <c r="I48" s="29">
        <f>IFERROR('Data Sheet'!K58,0)</f>
        <v>19545</v>
      </c>
    </row>
    <row r="49" spans="2:9" x14ac:dyDescent="0.3">
      <c r="B49" s="26" t="s">
        <v>71</v>
      </c>
      <c r="C49" s="29">
        <f>IFERROR('Data Sheet'!E59,0)</f>
        <v>186.23</v>
      </c>
      <c r="D49" s="29">
        <f>IFERROR('Data Sheet'!F59,0)</f>
        <v>347.94</v>
      </c>
      <c r="E49" s="29">
        <f>IFERROR('Data Sheet'!G59,0)</f>
        <v>325.58</v>
      </c>
      <c r="F49" s="29">
        <f>IFERROR('Data Sheet'!H59,0)</f>
        <v>527.4</v>
      </c>
      <c r="G49" s="29">
        <f>IFERROR('Data Sheet'!I59,0)</f>
        <v>70.3</v>
      </c>
      <c r="H49" s="29">
        <f>IFERROR('Data Sheet'!J59,0)</f>
        <v>507</v>
      </c>
      <c r="I49" s="29">
        <f>IFERROR('Data Sheet'!K59,0)</f>
        <v>749</v>
      </c>
    </row>
    <row r="50" spans="2:9" x14ac:dyDescent="0.3">
      <c r="B50" s="26" t="s">
        <v>72</v>
      </c>
      <c r="C50" s="29">
        <f>IFERROR('Data Sheet'!E60,0)</f>
        <v>152.16999999999999</v>
      </c>
      <c r="D50" s="29">
        <f>IFERROR('Data Sheet'!F60,0)</f>
        <v>709.3</v>
      </c>
      <c r="E50" s="29">
        <f>IFERROR('Data Sheet'!G60,0)</f>
        <v>2117.4299999999998</v>
      </c>
      <c r="F50" s="29">
        <f>IFERROR('Data Sheet'!H60,0)</f>
        <v>532.29999999999995</v>
      </c>
      <c r="G50" s="29">
        <f>IFERROR('Data Sheet'!I60,0)</f>
        <v>751.2</v>
      </c>
      <c r="H50" s="29">
        <f>IFERROR('Data Sheet'!J60,0)</f>
        <v>1632</v>
      </c>
      <c r="I50" s="29">
        <f>IFERROR('Data Sheet'!K60,0)</f>
        <v>2194</v>
      </c>
    </row>
    <row r="51" spans="2:9" x14ac:dyDescent="0.3">
      <c r="B51" s="78" t="s">
        <v>121</v>
      </c>
      <c r="C51" s="75">
        <f>IFERROR('Data Sheet'!E61,0)</f>
        <v>1374.49</v>
      </c>
      <c r="D51" s="75">
        <f>IFERROR('Data Sheet'!F61,0)</f>
        <v>3412.88</v>
      </c>
      <c r="E51" s="75">
        <f>IFERROR('Data Sheet'!G61,0)</f>
        <v>2900.39</v>
      </c>
      <c r="F51" s="75">
        <f>IFERROR('Data Sheet'!H61,0)</f>
        <v>8703.5</v>
      </c>
      <c r="G51" s="75">
        <f>IFERROR('Data Sheet'!I61,0)</f>
        <v>17327</v>
      </c>
      <c r="H51" s="75">
        <f>IFERROR('Data Sheet'!J61,0)</f>
        <v>21599</v>
      </c>
      <c r="I51" s="75">
        <f>IFERROR('Data Sheet'!K61,0)</f>
        <v>23356</v>
      </c>
    </row>
    <row r="52" spans="2:9" x14ac:dyDescent="0.3">
      <c r="B52" s="26"/>
    </row>
    <row r="53" spans="2:9" x14ac:dyDescent="0.3">
      <c r="B53" s="26" t="s">
        <v>122</v>
      </c>
      <c r="C53" s="29">
        <f>IFERROR('Data Sheet'!E62,0)</f>
        <v>189.8</v>
      </c>
      <c r="D53" s="29">
        <f>IFERROR('Data Sheet'!F62,0)</f>
        <v>389.08</v>
      </c>
      <c r="E53" s="29">
        <f>IFERROR('Data Sheet'!G62,0)</f>
        <v>1590.55</v>
      </c>
      <c r="F53" s="29">
        <f>IFERROR('Data Sheet'!H62,0)</f>
        <v>1539</v>
      </c>
      <c r="G53" s="29">
        <f>IFERROR('Data Sheet'!I62,0)</f>
        <v>1404.3</v>
      </c>
      <c r="H53" s="29">
        <f>IFERROR('Data Sheet'!J62,0)</f>
        <v>6344</v>
      </c>
      <c r="I53" s="29">
        <f>IFERROR('Data Sheet'!K62,0)</f>
        <v>6448</v>
      </c>
    </row>
    <row r="54" spans="2:9" x14ac:dyDescent="0.3">
      <c r="B54" s="26" t="s">
        <v>123</v>
      </c>
      <c r="C54" s="29">
        <f>IFERROR('Data Sheet'!E63,0)</f>
        <v>1.29</v>
      </c>
      <c r="D54" s="29">
        <f>IFERROR('Data Sheet'!F63,0)</f>
        <v>0.74</v>
      </c>
      <c r="E54" s="29">
        <f>IFERROR('Data Sheet'!G63,0)</f>
        <v>0.96</v>
      </c>
      <c r="F54" s="29">
        <f>IFERROR('Data Sheet'!H63,0)</f>
        <v>0.1</v>
      </c>
      <c r="G54" s="29">
        <f>IFERROR('Data Sheet'!I63,0)</f>
        <v>0.6</v>
      </c>
      <c r="H54" s="29">
        <f>IFERROR('Data Sheet'!J63,0)</f>
        <v>7</v>
      </c>
      <c r="I54" s="29">
        <f>IFERROR('Data Sheet'!K63,0)</f>
        <v>18</v>
      </c>
    </row>
    <row r="55" spans="2:9" x14ac:dyDescent="0.3">
      <c r="B55" s="26" t="s">
        <v>29</v>
      </c>
      <c r="C55" s="29">
        <f>IFERROR('Data Sheet'!E64,0)</f>
        <v>829.23</v>
      </c>
      <c r="D55" s="29">
        <f>IFERROR('Data Sheet'!F64,0)</f>
        <v>2144.5500000000002</v>
      </c>
      <c r="E55" s="29">
        <f>IFERROR('Data Sheet'!G64,0)</f>
        <v>323.92</v>
      </c>
      <c r="F55" s="29">
        <f>IFERROR('Data Sheet'!H64,0)</f>
        <v>2205.1999999999998</v>
      </c>
      <c r="G55" s="29">
        <f>IFERROR('Data Sheet'!I64,0)</f>
        <v>4717.7</v>
      </c>
      <c r="H55" s="29">
        <f>IFERROR('Data Sheet'!J64,0)</f>
        <v>6765</v>
      </c>
      <c r="I55" s="29">
        <f>IFERROR('Data Sheet'!K64,0)</f>
        <v>11645</v>
      </c>
    </row>
    <row r="56" spans="2:9" x14ac:dyDescent="0.3">
      <c r="B56" s="26" t="s">
        <v>73</v>
      </c>
      <c r="C56" s="29">
        <f>IFERROR('Data Sheet'!E65-SUM('Data Sheet'!E67,'Data Sheet'!E68,'Data Sheet'!E69),0)</f>
        <v>120.02000000000004</v>
      </c>
      <c r="D56" s="29">
        <f>IFERROR('Data Sheet'!F65-SUM('Data Sheet'!F67,'Data Sheet'!F68,'Data Sheet'!F69),0)</f>
        <v>567.35</v>
      </c>
      <c r="E56" s="29">
        <f>IFERROR('Data Sheet'!G65-SUM('Data Sheet'!G67,'Data Sheet'!G68,'Data Sheet'!G69),0)</f>
        <v>498.23</v>
      </c>
      <c r="F56" s="29">
        <f>IFERROR('Data Sheet'!H65-SUM('Data Sheet'!H67,'Data Sheet'!H68,'Data Sheet'!H69),0)</f>
        <v>3910.8999999999996</v>
      </c>
      <c r="G56" s="29">
        <f>IFERROR('Data Sheet'!I65-SUM('Data Sheet'!I67,'Data Sheet'!I68,'Data Sheet'!I69),0)</f>
        <v>9429.2999999999993</v>
      </c>
      <c r="H56" s="29">
        <f>IFERROR('Data Sheet'!J65-SUM('Data Sheet'!J67,'Data Sheet'!J68,'Data Sheet'!J69),0)</f>
        <v>6926</v>
      </c>
      <c r="I56" s="29">
        <f>IFERROR('Data Sheet'!K65-SUM('Data Sheet'!K67,'Data Sheet'!K68,'Data Sheet'!K69),0)</f>
        <v>3632</v>
      </c>
    </row>
    <row r="57" spans="2:9" x14ac:dyDescent="0.3">
      <c r="B57" s="78" t="s">
        <v>124</v>
      </c>
      <c r="C57" s="79">
        <f>IFERROR(SUM(C53:C56),0)</f>
        <v>1140.3400000000001</v>
      </c>
      <c r="D57" s="79">
        <f t="shared" ref="D57:I57" si="18">IFERROR(SUM(D53:D56),0)</f>
        <v>3101.7200000000003</v>
      </c>
      <c r="E57" s="79">
        <f t="shared" si="18"/>
        <v>2413.66</v>
      </c>
      <c r="F57" s="79">
        <f t="shared" si="18"/>
        <v>7655.1999999999989</v>
      </c>
      <c r="G57" s="79">
        <f t="shared" si="18"/>
        <v>15551.899999999998</v>
      </c>
      <c r="H57" s="79">
        <f t="shared" si="18"/>
        <v>20042</v>
      </c>
      <c r="I57" s="79">
        <f t="shared" si="18"/>
        <v>21743</v>
      </c>
    </row>
    <row r="58" spans="2:9" x14ac:dyDescent="0.3">
      <c r="B58" s="57"/>
      <c r="C58" s="52"/>
      <c r="D58" s="52"/>
      <c r="E58" s="52"/>
      <c r="F58" s="52"/>
      <c r="G58" s="52"/>
      <c r="H58" s="52"/>
      <c r="I58" s="52"/>
    </row>
    <row r="59" spans="2:9" x14ac:dyDescent="0.3">
      <c r="B59" s="26" t="s">
        <v>78</v>
      </c>
      <c r="C59" s="29">
        <f>IFERROR('Data Sheet'!E67,0)</f>
        <v>26.08</v>
      </c>
      <c r="D59" s="29">
        <f>IFERROR('Data Sheet'!F67,0)</f>
        <v>70.34</v>
      </c>
      <c r="E59" s="29">
        <f>IFERROR('Data Sheet'!G67,0)</f>
        <v>123.12</v>
      </c>
      <c r="F59" s="29">
        <f>IFERROR('Data Sheet'!H67,0)</f>
        <v>129.9</v>
      </c>
      <c r="G59" s="29">
        <f>IFERROR('Data Sheet'!I67,0)</f>
        <v>159.9</v>
      </c>
      <c r="H59" s="29">
        <f>IFERROR('Data Sheet'!J67,0)</f>
        <v>457</v>
      </c>
      <c r="I59" s="29">
        <f>IFERROR('Data Sheet'!K67,0)</f>
        <v>794</v>
      </c>
    </row>
    <row r="60" spans="2:9" x14ac:dyDescent="0.3">
      <c r="B60" s="26" t="s">
        <v>45</v>
      </c>
      <c r="C60" s="29">
        <f>IFERROR('Data Sheet'!E68,0)</f>
        <v>0</v>
      </c>
      <c r="D60" s="29">
        <f>IFERROR('Data Sheet'!F68,0)</f>
        <v>2.13</v>
      </c>
      <c r="E60" s="29">
        <f>IFERROR('Data Sheet'!G68,0)</f>
        <v>3.73</v>
      </c>
      <c r="F60" s="29">
        <f>IFERROR('Data Sheet'!H68,0)</f>
        <v>14.8</v>
      </c>
      <c r="G60" s="29">
        <f>IFERROR('Data Sheet'!I68,0)</f>
        <v>39.700000000000003</v>
      </c>
      <c r="H60" s="29">
        <f>IFERROR('Data Sheet'!J68,0)</f>
        <v>83</v>
      </c>
      <c r="I60" s="29">
        <f>IFERROR('Data Sheet'!K68,0)</f>
        <v>88</v>
      </c>
    </row>
    <row r="61" spans="2:9" x14ac:dyDescent="0.3">
      <c r="B61" s="26" t="s">
        <v>125</v>
      </c>
      <c r="C61" s="29">
        <f>IFERROR('Data Sheet'!E69,0)</f>
        <v>208.07</v>
      </c>
      <c r="D61" s="29">
        <f>IFERROR('Data Sheet'!F69,0)</f>
        <v>238.69</v>
      </c>
      <c r="E61" s="29">
        <f>IFERROR('Data Sheet'!G69,0)</f>
        <v>359.88</v>
      </c>
      <c r="F61" s="29">
        <f>IFERROR('Data Sheet'!H69,0)</f>
        <v>903.6</v>
      </c>
      <c r="G61" s="29">
        <f>IFERROR('Data Sheet'!I69,0)</f>
        <v>1575.5</v>
      </c>
      <c r="H61" s="29">
        <f>IFERROR('Data Sheet'!J69,0)</f>
        <v>1017</v>
      </c>
      <c r="I61" s="29">
        <f>IFERROR('Data Sheet'!K69,0)</f>
        <v>731</v>
      </c>
    </row>
    <row r="62" spans="2:9" x14ac:dyDescent="0.3">
      <c r="B62" s="78" t="s">
        <v>126</v>
      </c>
      <c r="C62" s="79">
        <f>IFERROR(SUM(C59:C61),0)</f>
        <v>234.14999999999998</v>
      </c>
      <c r="D62" s="79">
        <f t="shared" ref="D62:I62" si="19">IFERROR(SUM(D59:D61),0)</f>
        <v>311.15999999999997</v>
      </c>
      <c r="E62" s="79">
        <f t="shared" si="19"/>
        <v>486.73</v>
      </c>
      <c r="F62" s="79">
        <f t="shared" si="19"/>
        <v>1048.3</v>
      </c>
      <c r="G62" s="79">
        <f t="shared" si="19"/>
        <v>1775.1</v>
      </c>
      <c r="H62" s="79">
        <f t="shared" si="19"/>
        <v>1557</v>
      </c>
      <c r="I62" s="79">
        <f t="shared" si="19"/>
        <v>1613</v>
      </c>
    </row>
    <row r="63" spans="2:9" x14ac:dyDescent="0.3">
      <c r="B63" s="57"/>
      <c r="C63" s="52"/>
      <c r="D63" s="52"/>
      <c r="E63" s="52"/>
      <c r="F63" s="52"/>
      <c r="G63" s="52"/>
      <c r="H63" s="52"/>
      <c r="I63" s="52"/>
    </row>
    <row r="64" spans="2:9" x14ac:dyDescent="0.3">
      <c r="B64" s="78" t="s">
        <v>127</v>
      </c>
      <c r="C64" s="79">
        <f>IFERROR(SUM(C57,C62),0)</f>
        <v>1374.4900000000002</v>
      </c>
      <c r="D64" s="79">
        <f t="shared" ref="D64:I64" si="20">IFERROR(SUM(D57,D62),0)</f>
        <v>3412.88</v>
      </c>
      <c r="E64" s="79">
        <f t="shared" si="20"/>
        <v>2900.39</v>
      </c>
      <c r="F64" s="79">
        <f t="shared" si="20"/>
        <v>8703.4999999999982</v>
      </c>
      <c r="G64" s="79">
        <f t="shared" si="20"/>
        <v>17326.999999999996</v>
      </c>
      <c r="H64" s="79">
        <f t="shared" si="20"/>
        <v>21599</v>
      </c>
      <c r="I64" s="79">
        <f t="shared" si="20"/>
        <v>23356</v>
      </c>
    </row>
    <row r="65" spans="1:9" x14ac:dyDescent="0.3">
      <c r="B65" s="57"/>
      <c r="C65" s="52"/>
      <c r="D65" s="52"/>
      <c r="E65" s="52"/>
      <c r="F65" s="52"/>
      <c r="G65" s="52"/>
      <c r="H65" s="52"/>
      <c r="I65" s="52"/>
    </row>
    <row r="66" spans="1:9" ht="15" thickBot="1" x14ac:dyDescent="0.35">
      <c r="B66" s="80" t="s">
        <v>128</v>
      </c>
      <c r="C66" s="55" t="b">
        <f>C51=C64</f>
        <v>1</v>
      </c>
      <c r="D66" s="55" t="b">
        <f t="shared" ref="D66:I66" si="21">D51=D64</f>
        <v>1</v>
      </c>
      <c r="E66" s="55" t="b">
        <f t="shared" si="21"/>
        <v>1</v>
      </c>
      <c r="F66" s="55" t="b">
        <f t="shared" si="21"/>
        <v>1</v>
      </c>
      <c r="G66" s="55" t="b">
        <f t="shared" si="21"/>
        <v>1</v>
      </c>
      <c r="H66" s="55" t="b">
        <f t="shared" si="21"/>
        <v>1</v>
      </c>
      <c r="I66" s="55" t="b">
        <f t="shared" si="21"/>
        <v>1</v>
      </c>
    </row>
    <row r="67" spans="1:9" ht="15" thickTop="1" x14ac:dyDescent="0.3">
      <c r="C67" s="29">
        <f>IFERROR(CFO!D3,0)</f>
        <v>0</v>
      </c>
    </row>
    <row r="69" spans="1:9" x14ac:dyDescent="0.3">
      <c r="A69" s="29" t="s">
        <v>162</v>
      </c>
      <c r="B69" s="50" t="s">
        <v>129</v>
      </c>
      <c r="C69" s="50"/>
      <c r="D69" s="50"/>
      <c r="E69" s="50"/>
      <c r="F69" s="50"/>
      <c r="G69" s="50"/>
      <c r="H69" s="50"/>
      <c r="I69" s="50"/>
    </row>
    <row r="70" spans="1:9" x14ac:dyDescent="0.3">
      <c r="B70" s="43" t="s">
        <v>153</v>
      </c>
    </row>
    <row r="71" spans="1:9" x14ac:dyDescent="0.3">
      <c r="B71" t="s">
        <v>130</v>
      </c>
      <c r="C71" s="29">
        <f>IFERROR(CFO!D4,0)</f>
        <v>0</v>
      </c>
      <c r="D71" s="29">
        <f>IFERROR(CFO!E4,0)</f>
        <v>0</v>
      </c>
      <c r="E71" s="29">
        <f>IFERROR(CFO!F4,0)</f>
        <v>-2127</v>
      </c>
      <c r="F71" s="29">
        <f>IFERROR(CFO!G4,0)</f>
        <v>-280</v>
      </c>
      <c r="G71" s="29">
        <f>IFERROR(CFO!H4,0)</f>
        <v>-922</v>
      </c>
      <c r="H71" s="29">
        <f>IFERROR(CFO!I4,0)</f>
        <v>-637</v>
      </c>
      <c r="I71" s="29">
        <f>IFERROR(CFO!J4,0)</f>
        <v>633</v>
      </c>
    </row>
    <row r="72" spans="1:9" x14ac:dyDescent="0.3">
      <c r="B72" t="s">
        <v>78</v>
      </c>
      <c r="C72" s="29">
        <f>IFERROR(CFO!D5,0)</f>
        <v>0</v>
      </c>
      <c r="D72" s="29">
        <f>IFERROR(CFO!E5,0)</f>
        <v>0</v>
      </c>
      <c r="E72" s="29">
        <f>IFERROR(CFO!F5,0)</f>
        <v>-94</v>
      </c>
      <c r="F72" s="29">
        <f>IFERROR(CFO!G5,0)</f>
        <v>-20</v>
      </c>
      <c r="G72" s="29">
        <f>IFERROR(CFO!H5,0)</f>
        <v>-34</v>
      </c>
      <c r="H72" s="29">
        <f>IFERROR(CFO!I5,0)</f>
        <v>-203</v>
      </c>
      <c r="I72" s="29">
        <f>IFERROR(CFO!J5,0)</f>
        <v>-348</v>
      </c>
    </row>
    <row r="73" spans="1:9" x14ac:dyDescent="0.3">
      <c r="B73" t="s">
        <v>45</v>
      </c>
      <c r="C73" s="29">
        <f>IFERROR(CFO!D6,0)</f>
        <v>0</v>
      </c>
      <c r="D73" s="29">
        <f>IFERROR(CFO!E6,0)</f>
        <v>0</v>
      </c>
      <c r="E73" s="29">
        <f>IFERROR(CFO!F6,0)</f>
        <v>-2</v>
      </c>
      <c r="F73" s="29">
        <f>IFERROR(CFO!G6,0)</f>
        <v>-11</v>
      </c>
      <c r="G73" s="29">
        <f>IFERROR(CFO!H6,0)</f>
        <v>-28</v>
      </c>
      <c r="H73" s="29">
        <f>IFERROR(CFO!I6,0)</f>
        <v>-43</v>
      </c>
      <c r="I73" s="29">
        <f>IFERROR(CFO!J6,0)</f>
        <v>-5</v>
      </c>
    </row>
    <row r="74" spans="1:9" x14ac:dyDescent="0.3">
      <c r="B74" t="s">
        <v>131</v>
      </c>
      <c r="C74" s="29">
        <f>IFERROR(CFO!D7,0)</f>
        <v>0</v>
      </c>
      <c r="D74" s="29">
        <f>IFERROR(CFO!E7,0)</f>
        <v>0</v>
      </c>
      <c r="E74" s="29">
        <f>IFERROR(CFO!F7,0)</f>
        <v>-103</v>
      </c>
      <c r="F74" s="29">
        <f>IFERROR(CFO!G7,0)</f>
        <v>36</v>
      </c>
      <c r="G74" s="29">
        <f>IFERROR(CFO!H7,0)</f>
        <v>140</v>
      </c>
      <c r="H74" s="29">
        <f>IFERROR(CFO!I7,0)</f>
        <v>-71</v>
      </c>
      <c r="I74" s="29">
        <f>IFERROR(CFO!J7,0)</f>
        <v>211</v>
      </c>
    </row>
    <row r="75" spans="1:9" x14ac:dyDescent="0.3">
      <c r="B75" t="s">
        <v>132</v>
      </c>
      <c r="C75" s="29">
        <f>IFERROR(CFO!D8,0)</f>
        <v>0</v>
      </c>
      <c r="D75" s="29">
        <f>IFERROR(CFO!E8,0)</f>
        <v>0</v>
      </c>
      <c r="E75" s="29">
        <f>IFERROR(CFO!F8,0)</f>
        <v>214</v>
      </c>
      <c r="F75" s="29">
        <f>IFERROR(CFO!G8,0)</f>
        <v>-762</v>
      </c>
      <c r="G75" s="29">
        <f>IFERROR(CFO!H8,0)</f>
        <v>170</v>
      </c>
      <c r="H75" s="29">
        <f>IFERROR(CFO!I8,0)</f>
        <v>141</v>
      </c>
      <c r="I75" s="29">
        <f>IFERROR(CFO!J8,0)</f>
        <v>260</v>
      </c>
    </row>
    <row r="76" spans="1:9" x14ac:dyDescent="0.3">
      <c r="B76" t="s">
        <v>133</v>
      </c>
      <c r="C76" s="29">
        <f>IFERROR(CFO!D9,0)</f>
        <v>0</v>
      </c>
      <c r="D76" s="29">
        <f>IFERROR(CFO!E9,0)</f>
        <v>0</v>
      </c>
      <c r="E76" s="29">
        <f>IFERROR(CFO!F9,0)</f>
        <v>15</v>
      </c>
      <c r="F76" s="29">
        <f>IFERROR(CFO!G9,0)</f>
        <v>-757</v>
      </c>
      <c r="G76" s="29">
        <f>IFERROR(CFO!H9,0)</f>
        <v>248</v>
      </c>
      <c r="H76" s="29">
        <f>IFERROR(CFO!I9,0)</f>
        <v>-176</v>
      </c>
      <c r="I76" s="29">
        <f>IFERROR(CFO!J9,0)</f>
        <v>118</v>
      </c>
    </row>
    <row r="77" spans="1:9" x14ac:dyDescent="0.3">
      <c r="B77" t="s">
        <v>134</v>
      </c>
      <c r="C77" s="29">
        <f>IFERROR(CFO!D10,0)</f>
        <v>0</v>
      </c>
      <c r="D77" s="29">
        <f>IFERROR(CFO!E10,0)</f>
        <v>0</v>
      </c>
      <c r="E77" s="29">
        <f>IFERROR(CFO!F10,0)</f>
        <v>-32</v>
      </c>
      <c r="F77" s="29">
        <f>IFERROR(CFO!G10,0)</f>
        <v>19</v>
      </c>
      <c r="G77" s="29">
        <f>IFERROR(CFO!H10,0)</f>
        <v>-19</v>
      </c>
      <c r="H77" s="29">
        <f>IFERROR(CFO!I10,0)</f>
        <v>-31</v>
      </c>
      <c r="I77" s="29">
        <f>IFERROR(CFO!J10,0)</f>
        <v>-105</v>
      </c>
    </row>
    <row r="78" spans="1:9" x14ac:dyDescent="0.3">
      <c r="B78" s="74" t="s">
        <v>154</v>
      </c>
      <c r="C78" s="75">
        <f>SUM(C71:C77)</f>
        <v>0</v>
      </c>
      <c r="D78" s="75">
        <f t="shared" ref="D78:I78" si="22">SUM(D71:D77)</f>
        <v>0</v>
      </c>
      <c r="E78" s="75">
        <f t="shared" si="22"/>
        <v>-2129</v>
      </c>
      <c r="F78" s="75">
        <f t="shared" si="22"/>
        <v>-1775</v>
      </c>
      <c r="G78" s="75">
        <f t="shared" si="22"/>
        <v>-445</v>
      </c>
      <c r="H78" s="75">
        <f t="shared" si="22"/>
        <v>-1020</v>
      </c>
      <c r="I78" s="75">
        <f t="shared" si="22"/>
        <v>764</v>
      </c>
    </row>
    <row r="79" spans="1:9" x14ac:dyDescent="0.3">
      <c r="B79" s="52"/>
      <c r="C79" s="52"/>
      <c r="D79" s="52"/>
      <c r="E79" s="52"/>
      <c r="F79" s="52"/>
      <c r="G79" s="52"/>
      <c r="H79" s="52"/>
      <c r="I79" s="52"/>
    </row>
    <row r="80" spans="1:9" x14ac:dyDescent="0.3">
      <c r="B80" s="43" t="s">
        <v>155</v>
      </c>
    </row>
    <row r="81" spans="2:9" x14ac:dyDescent="0.3">
      <c r="B81" t="s">
        <v>135</v>
      </c>
      <c r="C81" s="29">
        <f>IFERROR(CFO!D12,0)</f>
        <v>0</v>
      </c>
      <c r="D81" s="29">
        <f>IFERROR(CFO!E12,0)</f>
        <v>0</v>
      </c>
      <c r="E81" s="29">
        <f>IFERROR(CFO!F12,0)</f>
        <v>-21</v>
      </c>
      <c r="F81" s="29">
        <f>IFERROR(CFO!G12,0)</f>
        <v>-10</v>
      </c>
      <c r="G81" s="29">
        <f>IFERROR(CFO!H12,0)</f>
        <v>-59</v>
      </c>
      <c r="H81" s="29">
        <f>IFERROR(CFO!I12,0)</f>
        <v>-103</v>
      </c>
      <c r="I81" s="29">
        <f>IFERROR(CFO!J12,0)</f>
        <v>-215</v>
      </c>
    </row>
    <row r="82" spans="2:9" x14ac:dyDescent="0.3">
      <c r="B82" t="s">
        <v>136</v>
      </c>
      <c r="C82" s="29">
        <f>IFERROR(CFO!D13,0)</f>
        <v>0</v>
      </c>
      <c r="D82" s="29">
        <f>IFERROR(CFO!E13,0)</f>
        <v>0</v>
      </c>
      <c r="E82" s="29">
        <f>IFERROR(CFO!F13,0)</f>
        <v>0</v>
      </c>
      <c r="F82" s="29">
        <f>IFERROR(CFO!G13,0)</f>
        <v>0</v>
      </c>
      <c r="G82" s="29">
        <f>IFERROR(CFO!H13,0)</f>
        <v>2</v>
      </c>
      <c r="H82" s="29">
        <f>IFERROR(CFO!I13,0)</f>
        <v>2</v>
      </c>
      <c r="I82" s="29">
        <f>IFERROR(CFO!J13,0)</f>
        <v>13</v>
      </c>
    </row>
    <row r="83" spans="2:9" x14ac:dyDescent="0.3">
      <c r="B83" t="s">
        <v>137</v>
      </c>
      <c r="C83" s="29">
        <f>IFERROR(CFO!D14,0)</f>
        <v>0</v>
      </c>
      <c r="D83" s="29">
        <f>IFERROR(CFO!E14,0)</f>
        <v>0</v>
      </c>
      <c r="E83" s="29">
        <f>IFERROR(CFO!F14,0)</f>
        <v>-2148</v>
      </c>
      <c r="F83" s="29">
        <f>IFERROR(CFO!G14,0)</f>
        <v>-8341</v>
      </c>
      <c r="G83" s="29">
        <f>IFERROR(CFO!H14,0)</f>
        <v>-7376</v>
      </c>
      <c r="H83" s="29">
        <f>IFERROR(CFO!I14,0)</f>
        <v>-15058</v>
      </c>
      <c r="I83" s="29">
        <f>IFERROR(CFO!J14,0)</f>
        <v>-35202</v>
      </c>
    </row>
    <row r="84" spans="2:9" x14ac:dyDescent="0.3">
      <c r="B84" t="s">
        <v>138</v>
      </c>
      <c r="C84" s="29">
        <f>IFERROR(CFO!D15,0)</f>
        <v>0</v>
      </c>
      <c r="D84" s="29">
        <f>IFERROR(CFO!E15,0)</f>
        <v>0</v>
      </c>
      <c r="E84" s="29">
        <f>IFERROR(CFO!F15,0)</f>
        <v>4046</v>
      </c>
      <c r="F84" s="29">
        <f>IFERROR(CFO!G15,0)</f>
        <v>6521</v>
      </c>
      <c r="G84" s="29">
        <f>IFERROR(CFO!H15,0)</f>
        <v>5308</v>
      </c>
      <c r="H84" s="29">
        <f>IFERROR(CFO!I15,0)</f>
        <v>12649</v>
      </c>
      <c r="I84" s="29">
        <f>IFERROR(CFO!J15,0)</f>
        <v>30445</v>
      </c>
    </row>
    <row r="85" spans="2:9" x14ac:dyDescent="0.3">
      <c r="B85" t="s">
        <v>139</v>
      </c>
      <c r="C85" s="29">
        <f>IFERROR(CFO!D16,0)</f>
        <v>0</v>
      </c>
      <c r="D85" s="29">
        <f>IFERROR(CFO!E16,0)</f>
        <v>0</v>
      </c>
      <c r="E85" s="29">
        <f>IFERROR(CFO!F16,0)</f>
        <v>25</v>
      </c>
      <c r="F85" s="29">
        <f>IFERROR(CFO!G16,0)</f>
        <v>11</v>
      </c>
      <c r="G85" s="29">
        <f>IFERROR(CFO!H16,0)</f>
        <v>113</v>
      </c>
      <c r="H85" s="29">
        <f>IFERROR(CFO!I16,0)</f>
        <v>490</v>
      </c>
      <c r="I85" s="29">
        <f>IFERROR(CFO!J16,0)</f>
        <v>618</v>
      </c>
    </row>
    <row r="86" spans="2:9" x14ac:dyDescent="0.3">
      <c r="B86" t="s">
        <v>140</v>
      </c>
      <c r="C86" s="29">
        <f>IFERROR(CFO!D17,0)</f>
        <v>0</v>
      </c>
      <c r="D86" s="29">
        <f>IFERROR(CFO!E17,0)</f>
        <v>0</v>
      </c>
      <c r="E86" s="29">
        <f>IFERROR(CFO!F17,0)</f>
        <v>0</v>
      </c>
      <c r="F86" s="29">
        <f>IFERROR(CFO!G17,0)</f>
        <v>0</v>
      </c>
      <c r="G86" s="29">
        <f>IFERROR(CFO!H17,0)</f>
        <v>1</v>
      </c>
      <c r="H86" s="29">
        <f>IFERROR(CFO!I17,0)</f>
        <v>0</v>
      </c>
      <c r="I86" s="29">
        <f>IFERROR(CFO!J17,0)</f>
        <v>0</v>
      </c>
    </row>
    <row r="87" spans="2:9" x14ac:dyDescent="0.3">
      <c r="B87" t="s">
        <v>141</v>
      </c>
      <c r="C87" s="29">
        <f>IFERROR(CFO!D18,0)</f>
        <v>0</v>
      </c>
      <c r="D87" s="29">
        <f>IFERROR(CFO!E18,0)</f>
        <v>0</v>
      </c>
      <c r="E87" s="29">
        <f>IFERROR(CFO!F18,0)</f>
        <v>0</v>
      </c>
      <c r="F87" s="29">
        <f>IFERROR(CFO!G18,0)</f>
        <v>-20</v>
      </c>
      <c r="G87" s="29">
        <f>IFERROR(CFO!H18,0)</f>
        <v>0</v>
      </c>
      <c r="H87" s="29">
        <f>IFERROR(CFO!I18,0)</f>
        <v>0</v>
      </c>
      <c r="I87" s="29">
        <f>IFERROR(CFO!J18,0)</f>
        <v>0</v>
      </c>
    </row>
    <row r="88" spans="2:9" x14ac:dyDescent="0.3">
      <c r="B88" t="s">
        <v>142</v>
      </c>
      <c r="C88" s="29">
        <f>IFERROR(CFO!D19,0)</f>
        <v>0</v>
      </c>
      <c r="D88" s="29">
        <f>IFERROR(CFO!E19,0)</f>
        <v>0</v>
      </c>
      <c r="E88" s="29">
        <f>IFERROR(CFO!F19,0)</f>
        <v>-162</v>
      </c>
      <c r="F88" s="29">
        <f>IFERROR(CFO!G19,0)</f>
        <v>-3405</v>
      </c>
      <c r="G88" s="29">
        <f>IFERROR(CFO!H19,0)</f>
        <v>-5960</v>
      </c>
      <c r="H88" s="29">
        <f>IFERROR(CFO!I19,0)</f>
        <v>2817</v>
      </c>
      <c r="I88" s="29">
        <f>IFERROR(CFO!J19,0)</f>
        <v>3993</v>
      </c>
    </row>
    <row r="89" spans="2:9" x14ac:dyDescent="0.3">
      <c r="B89" s="74" t="s">
        <v>156</v>
      </c>
      <c r="C89" s="75">
        <f>SUM(C81:C88)</f>
        <v>0</v>
      </c>
      <c r="D89" s="75">
        <f t="shared" ref="D89:I89" si="23">SUM(D81:D88)</f>
        <v>0</v>
      </c>
      <c r="E89" s="75">
        <f t="shared" si="23"/>
        <v>1740</v>
      </c>
      <c r="F89" s="75">
        <f t="shared" si="23"/>
        <v>-5244</v>
      </c>
      <c r="G89" s="75">
        <f t="shared" si="23"/>
        <v>-7971</v>
      </c>
      <c r="H89" s="75">
        <f t="shared" si="23"/>
        <v>797</v>
      </c>
      <c r="I89" s="75">
        <f t="shared" si="23"/>
        <v>-348</v>
      </c>
    </row>
    <row r="90" spans="2:9" x14ac:dyDescent="0.3">
      <c r="B90" s="52"/>
      <c r="C90" s="52"/>
      <c r="D90" s="52"/>
      <c r="E90" s="52"/>
      <c r="F90" s="52"/>
      <c r="G90" s="52"/>
      <c r="H90" s="52"/>
      <c r="I90" s="52"/>
    </row>
    <row r="91" spans="2:9" x14ac:dyDescent="0.3">
      <c r="B91" s="43" t="s">
        <v>157</v>
      </c>
    </row>
    <row r="92" spans="2:9" x14ac:dyDescent="0.3">
      <c r="B92" t="s">
        <v>143</v>
      </c>
      <c r="C92" s="29">
        <f>IFERROR(CFO!D21,0)</f>
        <v>0</v>
      </c>
      <c r="D92" s="29">
        <f>IFERROR(CFO!E21,0)</f>
        <v>0</v>
      </c>
      <c r="E92" s="29">
        <f>IFERROR(CFO!F21,0)</f>
        <v>0</v>
      </c>
      <c r="F92" s="29">
        <f>IFERROR(CFO!G21,0)</f>
        <v>6608</v>
      </c>
      <c r="G92" s="29">
        <f>IFERROR(CFO!H21,0)</f>
        <v>9008</v>
      </c>
      <c r="H92" s="29">
        <f>IFERROR(CFO!I21,0)</f>
        <v>11</v>
      </c>
      <c r="I92" s="29">
        <f>IFERROR(CFO!J21,0)</f>
        <v>32</v>
      </c>
    </row>
    <row r="93" spans="2:9" x14ac:dyDescent="0.3">
      <c r="B93" t="s">
        <v>144</v>
      </c>
      <c r="C93" s="29">
        <f>IFERROR(CFO!D22,0)</f>
        <v>0</v>
      </c>
      <c r="D93" s="29">
        <f>IFERROR(CFO!E22,0)</f>
        <v>0</v>
      </c>
      <c r="E93" s="29">
        <f>IFERROR(CFO!F22,0)</f>
        <v>0</v>
      </c>
      <c r="F93" s="29">
        <f>IFERROR(CFO!G22,0)</f>
        <v>2</v>
      </c>
      <c r="G93" s="29">
        <f>IFERROR(CFO!H22,0)</f>
        <v>0</v>
      </c>
      <c r="H93" s="29">
        <f>IFERROR(CFO!I22,0)</f>
        <v>0</v>
      </c>
      <c r="I93" s="29">
        <f>IFERROR(CFO!J22,0)</f>
        <v>0</v>
      </c>
    </row>
    <row r="94" spans="2:9" x14ac:dyDescent="0.3">
      <c r="B94" t="s">
        <v>145</v>
      </c>
      <c r="C94" s="29">
        <f>IFERROR(CFO!D23,0)</f>
        <v>0</v>
      </c>
      <c r="D94" s="29">
        <f>IFERROR(CFO!E23,0)</f>
        <v>0</v>
      </c>
      <c r="E94" s="29">
        <f>IFERROR(CFO!F23,0)</f>
        <v>0</v>
      </c>
      <c r="F94" s="29">
        <f>IFERROR(CFO!G23,0)</f>
        <v>-4</v>
      </c>
      <c r="G94" s="29">
        <f>IFERROR(CFO!H23,0)</f>
        <v>-1</v>
      </c>
      <c r="H94" s="29">
        <f>IFERROR(CFO!I23,0)</f>
        <v>-23</v>
      </c>
      <c r="I94" s="29">
        <f>IFERROR(CFO!J23,0)</f>
        <v>-40</v>
      </c>
    </row>
    <row r="95" spans="2:9" x14ac:dyDescent="0.3">
      <c r="B95" t="s">
        <v>146</v>
      </c>
      <c r="C95" s="29">
        <f>IFERROR(CFO!D24,0)</f>
        <v>0</v>
      </c>
      <c r="D95" s="29">
        <f>IFERROR(CFO!E24,0)</f>
        <v>0</v>
      </c>
      <c r="E95" s="29">
        <f>IFERROR(CFO!F24,0)</f>
        <v>-11</v>
      </c>
      <c r="F95" s="29">
        <f>IFERROR(CFO!G24,0)</f>
        <v>-9</v>
      </c>
      <c r="G95" s="29">
        <f>IFERROR(CFO!H24,0)</f>
        <v>-10</v>
      </c>
      <c r="H95" s="29">
        <f>IFERROR(CFO!I24,0)</f>
        <v>-50</v>
      </c>
      <c r="I95" s="29">
        <f>IFERROR(CFO!J24,0)</f>
        <v>-69</v>
      </c>
    </row>
    <row r="96" spans="2:9" x14ac:dyDescent="0.3">
      <c r="B96" t="s">
        <v>147</v>
      </c>
      <c r="C96" s="29">
        <f>IFERROR(CFO!D25,0)</f>
        <v>0</v>
      </c>
      <c r="D96" s="29">
        <f>IFERROR(CFO!E25,0)</f>
        <v>0</v>
      </c>
      <c r="E96" s="29">
        <f>IFERROR(CFO!F25,0)</f>
        <v>-20</v>
      </c>
      <c r="F96" s="29">
        <f>IFERROR(CFO!G25,0)</f>
        <v>-14</v>
      </c>
      <c r="G96" s="29">
        <f>IFERROR(CFO!H25,0)</f>
        <v>-20</v>
      </c>
      <c r="H96" s="29">
        <f>IFERROR(CFO!I25,0)</f>
        <v>-65</v>
      </c>
      <c r="I96" s="29">
        <f>IFERROR(CFO!J25,0)</f>
        <v>-129</v>
      </c>
    </row>
    <row r="97" spans="2:9" x14ac:dyDescent="0.3">
      <c r="B97" t="s">
        <v>148</v>
      </c>
      <c r="C97" s="29">
        <f>IFERROR(CFO!D26,0)</f>
        <v>0</v>
      </c>
      <c r="D97" s="29">
        <f>IFERROR(CFO!E26,0)</f>
        <v>0</v>
      </c>
      <c r="E97" s="29">
        <f>IFERROR(CFO!F26,0)</f>
        <v>390</v>
      </c>
      <c r="F97" s="29">
        <f>IFERROR(CFO!G26,0)</f>
        <v>-181</v>
      </c>
      <c r="G97" s="29">
        <f>IFERROR(CFO!H26,0)</f>
        <v>-226</v>
      </c>
      <c r="H97" s="29">
        <f>IFERROR(CFO!I26,0)</f>
        <v>0</v>
      </c>
      <c r="I97" s="29">
        <f>IFERROR(CFO!J26,0)</f>
        <v>-1</v>
      </c>
    </row>
    <row r="98" spans="2:9" x14ac:dyDescent="0.3">
      <c r="B98" s="74" t="s">
        <v>158</v>
      </c>
      <c r="C98" s="75">
        <f>SUM(C92:C97)</f>
        <v>0</v>
      </c>
      <c r="D98" s="75">
        <f t="shared" ref="D98:I98" si="24">SUM(D92:D97)</f>
        <v>0</v>
      </c>
      <c r="E98" s="75">
        <f t="shared" si="24"/>
        <v>359</v>
      </c>
      <c r="F98" s="75">
        <f t="shared" si="24"/>
        <v>6402</v>
      </c>
      <c r="G98" s="75">
        <f t="shared" si="24"/>
        <v>8751</v>
      </c>
      <c r="H98" s="75">
        <f t="shared" si="24"/>
        <v>-127</v>
      </c>
      <c r="I98" s="75">
        <f t="shared" si="24"/>
        <v>-207</v>
      </c>
    </row>
    <row r="99" spans="2:9" x14ac:dyDescent="0.3">
      <c r="B99" s="52"/>
      <c r="C99" s="52"/>
      <c r="D99" s="52"/>
      <c r="E99" s="52"/>
      <c r="F99" s="52"/>
      <c r="G99" s="52"/>
      <c r="H99" s="52"/>
      <c r="I99" s="52"/>
    </row>
    <row r="100" spans="2:9" ht="15" thickBot="1" x14ac:dyDescent="0.35">
      <c r="B100" s="76" t="s">
        <v>35</v>
      </c>
      <c r="C100" s="77">
        <f>IFERROR(C78+C89+C98,0)</f>
        <v>0</v>
      </c>
      <c r="D100" s="77">
        <f t="shared" ref="D100:I100" si="25">IFERROR(D78+D89+D98,0)</f>
        <v>0</v>
      </c>
      <c r="E100" s="77">
        <f t="shared" si="25"/>
        <v>-30</v>
      </c>
      <c r="F100" s="77">
        <f t="shared" si="25"/>
        <v>-617</v>
      </c>
      <c r="G100" s="77">
        <f t="shared" si="25"/>
        <v>335</v>
      </c>
      <c r="H100" s="77">
        <f t="shared" si="25"/>
        <v>-350</v>
      </c>
      <c r="I100" s="77">
        <f t="shared" si="25"/>
        <v>209</v>
      </c>
    </row>
    <row r="101" spans="2:9" ht="15" thickTop="1" x14ac:dyDescent="0.3">
      <c r="B101" s="58"/>
      <c r="C101" s="58"/>
      <c r="D101" s="58"/>
      <c r="E101" s="58"/>
      <c r="F101" s="58"/>
      <c r="G101" s="58"/>
      <c r="H101" s="58"/>
      <c r="I101" s="58"/>
    </row>
  </sheetData>
  <mergeCells count="2">
    <mergeCell ref="B1:I1"/>
    <mergeCell ref="B69:I6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56CC-2592-4B1E-BAC0-28A235910E07}">
  <dimension ref="A1:U44"/>
  <sheetViews>
    <sheetView workbookViewId="0">
      <selection activeCell="K12" sqref="K12"/>
    </sheetView>
  </sheetViews>
  <sheetFormatPr defaultRowHeight="14.4" x14ac:dyDescent="0.3"/>
  <sheetData>
    <row r="1" spans="1:10" x14ac:dyDescent="0.3">
      <c r="A1" s="39"/>
      <c r="B1" s="40"/>
      <c r="C1" s="40"/>
      <c r="D1" s="41"/>
      <c r="E1" s="41"/>
      <c r="F1" s="40"/>
      <c r="G1" s="40"/>
      <c r="H1" s="40"/>
    </row>
    <row r="2" spans="1:10" x14ac:dyDescent="0.3">
      <c r="A2" s="64" t="s">
        <v>152</v>
      </c>
      <c r="B2" s="64"/>
      <c r="C2" s="65"/>
      <c r="D2" s="66">
        <v>43160</v>
      </c>
      <c r="E2" s="61">
        <v>43525</v>
      </c>
      <c r="F2" s="61">
        <v>43891</v>
      </c>
      <c r="G2" s="61">
        <v>44256</v>
      </c>
      <c r="H2" s="61">
        <v>44621</v>
      </c>
      <c r="I2" s="61">
        <v>44986</v>
      </c>
      <c r="J2" s="61">
        <v>45352</v>
      </c>
    </row>
    <row r="3" spans="1:10" x14ac:dyDescent="0.3">
      <c r="A3" s="68" t="s">
        <v>149</v>
      </c>
      <c r="B3" s="68"/>
      <c r="C3" s="69"/>
      <c r="D3" s="67">
        <v>0</v>
      </c>
      <c r="E3" s="62">
        <v>0</v>
      </c>
      <c r="F3" s="63">
        <v>-2144</v>
      </c>
      <c r="G3" s="63">
        <v>-1018</v>
      </c>
      <c r="H3" s="62">
        <v>-693</v>
      </c>
      <c r="I3" s="62">
        <v>-844</v>
      </c>
      <c r="J3" s="62">
        <v>646</v>
      </c>
    </row>
    <row r="4" spans="1:10" x14ac:dyDescent="0.3">
      <c r="A4" s="68" t="s">
        <v>130</v>
      </c>
      <c r="B4" s="68"/>
      <c r="C4" s="69"/>
      <c r="D4" s="67">
        <v>0</v>
      </c>
      <c r="E4" s="62">
        <v>0</v>
      </c>
      <c r="F4" s="63">
        <v>-2127</v>
      </c>
      <c r="G4" s="62">
        <v>-280</v>
      </c>
      <c r="H4" s="62">
        <v>-922</v>
      </c>
      <c r="I4" s="62">
        <v>-637</v>
      </c>
      <c r="J4" s="62">
        <v>633</v>
      </c>
    </row>
    <row r="5" spans="1:10" x14ac:dyDescent="0.3">
      <c r="A5" s="68" t="s">
        <v>78</v>
      </c>
      <c r="B5" s="68"/>
      <c r="C5" s="69"/>
      <c r="D5" s="67">
        <v>0</v>
      </c>
      <c r="E5" s="62">
        <v>0</v>
      </c>
      <c r="F5" s="62">
        <v>-94</v>
      </c>
      <c r="G5" s="62">
        <v>-20</v>
      </c>
      <c r="H5" s="62">
        <v>-34</v>
      </c>
      <c r="I5" s="62">
        <v>-203</v>
      </c>
      <c r="J5" s="62">
        <v>-348</v>
      </c>
    </row>
    <row r="6" spans="1:10" x14ac:dyDescent="0.3">
      <c r="A6" s="68" t="s">
        <v>45</v>
      </c>
      <c r="B6" s="68"/>
      <c r="C6" s="69"/>
      <c r="D6" s="67">
        <v>0</v>
      </c>
      <c r="E6" s="62">
        <v>0</v>
      </c>
      <c r="F6" s="62">
        <v>-2</v>
      </c>
      <c r="G6" s="62">
        <v>-11</v>
      </c>
      <c r="H6" s="62">
        <v>-28</v>
      </c>
      <c r="I6" s="62">
        <v>-43</v>
      </c>
      <c r="J6" s="62">
        <v>-5</v>
      </c>
    </row>
    <row r="7" spans="1:10" x14ac:dyDescent="0.3">
      <c r="A7" s="68" t="s">
        <v>131</v>
      </c>
      <c r="B7" s="68"/>
      <c r="C7" s="69"/>
      <c r="D7" s="67">
        <v>0</v>
      </c>
      <c r="E7" s="62">
        <v>0</v>
      </c>
      <c r="F7" s="62">
        <v>-103</v>
      </c>
      <c r="G7" s="62">
        <v>36</v>
      </c>
      <c r="H7" s="62">
        <v>140</v>
      </c>
      <c r="I7" s="62">
        <v>-71</v>
      </c>
      <c r="J7" s="62">
        <v>211</v>
      </c>
    </row>
    <row r="8" spans="1:10" x14ac:dyDescent="0.3">
      <c r="A8" s="68" t="s">
        <v>132</v>
      </c>
      <c r="B8" s="68"/>
      <c r="C8" s="69"/>
      <c r="D8" s="67">
        <v>0</v>
      </c>
      <c r="E8" s="62">
        <v>0</v>
      </c>
      <c r="F8" s="62">
        <v>214</v>
      </c>
      <c r="G8" s="62">
        <v>-762</v>
      </c>
      <c r="H8" s="62">
        <v>170</v>
      </c>
      <c r="I8" s="62">
        <v>141</v>
      </c>
      <c r="J8" s="62">
        <v>260</v>
      </c>
    </row>
    <row r="9" spans="1:10" x14ac:dyDescent="0.3">
      <c r="A9" s="68" t="s">
        <v>133</v>
      </c>
      <c r="B9" s="68"/>
      <c r="C9" s="69"/>
      <c r="D9" s="67">
        <v>0</v>
      </c>
      <c r="E9" s="62">
        <v>0</v>
      </c>
      <c r="F9" s="62">
        <v>15</v>
      </c>
      <c r="G9" s="62">
        <v>-757</v>
      </c>
      <c r="H9" s="62">
        <v>248</v>
      </c>
      <c r="I9" s="62">
        <v>-176</v>
      </c>
      <c r="J9" s="62">
        <v>118</v>
      </c>
    </row>
    <row r="10" spans="1:10" x14ac:dyDescent="0.3">
      <c r="A10" s="68" t="s">
        <v>134</v>
      </c>
      <c r="B10" s="68"/>
      <c r="C10" s="69"/>
      <c r="D10" s="67">
        <v>0</v>
      </c>
      <c r="E10" s="62">
        <v>0</v>
      </c>
      <c r="F10" s="62">
        <v>-32</v>
      </c>
      <c r="G10" s="62">
        <v>19</v>
      </c>
      <c r="H10" s="62">
        <v>-19</v>
      </c>
      <c r="I10" s="62">
        <v>-31</v>
      </c>
      <c r="J10" s="62">
        <v>-105</v>
      </c>
    </row>
    <row r="11" spans="1:10" x14ac:dyDescent="0.3">
      <c r="A11" s="68" t="s">
        <v>150</v>
      </c>
      <c r="B11" s="68"/>
      <c r="C11" s="69"/>
      <c r="D11" s="67">
        <v>0</v>
      </c>
      <c r="E11" s="62">
        <v>0</v>
      </c>
      <c r="F11" s="63">
        <v>1740</v>
      </c>
      <c r="G11" s="63">
        <v>-5245</v>
      </c>
      <c r="H11" s="63">
        <v>-7971</v>
      </c>
      <c r="I11" s="62">
        <v>797</v>
      </c>
      <c r="J11" s="62">
        <v>-348</v>
      </c>
    </row>
    <row r="12" spans="1:10" x14ac:dyDescent="0.3">
      <c r="A12" s="68" t="s">
        <v>135</v>
      </c>
      <c r="B12" s="68"/>
      <c r="C12" s="69"/>
      <c r="D12" s="67">
        <v>0</v>
      </c>
      <c r="E12" s="62">
        <v>0</v>
      </c>
      <c r="F12" s="62">
        <v>-21</v>
      </c>
      <c r="G12" s="62">
        <v>-10</v>
      </c>
      <c r="H12" s="62">
        <v>-59</v>
      </c>
      <c r="I12" s="62">
        <v>-103</v>
      </c>
      <c r="J12" s="62">
        <v>-215</v>
      </c>
    </row>
    <row r="13" spans="1:10" x14ac:dyDescent="0.3">
      <c r="A13" s="68" t="s">
        <v>136</v>
      </c>
      <c r="B13" s="68"/>
      <c r="C13" s="69"/>
      <c r="D13" s="67">
        <v>0</v>
      </c>
      <c r="E13" s="62">
        <v>0</v>
      </c>
      <c r="F13" s="62">
        <v>0</v>
      </c>
      <c r="G13" s="62">
        <v>0</v>
      </c>
      <c r="H13" s="62">
        <v>2</v>
      </c>
      <c r="I13" s="62">
        <v>2</v>
      </c>
      <c r="J13" s="62">
        <v>13</v>
      </c>
    </row>
    <row r="14" spans="1:10" x14ac:dyDescent="0.3">
      <c r="A14" s="68" t="s">
        <v>137</v>
      </c>
      <c r="B14" s="68"/>
      <c r="C14" s="69"/>
      <c r="D14" s="67">
        <v>0</v>
      </c>
      <c r="E14" s="62">
        <v>0</v>
      </c>
      <c r="F14" s="63">
        <v>-2148</v>
      </c>
      <c r="G14" s="63">
        <v>-8341</v>
      </c>
      <c r="H14" s="63">
        <v>-7376</v>
      </c>
      <c r="I14" s="63">
        <v>-15058</v>
      </c>
      <c r="J14" s="63">
        <v>-35202</v>
      </c>
    </row>
    <row r="15" spans="1:10" x14ac:dyDescent="0.3">
      <c r="A15" s="68" t="s">
        <v>138</v>
      </c>
      <c r="B15" s="68"/>
      <c r="C15" s="69"/>
      <c r="D15" s="67">
        <v>0</v>
      </c>
      <c r="E15" s="62">
        <v>0</v>
      </c>
      <c r="F15" s="63">
        <v>4046</v>
      </c>
      <c r="G15" s="63">
        <v>6521</v>
      </c>
      <c r="H15" s="63">
        <v>5308</v>
      </c>
      <c r="I15" s="63">
        <v>12649</v>
      </c>
      <c r="J15" s="63">
        <v>30445</v>
      </c>
    </row>
    <row r="16" spans="1:10" x14ac:dyDescent="0.3">
      <c r="A16" s="68" t="s">
        <v>139</v>
      </c>
      <c r="B16" s="68"/>
      <c r="C16" s="69"/>
      <c r="D16" s="67">
        <v>0</v>
      </c>
      <c r="E16" s="62">
        <v>0</v>
      </c>
      <c r="F16" s="62">
        <v>25</v>
      </c>
      <c r="G16" s="62">
        <v>11</v>
      </c>
      <c r="H16" s="62">
        <v>113</v>
      </c>
      <c r="I16" s="62">
        <v>490</v>
      </c>
      <c r="J16" s="62">
        <v>618</v>
      </c>
    </row>
    <row r="17" spans="1:18" x14ac:dyDescent="0.3">
      <c r="A17" s="68" t="s">
        <v>140</v>
      </c>
      <c r="B17" s="68"/>
      <c r="C17" s="69"/>
      <c r="D17" s="67">
        <v>0</v>
      </c>
      <c r="E17" s="62">
        <v>0</v>
      </c>
      <c r="F17" s="62">
        <v>0</v>
      </c>
      <c r="G17" s="62">
        <v>0</v>
      </c>
      <c r="H17" s="62">
        <v>1</v>
      </c>
      <c r="I17" s="62">
        <v>0</v>
      </c>
      <c r="J17" s="62">
        <v>0</v>
      </c>
    </row>
    <row r="18" spans="1:18" x14ac:dyDescent="0.3">
      <c r="A18" s="68" t="s">
        <v>141</v>
      </c>
      <c r="B18" s="68"/>
      <c r="C18" s="69"/>
      <c r="D18" s="67">
        <v>0</v>
      </c>
      <c r="E18" s="62">
        <v>0</v>
      </c>
      <c r="F18" s="62">
        <v>0</v>
      </c>
      <c r="G18" s="62">
        <v>-20</v>
      </c>
      <c r="H18" s="62">
        <v>0</v>
      </c>
      <c r="I18" s="62">
        <v>0</v>
      </c>
      <c r="J18" s="62">
        <v>0</v>
      </c>
    </row>
    <row r="19" spans="1:18" x14ac:dyDescent="0.3">
      <c r="A19" s="68" t="s">
        <v>142</v>
      </c>
      <c r="B19" s="68"/>
      <c r="C19" s="69"/>
      <c r="D19" s="67">
        <v>0</v>
      </c>
      <c r="E19" s="62">
        <v>0</v>
      </c>
      <c r="F19" s="62">
        <v>-162</v>
      </c>
      <c r="G19" s="63">
        <v>-3405</v>
      </c>
      <c r="H19" s="63">
        <v>-5960</v>
      </c>
      <c r="I19" s="63">
        <v>2817</v>
      </c>
      <c r="J19" s="63">
        <v>3993</v>
      </c>
    </row>
    <row r="20" spans="1:18" x14ac:dyDescent="0.3">
      <c r="A20" s="68" t="s">
        <v>151</v>
      </c>
      <c r="B20" s="68"/>
      <c r="C20" s="69"/>
      <c r="D20" s="67">
        <v>0</v>
      </c>
      <c r="E20" s="62">
        <v>0</v>
      </c>
      <c r="F20" s="62">
        <v>359</v>
      </c>
      <c r="G20" s="63">
        <v>6402</v>
      </c>
      <c r="H20" s="63">
        <v>8750</v>
      </c>
      <c r="I20" s="62">
        <v>-127</v>
      </c>
      <c r="J20" s="62">
        <v>-207</v>
      </c>
    </row>
    <row r="21" spans="1:18" x14ac:dyDescent="0.3">
      <c r="A21" s="68" t="s">
        <v>143</v>
      </c>
      <c r="B21" s="68"/>
      <c r="C21" s="69"/>
      <c r="D21" s="67">
        <v>0</v>
      </c>
      <c r="E21" s="62">
        <v>0</v>
      </c>
      <c r="F21" s="62">
        <v>0</v>
      </c>
      <c r="G21" s="63">
        <v>6608</v>
      </c>
      <c r="H21" s="63">
        <v>9008</v>
      </c>
      <c r="I21" s="62">
        <v>11</v>
      </c>
      <c r="J21" s="62">
        <v>32</v>
      </c>
    </row>
    <row r="22" spans="1:18" x14ac:dyDescent="0.3">
      <c r="A22" s="68" t="s">
        <v>144</v>
      </c>
      <c r="B22" s="68"/>
      <c r="C22" s="69"/>
      <c r="D22" s="67">
        <v>0</v>
      </c>
      <c r="E22" s="62">
        <v>0</v>
      </c>
      <c r="F22" s="62">
        <v>0</v>
      </c>
      <c r="G22" s="62">
        <v>2</v>
      </c>
      <c r="H22" s="62">
        <v>0</v>
      </c>
      <c r="I22" s="62">
        <v>0</v>
      </c>
      <c r="J22" s="62">
        <v>0</v>
      </c>
    </row>
    <row r="23" spans="1:18" x14ac:dyDescent="0.3">
      <c r="A23" s="68" t="s">
        <v>145</v>
      </c>
      <c r="B23" s="68"/>
      <c r="C23" s="69"/>
      <c r="D23" s="67">
        <v>0</v>
      </c>
      <c r="E23" s="62">
        <v>0</v>
      </c>
      <c r="F23" s="62">
        <v>0</v>
      </c>
      <c r="G23" s="62">
        <v>-4</v>
      </c>
      <c r="H23" s="62">
        <v>-1</v>
      </c>
      <c r="I23" s="62">
        <v>-23</v>
      </c>
      <c r="J23" s="62">
        <v>-40</v>
      </c>
    </row>
    <row r="24" spans="1:18" x14ac:dyDescent="0.3">
      <c r="A24" s="68" t="s">
        <v>146</v>
      </c>
      <c r="B24" s="68"/>
      <c r="C24" s="69"/>
      <c r="D24" s="67">
        <v>0</v>
      </c>
      <c r="E24" s="62">
        <v>0</v>
      </c>
      <c r="F24" s="62">
        <v>-11</v>
      </c>
      <c r="G24" s="62">
        <v>-9</v>
      </c>
      <c r="H24" s="62">
        <v>-10</v>
      </c>
      <c r="I24" s="62">
        <v>-50</v>
      </c>
      <c r="J24" s="62">
        <v>-69</v>
      </c>
    </row>
    <row r="25" spans="1:18" x14ac:dyDescent="0.3">
      <c r="A25" s="68" t="s">
        <v>147</v>
      </c>
      <c r="B25" s="68"/>
      <c r="C25" s="69"/>
      <c r="D25" s="67">
        <v>0</v>
      </c>
      <c r="E25" s="62">
        <v>0</v>
      </c>
      <c r="F25" s="62">
        <v>-20</v>
      </c>
      <c r="G25" s="62">
        <v>-14</v>
      </c>
      <c r="H25" s="62">
        <v>-20</v>
      </c>
      <c r="I25" s="62">
        <v>-65</v>
      </c>
      <c r="J25" s="62">
        <v>-129</v>
      </c>
    </row>
    <row r="26" spans="1:18" x14ac:dyDescent="0.3">
      <c r="A26" s="68" t="s">
        <v>148</v>
      </c>
      <c r="B26" s="68"/>
      <c r="C26" s="69"/>
      <c r="D26" s="67">
        <v>0</v>
      </c>
      <c r="E26" s="62">
        <v>0</v>
      </c>
      <c r="F26" s="62">
        <v>390</v>
      </c>
      <c r="G26" s="62">
        <v>-181</v>
      </c>
      <c r="H26" s="62">
        <v>-226</v>
      </c>
      <c r="I26" s="62">
        <v>0</v>
      </c>
      <c r="J26" s="62">
        <v>-1</v>
      </c>
      <c r="Q26" s="42"/>
      <c r="R26" s="42"/>
    </row>
    <row r="27" spans="1:18" x14ac:dyDescent="0.3">
      <c r="A27" s="68" t="s">
        <v>35</v>
      </c>
      <c r="B27" s="68"/>
      <c r="C27" s="69"/>
      <c r="D27" s="67">
        <v>0</v>
      </c>
      <c r="E27" s="62">
        <v>0</v>
      </c>
      <c r="F27" s="62">
        <v>-45</v>
      </c>
      <c r="G27" s="62">
        <v>139</v>
      </c>
      <c r="H27" s="62">
        <v>86</v>
      </c>
      <c r="I27" s="62">
        <v>-174</v>
      </c>
      <c r="J27" s="62">
        <v>91</v>
      </c>
      <c r="Q27" s="42"/>
    </row>
    <row r="34" spans="17:21" x14ac:dyDescent="0.3">
      <c r="Q34" s="42"/>
      <c r="R34" s="42"/>
      <c r="S34" s="42"/>
    </row>
    <row r="37" spans="17:21" x14ac:dyDescent="0.3">
      <c r="Q37" s="42"/>
      <c r="R37" s="42"/>
      <c r="S37" s="42"/>
      <c r="T37" s="42"/>
      <c r="U37" s="42"/>
    </row>
    <row r="38" spans="17:21" x14ac:dyDescent="0.3">
      <c r="Q38" s="42"/>
      <c r="R38" s="42"/>
      <c r="S38" s="42"/>
      <c r="T38" s="42"/>
      <c r="U38" s="42"/>
    </row>
    <row r="42" spans="17:21" x14ac:dyDescent="0.3">
      <c r="R42" s="42"/>
      <c r="S42" s="42"/>
      <c r="T42" s="42"/>
      <c r="U42" s="42"/>
    </row>
    <row r="43" spans="17:21" x14ac:dyDescent="0.3">
      <c r="R43" s="42"/>
      <c r="S43" s="42"/>
    </row>
    <row r="44" spans="17:21" x14ac:dyDescent="0.3">
      <c r="R44" s="42"/>
      <c r="S44" s="42"/>
    </row>
  </sheetData>
  <mergeCells count="1"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CA63-BDBD-4ED5-8A70-A37D48419E08}">
  <dimension ref="B2:Q15"/>
  <sheetViews>
    <sheetView showGridLines="0" workbookViewId="0">
      <selection activeCell="I23" sqref="I23"/>
    </sheetView>
  </sheetViews>
  <sheetFormatPr defaultRowHeight="14.4" x14ac:dyDescent="0.3"/>
  <cols>
    <col min="1" max="1" width="2.33203125" customWidth="1"/>
    <col min="2" max="2" width="12" bestFit="1" customWidth="1"/>
    <col min="3" max="3" width="5.44140625" bestFit="1" customWidth="1"/>
    <col min="4" max="4" width="10.44140625" bestFit="1" customWidth="1"/>
    <col min="5" max="5" width="12.5546875" bestFit="1" customWidth="1"/>
    <col min="8" max="8" width="12" bestFit="1" customWidth="1"/>
    <col min="9" max="9" width="5.44140625" bestFit="1" customWidth="1"/>
    <col min="10" max="10" width="10.5546875" bestFit="1" customWidth="1"/>
    <col min="11" max="11" width="14.5546875" bestFit="1" customWidth="1"/>
    <col min="14" max="14" width="12" bestFit="1" customWidth="1"/>
    <col min="15" max="15" width="5.44140625" bestFit="1" customWidth="1"/>
    <col min="16" max="16" width="15.109375" customWidth="1"/>
    <col min="17" max="17" width="14.5546875" bestFit="1" customWidth="1"/>
  </cols>
  <sheetData>
    <row r="2" spans="2:17" x14ac:dyDescent="0.3">
      <c r="B2" t="str">
        <f>'Data Sheet'!B1 &amp; "-" &amp; " Forecasting"</f>
        <v>ZOMATO LTD- Forecasting</v>
      </c>
    </row>
    <row r="3" spans="2:17" x14ac:dyDescent="0.3">
      <c r="B3" s="45" t="s">
        <v>159</v>
      </c>
      <c r="C3" s="46" t="s">
        <v>160</v>
      </c>
      <c r="D3" s="46" t="s">
        <v>6</v>
      </c>
      <c r="E3" s="46" t="s">
        <v>22</v>
      </c>
      <c r="H3" s="45" t="s">
        <v>159</v>
      </c>
      <c r="I3" s="46" t="s">
        <v>160</v>
      </c>
      <c r="J3" s="46" t="s">
        <v>99</v>
      </c>
      <c r="K3" s="46" t="s">
        <v>100</v>
      </c>
      <c r="N3" s="45" t="s">
        <v>159</v>
      </c>
      <c r="O3" s="46" t="s">
        <v>160</v>
      </c>
      <c r="P3" s="46" t="s">
        <v>57</v>
      </c>
      <c r="Q3" s="46" t="s">
        <v>116</v>
      </c>
    </row>
    <row r="4" spans="2:17" x14ac:dyDescent="0.3">
      <c r="B4" s="62">
        <v>1</v>
      </c>
      <c r="C4" s="62">
        <v>2018</v>
      </c>
      <c r="D4" s="70" cm="1">
        <f t="array" ref="D4:D10">TRANSPOSE('Three Statement Model'!C5:I5)</f>
        <v>466.02</v>
      </c>
      <c r="E4" s="62"/>
      <c r="H4" s="62">
        <v>1</v>
      </c>
      <c r="I4" s="62">
        <v>2018</v>
      </c>
      <c r="J4" s="72" cm="1">
        <f t="array" ref="J4:J10">TRANSPOSE('Three Statement Model'!C17:I17)</f>
        <v>-92.450000000000045</v>
      </c>
      <c r="K4" s="71">
        <f>J4/D4</f>
        <v>-0.19838204368911216</v>
      </c>
      <c r="N4" s="62">
        <v>1</v>
      </c>
      <c r="O4" s="62">
        <v>2018</v>
      </c>
      <c r="P4" s="72" cm="1">
        <f t="array" ref="P4:P10">TRANSPOSE('Three Statement Model'!C37:I37)</f>
        <v>-4265.0000000000018</v>
      </c>
      <c r="Q4" s="62"/>
    </row>
    <row r="5" spans="2:17" x14ac:dyDescent="0.3">
      <c r="B5" s="62">
        <v>2</v>
      </c>
      <c r="C5" s="62">
        <v>2019</v>
      </c>
      <c r="D5" s="70">
        <v>1312.59</v>
      </c>
      <c r="E5" s="71">
        <f>D5/D4-1</f>
        <v>1.8165958542551821</v>
      </c>
      <c r="H5" s="62">
        <v>2</v>
      </c>
      <c r="I5" s="62">
        <v>2019</v>
      </c>
      <c r="J5" s="72">
        <v>-2243.48</v>
      </c>
      <c r="K5" s="71">
        <f t="shared" ref="K5:K15" si="0">J5/D5</f>
        <v>-1.7092008928911542</v>
      </c>
      <c r="N5" s="62">
        <v>2</v>
      </c>
      <c r="O5" s="62">
        <v>2019</v>
      </c>
      <c r="P5" s="72">
        <v>-76509.666666666672</v>
      </c>
      <c r="Q5" s="71">
        <f>P5/P4-1</f>
        <v>16.938960531457592</v>
      </c>
    </row>
    <row r="6" spans="2:17" x14ac:dyDescent="0.3">
      <c r="B6" s="62">
        <v>3</v>
      </c>
      <c r="C6" s="62">
        <v>2020</v>
      </c>
      <c r="D6" s="70">
        <v>2604.7399999999998</v>
      </c>
      <c r="E6" s="71">
        <f t="shared" ref="E6:E15" si="1">D6/D5-1</f>
        <v>0.98442773447915943</v>
      </c>
      <c r="H6" s="62">
        <v>3</v>
      </c>
      <c r="I6" s="62">
        <v>2020</v>
      </c>
      <c r="J6" s="72">
        <v>-2304.6999999999998</v>
      </c>
      <c r="K6" s="71">
        <f t="shared" si="0"/>
        <v>-0.88481000023034928</v>
      </c>
      <c r="N6" s="62">
        <v>3</v>
      </c>
      <c r="O6" s="62">
        <v>2020</v>
      </c>
      <c r="P6" s="72">
        <v>-80052.666666666672</v>
      </c>
      <c r="Q6" s="71">
        <f t="shared" ref="Q6:Q15" si="2">P6/P5-1</f>
        <v>4.6307873950568235E-2</v>
      </c>
    </row>
    <row r="7" spans="2:17" x14ac:dyDescent="0.3">
      <c r="B7" s="62">
        <v>4</v>
      </c>
      <c r="C7" s="62">
        <v>2021</v>
      </c>
      <c r="D7" s="70">
        <v>1993.8</v>
      </c>
      <c r="E7" s="71">
        <f t="shared" si="1"/>
        <v>-0.23454932162135178</v>
      </c>
      <c r="H7" s="62">
        <v>4</v>
      </c>
      <c r="I7" s="62">
        <v>2021</v>
      </c>
      <c r="J7" s="72">
        <v>-467.09999999999991</v>
      </c>
      <c r="K7" s="71">
        <f t="shared" si="0"/>
        <v>-0.23427625639482391</v>
      </c>
      <c r="N7" s="62">
        <v>4</v>
      </c>
      <c r="O7" s="62">
        <v>2021</v>
      </c>
      <c r="P7" s="72">
        <v>-15404.999999999995</v>
      </c>
      <c r="Q7" s="71">
        <f t="shared" si="2"/>
        <v>-0.80756418691028409</v>
      </c>
    </row>
    <row r="8" spans="2:17" x14ac:dyDescent="0.3">
      <c r="B8" s="62">
        <v>5</v>
      </c>
      <c r="C8" s="62">
        <v>2022</v>
      </c>
      <c r="D8" s="70">
        <v>4192.3999999999996</v>
      </c>
      <c r="E8" s="71">
        <f t="shared" si="1"/>
        <v>1.1027184271240844</v>
      </c>
      <c r="H8" s="62">
        <v>5</v>
      </c>
      <c r="I8" s="62">
        <v>2022</v>
      </c>
      <c r="J8" s="72">
        <v>-1850.8000000000006</v>
      </c>
      <c r="K8" s="71">
        <f t="shared" si="0"/>
        <v>-0.44146550901631543</v>
      </c>
      <c r="N8" s="62">
        <v>5</v>
      </c>
      <c r="O8" s="62">
        <v>2022</v>
      </c>
      <c r="P8" s="72">
        <v>-2.5598648356813483</v>
      </c>
      <c r="Q8" s="71">
        <f t="shared" si="2"/>
        <v>-0.99983382896230566</v>
      </c>
    </row>
    <row r="9" spans="2:17" x14ac:dyDescent="0.3">
      <c r="B9" s="62">
        <v>6</v>
      </c>
      <c r="C9" s="62">
        <v>2023</v>
      </c>
      <c r="D9" s="70">
        <v>7079</v>
      </c>
      <c r="E9" s="71">
        <f t="shared" si="1"/>
        <v>0.6885316286613874</v>
      </c>
      <c r="H9" s="62">
        <v>6</v>
      </c>
      <c r="I9" s="62">
        <v>2023</v>
      </c>
      <c r="J9" s="72">
        <v>-1211</v>
      </c>
      <c r="K9" s="71">
        <f t="shared" si="0"/>
        <v>-0.17106936007910722</v>
      </c>
      <c r="N9" s="62">
        <v>6</v>
      </c>
      <c r="O9" s="62">
        <v>2023</v>
      </c>
      <c r="P9" s="72">
        <v>-1.9325422341731455</v>
      </c>
      <c r="Q9" s="71">
        <f t="shared" si="2"/>
        <v>-0.24506083007356561</v>
      </c>
    </row>
    <row r="10" spans="2:17" x14ac:dyDescent="0.3">
      <c r="B10" s="62">
        <v>7</v>
      </c>
      <c r="C10" s="62">
        <v>2024</v>
      </c>
      <c r="D10" s="70">
        <v>12114</v>
      </c>
      <c r="E10" s="71">
        <f t="shared" si="1"/>
        <v>0.71125865235202723</v>
      </c>
      <c r="H10" s="62">
        <v>7</v>
      </c>
      <c r="I10" s="62">
        <v>2024</v>
      </c>
      <c r="J10" s="72">
        <v>43</v>
      </c>
      <c r="K10" s="71">
        <f t="shared" si="0"/>
        <v>3.549612019151395E-3</v>
      </c>
      <c r="N10" s="62">
        <v>7</v>
      </c>
      <c r="O10" s="62">
        <v>2024</v>
      </c>
      <c r="P10" s="72">
        <v>-0.56123721626340728</v>
      </c>
      <c r="Q10" s="71">
        <f t="shared" si="2"/>
        <v>-0.70958605388329987</v>
      </c>
    </row>
    <row r="11" spans="2:17" x14ac:dyDescent="0.3">
      <c r="B11" s="62">
        <v>8</v>
      </c>
      <c r="C11" s="62">
        <v>2025</v>
      </c>
      <c r="D11" s="70">
        <f>FORECAST(B11,$D$4:$D$10,$B$4:$B$10)</f>
        <v>11118.138571428572</v>
      </c>
      <c r="E11" s="71">
        <f t="shared" si="1"/>
        <v>-8.2207481308521402E-2</v>
      </c>
      <c r="H11" s="62">
        <v>8</v>
      </c>
      <c r="I11" s="62">
        <v>2025</v>
      </c>
      <c r="J11" s="72">
        <f>FORECAST(H11,$J$4:$J$10,$H$4:$H$10)</f>
        <v>-743.04571428571467</v>
      </c>
      <c r="K11" s="71">
        <f t="shared" si="0"/>
        <v>-6.683184505319946E-2</v>
      </c>
      <c r="N11" s="62">
        <v>8</v>
      </c>
      <c r="O11" s="62">
        <v>2025</v>
      </c>
      <c r="P11" s="72">
        <f>FORECAST(N11,$P$4:$P$10,$N$4:$N$10)</f>
        <v>9945.9291944896831</v>
      </c>
      <c r="Q11" s="71">
        <f t="shared" si="2"/>
        <v>-17722.435618092954</v>
      </c>
    </row>
    <row r="12" spans="2:17" x14ac:dyDescent="0.3">
      <c r="B12" s="62">
        <v>9</v>
      </c>
      <c r="C12" s="62">
        <v>2026</v>
      </c>
      <c r="D12" s="70">
        <f t="shared" ref="D12:D15" si="3">FORECAST(B12,$D$4:$D$10,$B$4:$B$10)</f>
        <v>12834.725</v>
      </c>
      <c r="E12" s="71">
        <f t="shared" si="1"/>
        <v>0.15439512806421729</v>
      </c>
      <c r="H12" s="62">
        <v>9</v>
      </c>
      <c r="I12" s="62">
        <v>2026</v>
      </c>
      <c r="J12" s="72">
        <f t="shared" ref="J12:J15" si="4">FORECAST(H12,$J$4:$J$10,$H$4:$H$10)</f>
        <v>-638.57392857142895</v>
      </c>
      <c r="K12" s="71">
        <f t="shared" si="0"/>
        <v>-4.9753612061920215E-2</v>
      </c>
      <c r="N12" s="62">
        <v>9</v>
      </c>
      <c r="O12" s="62">
        <v>2026</v>
      </c>
      <c r="P12" s="72">
        <f t="shared" ref="P12:P15" si="5">FORECAST(N12,$P$4:$P$10,$N$4:$N$10)</f>
        <v>18726.603885169941</v>
      </c>
      <c r="Q12" s="71">
        <f t="shared" si="2"/>
        <v>0.88284106180295274</v>
      </c>
    </row>
    <row r="13" spans="2:17" x14ac:dyDescent="0.3">
      <c r="B13" s="62">
        <v>10</v>
      </c>
      <c r="C13" s="62">
        <v>2027</v>
      </c>
      <c r="D13" s="70">
        <f t="shared" si="3"/>
        <v>14551.311428571427</v>
      </c>
      <c r="E13" s="71">
        <f t="shared" si="1"/>
        <v>0.13374547787906854</v>
      </c>
      <c r="H13" s="62">
        <v>10</v>
      </c>
      <c r="I13" s="62">
        <v>2027</v>
      </c>
      <c r="J13" s="72">
        <f t="shared" si="4"/>
        <v>-534.10214285714324</v>
      </c>
      <c r="K13" s="71">
        <f t="shared" si="0"/>
        <v>-3.6704742763489784E-2</v>
      </c>
      <c r="N13" s="62">
        <v>10</v>
      </c>
      <c r="O13" s="62">
        <v>2027</v>
      </c>
      <c r="P13" s="72">
        <f t="shared" si="5"/>
        <v>27507.2785758502</v>
      </c>
      <c r="Q13" s="71">
        <f t="shared" si="2"/>
        <v>0.4688877248924932</v>
      </c>
    </row>
    <row r="14" spans="2:17" x14ac:dyDescent="0.3">
      <c r="B14" s="62">
        <v>11</v>
      </c>
      <c r="C14" s="62">
        <v>2028</v>
      </c>
      <c r="D14" s="70">
        <f t="shared" si="3"/>
        <v>16267.897857142858</v>
      </c>
      <c r="E14" s="71">
        <f t="shared" si="1"/>
        <v>0.11796781595924899</v>
      </c>
      <c r="H14" s="62">
        <v>11</v>
      </c>
      <c r="I14" s="62">
        <v>2028</v>
      </c>
      <c r="J14" s="72">
        <f t="shared" si="4"/>
        <v>-429.63035714285752</v>
      </c>
      <c r="K14" s="71">
        <f t="shared" si="0"/>
        <v>-2.6409703387350492E-2</v>
      </c>
      <c r="N14" s="62">
        <v>11</v>
      </c>
      <c r="O14" s="62">
        <v>2028</v>
      </c>
      <c r="P14" s="72">
        <f t="shared" si="5"/>
        <v>36287.953266530458</v>
      </c>
      <c r="Q14" s="71">
        <f t="shared" si="2"/>
        <v>0.31921277368344181</v>
      </c>
    </row>
    <row r="15" spans="2:17" x14ac:dyDescent="0.3">
      <c r="B15" s="62">
        <v>12</v>
      </c>
      <c r="C15" s="62">
        <v>2029</v>
      </c>
      <c r="D15" s="70">
        <f t="shared" si="3"/>
        <v>17984.484285714287</v>
      </c>
      <c r="E15" s="71">
        <f t="shared" si="1"/>
        <v>0.10551986763414023</v>
      </c>
      <c r="H15" s="62">
        <v>12</v>
      </c>
      <c r="I15" s="62">
        <v>2029</v>
      </c>
      <c r="J15" s="72">
        <f t="shared" si="4"/>
        <v>-325.15857142857203</v>
      </c>
      <c r="K15" s="71">
        <f t="shared" si="0"/>
        <v>-1.8079949709030967E-2</v>
      </c>
      <c r="N15" s="62">
        <v>12</v>
      </c>
      <c r="O15" s="62">
        <v>2029</v>
      </c>
      <c r="P15" s="72">
        <f t="shared" si="5"/>
        <v>45068.627957210701</v>
      </c>
      <c r="Q15" s="71">
        <f t="shared" si="2"/>
        <v>0.24197216707669589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B15" activePane="bottomRight" state="frozen"/>
      <selection activeCell="C4" sqref="C4"/>
      <selection pane="topRight" activeCell="C4" sqref="C4"/>
      <selection pane="bottomLeft" activeCell="C4" sqref="C4"/>
      <selection pane="bottomRight" activeCell="K29" sqref="K29"/>
    </sheetView>
  </sheetViews>
  <sheetFormatPr defaultColWidth="8.77734375" defaultRowHeight="14.4" x14ac:dyDescent="0.3"/>
  <cols>
    <col min="1" max="1" width="27.6640625" style="4" bestFit="1" customWidth="1"/>
    <col min="2" max="11" width="13.44140625" style="4" bestFit="1" customWidth="1"/>
    <col min="12" max="16384" width="8.77734375" style="4"/>
  </cols>
  <sheetData>
    <row r="1" spans="1:11" s="1" customFormat="1" x14ac:dyDescent="0.3">
      <c r="A1" s="1" t="s">
        <v>0</v>
      </c>
      <c r="B1" s="1" t="s">
        <v>63</v>
      </c>
      <c r="E1" s="48" t="str">
        <f>IF(B2&lt;&gt;B3, "A NEW VERSION OF THE WORKSHEET IS AVAILABLE", "")</f>
        <v/>
      </c>
      <c r="F1" s="48"/>
      <c r="G1" s="48"/>
      <c r="H1" s="48"/>
      <c r="I1" s="48"/>
      <c r="J1" s="48"/>
      <c r="K1" s="48"/>
    </row>
    <row r="2" spans="1:11" x14ac:dyDescent="0.3">
      <c r="A2" s="1" t="s">
        <v>61</v>
      </c>
      <c r="B2" s="4">
        <v>2.1</v>
      </c>
      <c r="E2" s="49" t="s">
        <v>36</v>
      </c>
      <c r="F2" s="49"/>
      <c r="G2" s="49"/>
      <c r="H2" s="49"/>
      <c r="I2" s="49"/>
      <c r="J2" s="49"/>
      <c r="K2" s="49"/>
    </row>
    <row r="3" spans="1:11" x14ac:dyDescent="0.3">
      <c r="A3" s="1" t="s">
        <v>62</v>
      </c>
      <c r="B3" s="4">
        <v>2.1</v>
      </c>
    </row>
    <row r="4" spans="1:11" x14ac:dyDescent="0.3">
      <c r="A4" s="1"/>
    </row>
    <row r="5" spans="1:11" x14ac:dyDescent="0.3">
      <c r="A5" s="1" t="s">
        <v>64</v>
      </c>
    </row>
    <row r="6" spans="1:11" x14ac:dyDescent="0.3">
      <c r="A6" s="4" t="s">
        <v>42</v>
      </c>
      <c r="B6" s="4">
        <f>IF(B9&gt;0, B9/B8, 0)</f>
        <v>964.27760208992163</v>
      </c>
    </row>
    <row r="7" spans="1:11" x14ac:dyDescent="0.3">
      <c r="A7" s="4" t="s">
        <v>31</v>
      </c>
      <c r="B7">
        <v>1</v>
      </c>
    </row>
    <row r="8" spans="1:11" x14ac:dyDescent="0.3">
      <c r="A8" s="4" t="s">
        <v>43</v>
      </c>
      <c r="B8">
        <v>218.19</v>
      </c>
    </row>
    <row r="9" spans="1:11" x14ac:dyDescent="0.3">
      <c r="A9" s="4" t="s">
        <v>79</v>
      </c>
      <c r="B9">
        <v>210395.73</v>
      </c>
    </row>
    <row r="15" spans="1:11" x14ac:dyDescent="0.3">
      <c r="A15" s="1" t="s">
        <v>37</v>
      </c>
    </row>
    <row r="16" spans="1:11" s="18" customFormat="1" x14ac:dyDescent="0.3">
      <c r="A16" s="17" t="s">
        <v>38</v>
      </c>
      <c r="B16" s="12"/>
      <c r="C16" s="12"/>
      <c r="D16" s="12"/>
      <c r="E16" s="12">
        <v>43190</v>
      </c>
      <c r="F16" s="12">
        <v>43555</v>
      </c>
      <c r="G16" s="12">
        <v>43921</v>
      </c>
      <c r="H16" s="12">
        <v>44286</v>
      </c>
      <c r="I16" s="12">
        <v>44651</v>
      </c>
      <c r="J16" s="12">
        <v>45016</v>
      </c>
      <c r="K16" s="12">
        <v>45382</v>
      </c>
    </row>
    <row r="17" spans="1:11" s="6" customFormat="1" x14ac:dyDescent="0.3">
      <c r="A17" s="6" t="s">
        <v>6</v>
      </c>
      <c r="E17">
        <v>466.02</v>
      </c>
      <c r="F17">
        <v>1312.59</v>
      </c>
      <c r="G17">
        <v>2604.7399999999998</v>
      </c>
      <c r="H17">
        <v>1993.8</v>
      </c>
      <c r="I17">
        <v>4192.3999999999996</v>
      </c>
      <c r="J17">
        <v>7079</v>
      </c>
      <c r="K17">
        <v>12114</v>
      </c>
    </row>
    <row r="18" spans="1:11" s="6" customFormat="1" x14ac:dyDescent="0.3">
      <c r="A18" s="4" t="s">
        <v>80</v>
      </c>
      <c r="F18">
        <v>18.72</v>
      </c>
      <c r="G18">
        <v>110.52</v>
      </c>
      <c r="H18">
        <v>202.9</v>
      </c>
      <c r="I18">
        <v>552.4</v>
      </c>
      <c r="J18">
        <v>1438</v>
      </c>
      <c r="K18">
        <v>2887</v>
      </c>
    </row>
    <row r="19" spans="1:11" s="6" customFormat="1" x14ac:dyDescent="0.3">
      <c r="A19" s="4" t="s">
        <v>81</v>
      </c>
      <c r="F19">
        <v>2.13</v>
      </c>
      <c r="G19">
        <v>1.6</v>
      </c>
      <c r="H19">
        <v>11</v>
      </c>
      <c r="I19">
        <v>27.8</v>
      </c>
      <c r="J19">
        <v>43</v>
      </c>
      <c r="K19">
        <v>5</v>
      </c>
    </row>
    <row r="20" spans="1:11" s="6" customFormat="1" x14ac:dyDescent="0.3">
      <c r="A20" s="4" t="s">
        <v>82</v>
      </c>
      <c r="E20">
        <v>2.41</v>
      </c>
      <c r="F20">
        <v>3.17</v>
      </c>
      <c r="G20">
        <v>6.29</v>
      </c>
      <c r="H20">
        <v>1.9</v>
      </c>
      <c r="I20">
        <v>4</v>
      </c>
      <c r="J20">
        <v>23</v>
      </c>
      <c r="K20">
        <v>51</v>
      </c>
    </row>
    <row r="21" spans="1:11" s="6" customFormat="1" x14ac:dyDescent="0.3">
      <c r="A21" s="4" t="s">
        <v>83</v>
      </c>
      <c r="E21">
        <v>49.81</v>
      </c>
      <c r="F21">
        <v>1339.7</v>
      </c>
      <c r="G21">
        <v>2108.91</v>
      </c>
      <c r="H21">
        <v>74.5</v>
      </c>
      <c r="I21">
        <v>183.3</v>
      </c>
      <c r="J21">
        <v>384</v>
      </c>
      <c r="K21">
        <v>521</v>
      </c>
    </row>
    <row r="22" spans="1:11" s="6" customFormat="1" x14ac:dyDescent="0.3">
      <c r="A22" s="4" t="s">
        <v>84</v>
      </c>
      <c r="E22">
        <v>290.49</v>
      </c>
      <c r="F22">
        <v>600.79</v>
      </c>
      <c r="G22">
        <v>798.88</v>
      </c>
      <c r="H22">
        <v>740.8</v>
      </c>
      <c r="I22">
        <v>1633.1</v>
      </c>
      <c r="J22">
        <v>1465</v>
      </c>
      <c r="K22">
        <v>1659</v>
      </c>
    </row>
    <row r="23" spans="1:11" s="6" customFormat="1" x14ac:dyDescent="0.3">
      <c r="A23" s="4" t="s">
        <v>85</v>
      </c>
      <c r="E23">
        <v>182.17</v>
      </c>
      <c r="F23">
        <v>1514.3</v>
      </c>
      <c r="G23">
        <v>1756.34</v>
      </c>
      <c r="H23">
        <v>1435</v>
      </c>
      <c r="I23">
        <v>3654.4</v>
      </c>
      <c r="J23">
        <v>4961</v>
      </c>
      <c r="K23">
        <v>6882</v>
      </c>
    </row>
    <row r="24" spans="1:11" s="6" customFormat="1" x14ac:dyDescent="0.3">
      <c r="A24" s="4" t="s">
        <v>86</v>
      </c>
      <c r="E24">
        <v>33.590000000000003</v>
      </c>
      <c r="F24">
        <v>81.52</v>
      </c>
      <c r="G24">
        <v>130.1</v>
      </c>
      <c r="H24">
        <v>16.8</v>
      </c>
      <c r="I24">
        <v>43.8</v>
      </c>
      <c r="J24">
        <v>62</v>
      </c>
      <c r="K24">
        <v>76</v>
      </c>
    </row>
    <row r="25" spans="1:11" s="6" customFormat="1" x14ac:dyDescent="0.3">
      <c r="A25" s="6" t="s">
        <v>9</v>
      </c>
      <c r="E25">
        <v>21.03</v>
      </c>
      <c r="F25">
        <v>1285.05</v>
      </c>
      <c r="G25">
        <v>15.97</v>
      </c>
      <c r="H25">
        <v>-200.2</v>
      </c>
      <c r="I25">
        <v>792.6</v>
      </c>
      <c r="J25">
        <v>682</v>
      </c>
      <c r="K25">
        <v>846</v>
      </c>
    </row>
    <row r="26" spans="1:11" s="6" customFormat="1" x14ac:dyDescent="0.3">
      <c r="A26" s="6" t="s">
        <v>10</v>
      </c>
      <c r="E26">
        <v>29.15</v>
      </c>
      <c r="F26">
        <v>43.12</v>
      </c>
      <c r="G26">
        <v>84.24</v>
      </c>
      <c r="H26">
        <v>137.69999999999999</v>
      </c>
      <c r="I26">
        <v>150.30000000000001</v>
      </c>
      <c r="J26">
        <v>437</v>
      </c>
      <c r="K26">
        <v>526</v>
      </c>
    </row>
    <row r="27" spans="1:11" s="6" customFormat="1" x14ac:dyDescent="0.3">
      <c r="A27" s="6" t="s">
        <v>11</v>
      </c>
      <c r="E27">
        <v>6.35</v>
      </c>
      <c r="F27">
        <v>8.69</v>
      </c>
      <c r="G27">
        <v>12.64</v>
      </c>
      <c r="H27">
        <v>10.1</v>
      </c>
      <c r="I27">
        <v>12</v>
      </c>
      <c r="J27">
        <v>49</v>
      </c>
      <c r="K27">
        <v>72</v>
      </c>
    </row>
    <row r="28" spans="1:11" s="6" customFormat="1" x14ac:dyDescent="0.3">
      <c r="A28" s="6" t="s">
        <v>12</v>
      </c>
      <c r="E28">
        <v>-106.92</v>
      </c>
      <c r="F28">
        <v>-1010.24</v>
      </c>
      <c r="G28">
        <v>-2385.61</v>
      </c>
      <c r="H28">
        <v>-815.1</v>
      </c>
      <c r="I28">
        <v>-1220.5</v>
      </c>
      <c r="J28">
        <v>-1015</v>
      </c>
      <c r="K28">
        <v>291</v>
      </c>
    </row>
    <row r="29" spans="1:11" s="6" customFormat="1" x14ac:dyDescent="0.3">
      <c r="A29" s="6" t="s">
        <v>13</v>
      </c>
      <c r="H29">
        <v>1.3</v>
      </c>
      <c r="I29">
        <v>2</v>
      </c>
      <c r="J29">
        <v>-44</v>
      </c>
      <c r="K29">
        <v>-60</v>
      </c>
    </row>
    <row r="30" spans="1:11" s="6" customFormat="1" x14ac:dyDescent="0.3">
      <c r="A30" s="6" t="s">
        <v>14</v>
      </c>
      <c r="E30">
        <v>-103.68</v>
      </c>
      <c r="F30">
        <v>-964.95</v>
      </c>
      <c r="G30">
        <v>-2367.16</v>
      </c>
      <c r="H30">
        <v>-812.8</v>
      </c>
      <c r="I30">
        <v>-1208.7</v>
      </c>
      <c r="J30">
        <v>-971</v>
      </c>
      <c r="K30">
        <v>351</v>
      </c>
    </row>
    <row r="31" spans="1:11" s="6" customFormat="1" x14ac:dyDescent="0.3">
      <c r="A31" s="6" t="s">
        <v>70</v>
      </c>
    </row>
    <row r="32" spans="1:11" s="6" customFormat="1" x14ac:dyDescent="0.3"/>
    <row r="33" spans="1:11" x14ac:dyDescent="0.3">
      <c r="A33" s="6"/>
    </row>
    <row r="34" spans="1:11" x14ac:dyDescent="0.3">
      <c r="A34" s="6"/>
    </row>
    <row r="35" spans="1:11" x14ac:dyDescent="0.3">
      <c r="A35" s="6"/>
    </row>
    <row r="36" spans="1:11" x14ac:dyDescent="0.3">
      <c r="A36" s="6"/>
    </row>
    <row r="37" spans="1:11" x14ac:dyDescent="0.3">
      <c r="A37" s="6"/>
    </row>
    <row r="38" spans="1:11" x14ac:dyDescent="0.3">
      <c r="A38" s="6"/>
    </row>
    <row r="39" spans="1:11" x14ac:dyDescent="0.3">
      <c r="A39" s="6"/>
    </row>
    <row r="40" spans="1:11" x14ac:dyDescent="0.3">
      <c r="A40" s="1" t="s">
        <v>39</v>
      </c>
    </row>
    <row r="41" spans="1:11" s="18" customFormat="1" x14ac:dyDescent="0.3">
      <c r="A41" s="17" t="s">
        <v>38</v>
      </c>
      <c r="B41" s="12">
        <v>44834</v>
      </c>
      <c r="C41" s="12">
        <v>44926</v>
      </c>
      <c r="D41" s="12">
        <v>45016</v>
      </c>
      <c r="E41" s="12">
        <v>45107</v>
      </c>
      <c r="F41" s="12">
        <v>45199</v>
      </c>
      <c r="G41" s="12">
        <v>45291</v>
      </c>
      <c r="H41" s="12">
        <v>45382</v>
      </c>
      <c r="I41" s="12">
        <v>45473</v>
      </c>
      <c r="J41" s="12">
        <v>45565</v>
      </c>
      <c r="K41" s="12">
        <v>45657</v>
      </c>
    </row>
    <row r="42" spans="1:11" s="6" customFormat="1" x14ac:dyDescent="0.3">
      <c r="A42" s="6" t="s">
        <v>6</v>
      </c>
      <c r="B42">
        <v>1661</v>
      </c>
      <c r="C42">
        <v>1948.2</v>
      </c>
      <c r="D42">
        <v>2056</v>
      </c>
      <c r="E42">
        <v>2416</v>
      </c>
      <c r="F42">
        <v>2848</v>
      </c>
      <c r="G42">
        <v>3288</v>
      </c>
      <c r="H42">
        <v>3562</v>
      </c>
      <c r="I42">
        <v>4206</v>
      </c>
      <c r="J42">
        <v>4799</v>
      </c>
      <c r="K42">
        <v>5405</v>
      </c>
    </row>
    <row r="43" spans="1:11" s="6" customFormat="1" x14ac:dyDescent="0.3">
      <c r="A43" s="6" t="s">
        <v>7</v>
      </c>
      <c r="B43">
        <v>1973</v>
      </c>
      <c r="C43">
        <v>2314.4</v>
      </c>
      <c r="D43">
        <v>2282</v>
      </c>
      <c r="E43">
        <v>2464</v>
      </c>
      <c r="F43">
        <v>2895</v>
      </c>
      <c r="G43">
        <v>3237</v>
      </c>
      <c r="H43">
        <v>3476</v>
      </c>
      <c r="I43">
        <v>4029</v>
      </c>
      <c r="J43">
        <v>4573</v>
      </c>
      <c r="K43">
        <v>5243</v>
      </c>
    </row>
    <row r="44" spans="1:11" s="6" customFormat="1" x14ac:dyDescent="0.3">
      <c r="A44" s="6" t="s">
        <v>9</v>
      </c>
      <c r="B44">
        <v>170</v>
      </c>
      <c r="C44">
        <v>173.4</v>
      </c>
      <c r="D44">
        <v>171</v>
      </c>
      <c r="E44">
        <v>181</v>
      </c>
      <c r="F44">
        <v>212</v>
      </c>
      <c r="G44">
        <v>219</v>
      </c>
      <c r="H44">
        <v>235</v>
      </c>
      <c r="I44">
        <v>236</v>
      </c>
      <c r="J44">
        <v>221</v>
      </c>
      <c r="K44">
        <v>252</v>
      </c>
    </row>
    <row r="45" spans="1:11" s="6" customFormat="1" x14ac:dyDescent="0.3">
      <c r="A45" s="6" t="s">
        <v>10</v>
      </c>
      <c r="B45">
        <v>107</v>
      </c>
      <c r="C45">
        <v>154.80000000000001</v>
      </c>
      <c r="D45">
        <v>134</v>
      </c>
      <c r="E45">
        <v>130</v>
      </c>
      <c r="F45">
        <v>128</v>
      </c>
      <c r="G45">
        <v>128</v>
      </c>
      <c r="H45">
        <v>140</v>
      </c>
      <c r="I45">
        <v>149</v>
      </c>
      <c r="J45">
        <v>180</v>
      </c>
      <c r="K45">
        <v>247</v>
      </c>
    </row>
    <row r="46" spans="1:11" s="6" customFormat="1" x14ac:dyDescent="0.3">
      <c r="A46" s="6" t="s">
        <v>11</v>
      </c>
      <c r="B46">
        <v>12</v>
      </c>
      <c r="C46">
        <v>16.100000000000001</v>
      </c>
      <c r="D46">
        <v>15</v>
      </c>
      <c r="E46">
        <v>18</v>
      </c>
      <c r="F46">
        <v>16</v>
      </c>
      <c r="G46">
        <v>18</v>
      </c>
      <c r="H46">
        <v>20</v>
      </c>
      <c r="I46">
        <v>25</v>
      </c>
      <c r="J46">
        <v>30</v>
      </c>
      <c r="K46">
        <v>43</v>
      </c>
    </row>
    <row r="47" spans="1:11" s="6" customFormat="1" x14ac:dyDescent="0.3">
      <c r="A47" s="6" t="s">
        <v>12</v>
      </c>
      <c r="B47">
        <v>-261</v>
      </c>
      <c r="C47">
        <v>-363.7</v>
      </c>
      <c r="D47">
        <v>-204</v>
      </c>
      <c r="E47">
        <v>-15</v>
      </c>
      <c r="F47">
        <v>21</v>
      </c>
      <c r="G47">
        <v>124</v>
      </c>
      <c r="H47">
        <v>161</v>
      </c>
      <c r="I47">
        <v>239</v>
      </c>
      <c r="J47">
        <v>237</v>
      </c>
      <c r="K47">
        <v>124</v>
      </c>
    </row>
    <row r="48" spans="1:11" s="6" customFormat="1" x14ac:dyDescent="0.3">
      <c r="A48" s="6" t="s">
        <v>13</v>
      </c>
      <c r="B48">
        <v>-10</v>
      </c>
      <c r="C48">
        <v>-17.100000000000001</v>
      </c>
      <c r="D48">
        <v>-16</v>
      </c>
      <c r="E48">
        <v>-17</v>
      </c>
      <c r="F48">
        <v>-15</v>
      </c>
      <c r="G48">
        <v>-14</v>
      </c>
      <c r="H48">
        <v>-14</v>
      </c>
      <c r="I48">
        <v>-14</v>
      </c>
      <c r="J48">
        <v>61</v>
      </c>
      <c r="K48">
        <v>65</v>
      </c>
    </row>
    <row r="49" spans="1:11" s="6" customFormat="1" x14ac:dyDescent="0.3">
      <c r="A49" s="6" t="s">
        <v>14</v>
      </c>
      <c r="B49">
        <v>-251</v>
      </c>
      <c r="C49">
        <v>-346.6</v>
      </c>
      <c r="D49">
        <v>-189</v>
      </c>
      <c r="E49">
        <v>2</v>
      </c>
      <c r="F49">
        <v>36</v>
      </c>
      <c r="G49">
        <v>138</v>
      </c>
      <c r="H49">
        <v>175</v>
      </c>
      <c r="I49">
        <v>253</v>
      </c>
      <c r="J49">
        <v>176</v>
      </c>
      <c r="K49">
        <v>59</v>
      </c>
    </row>
    <row r="50" spans="1:11" x14ac:dyDescent="0.3">
      <c r="A50" s="6" t="s">
        <v>8</v>
      </c>
      <c r="B50">
        <v>-312</v>
      </c>
      <c r="C50">
        <v>-366.2</v>
      </c>
      <c r="D50">
        <v>-226</v>
      </c>
      <c r="E50">
        <v>-48</v>
      </c>
      <c r="F50">
        <v>-47</v>
      </c>
      <c r="G50">
        <v>51</v>
      </c>
      <c r="H50">
        <v>86</v>
      </c>
      <c r="I50">
        <v>177</v>
      </c>
      <c r="J50">
        <v>226</v>
      </c>
      <c r="K50">
        <v>162</v>
      </c>
    </row>
    <row r="51" spans="1:11" x14ac:dyDescent="0.3">
      <c r="A51" s="6"/>
    </row>
    <row r="52" spans="1:11" x14ac:dyDescent="0.3">
      <c r="A52" s="6"/>
    </row>
    <row r="53" spans="1:11" x14ac:dyDescent="0.3">
      <c r="A53" s="6"/>
    </row>
    <row r="54" spans="1:11" x14ac:dyDescent="0.3">
      <c r="A54" s="6"/>
    </row>
    <row r="55" spans="1:11" x14ac:dyDescent="0.3">
      <c r="A55" s="1" t="s">
        <v>40</v>
      </c>
    </row>
    <row r="56" spans="1:11" s="18" customFormat="1" x14ac:dyDescent="0.3">
      <c r="A56" s="17" t="s">
        <v>38</v>
      </c>
      <c r="B56" s="12"/>
      <c r="C56" s="12"/>
      <c r="D56" s="12"/>
      <c r="E56" s="12">
        <v>43190</v>
      </c>
      <c r="F56" s="12">
        <v>43555</v>
      </c>
      <c r="G56" s="12">
        <v>43921</v>
      </c>
      <c r="H56" s="12">
        <v>44286</v>
      </c>
      <c r="I56" s="12">
        <v>44651</v>
      </c>
      <c r="J56" s="12">
        <v>45016</v>
      </c>
      <c r="K56" s="12">
        <v>45382</v>
      </c>
    </row>
    <row r="57" spans="1:11" x14ac:dyDescent="0.3">
      <c r="A57" s="6" t="s">
        <v>24</v>
      </c>
      <c r="E57">
        <v>0.03</v>
      </c>
      <c r="F57">
        <v>0.03</v>
      </c>
      <c r="G57">
        <v>0.03</v>
      </c>
      <c r="I57">
        <v>764.3</v>
      </c>
      <c r="J57">
        <v>836</v>
      </c>
      <c r="K57">
        <v>868</v>
      </c>
    </row>
    <row r="58" spans="1:11" x14ac:dyDescent="0.3">
      <c r="A58" s="6" t="s">
        <v>25</v>
      </c>
      <c r="E58">
        <v>1036.06</v>
      </c>
      <c r="F58">
        <v>2355.61</v>
      </c>
      <c r="G58">
        <v>457.35</v>
      </c>
      <c r="H58">
        <v>7643.8</v>
      </c>
      <c r="I58">
        <v>15741.2</v>
      </c>
      <c r="J58">
        <v>18624</v>
      </c>
      <c r="K58">
        <v>19545</v>
      </c>
    </row>
    <row r="59" spans="1:11" x14ac:dyDescent="0.3">
      <c r="A59" s="6" t="s">
        <v>71</v>
      </c>
      <c r="E59">
        <v>186.23</v>
      </c>
      <c r="F59">
        <v>347.94</v>
      </c>
      <c r="G59">
        <v>325.58</v>
      </c>
      <c r="H59">
        <v>527.4</v>
      </c>
      <c r="I59">
        <v>70.3</v>
      </c>
      <c r="J59">
        <v>507</v>
      </c>
      <c r="K59">
        <v>749</v>
      </c>
    </row>
    <row r="60" spans="1:11" x14ac:dyDescent="0.3">
      <c r="A60" s="6" t="s">
        <v>72</v>
      </c>
      <c r="E60">
        <v>152.16999999999999</v>
      </c>
      <c r="F60">
        <v>709.3</v>
      </c>
      <c r="G60">
        <v>2117.4299999999998</v>
      </c>
      <c r="H60">
        <v>532.29999999999995</v>
      </c>
      <c r="I60">
        <v>751.2</v>
      </c>
      <c r="J60">
        <v>1632</v>
      </c>
      <c r="K60">
        <v>2194</v>
      </c>
    </row>
    <row r="61" spans="1:11" s="1" customFormat="1" x14ac:dyDescent="0.3">
      <c r="A61" s="1" t="s">
        <v>26</v>
      </c>
      <c r="E61">
        <v>1374.49</v>
      </c>
      <c r="F61">
        <v>3412.88</v>
      </c>
      <c r="G61">
        <v>2900.39</v>
      </c>
      <c r="H61">
        <v>8703.5</v>
      </c>
      <c r="I61">
        <v>17327</v>
      </c>
      <c r="J61">
        <v>21599</v>
      </c>
      <c r="K61">
        <v>23356</v>
      </c>
    </row>
    <row r="62" spans="1:11" x14ac:dyDescent="0.3">
      <c r="A62" s="6" t="s">
        <v>27</v>
      </c>
      <c r="E62">
        <v>189.8</v>
      </c>
      <c r="F62">
        <v>389.08</v>
      </c>
      <c r="G62">
        <v>1590.55</v>
      </c>
      <c r="H62">
        <v>1539</v>
      </c>
      <c r="I62">
        <v>1404.3</v>
      </c>
      <c r="J62">
        <v>6344</v>
      </c>
      <c r="K62">
        <v>6448</v>
      </c>
    </row>
    <row r="63" spans="1:11" x14ac:dyDescent="0.3">
      <c r="A63" s="6" t="s">
        <v>28</v>
      </c>
      <c r="E63">
        <v>1.29</v>
      </c>
      <c r="F63">
        <v>0.74</v>
      </c>
      <c r="G63">
        <v>0.96</v>
      </c>
      <c r="H63">
        <v>0.1</v>
      </c>
      <c r="I63">
        <v>0.6</v>
      </c>
      <c r="J63">
        <v>7</v>
      </c>
      <c r="K63">
        <v>18</v>
      </c>
    </row>
    <row r="64" spans="1:11" x14ac:dyDescent="0.3">
      <c r="A64" s="6" t="s">
        <v>29</v>
      </c>
      <c r="E64">
        <v>829.23</v>
      </c>
      <c r="F64">
        <v>2144.5500000000002</v>
      </c>
      <c r="G64">
        <v>323.92</v>
      </c>
      <c r="H64">
        <v>2205.1999999999998</v>
      </c>
      <c r="I64">
        <v>4717.7</v>
      </c>
      <c r="J64">
        <v>6765</v>
      </c>
      <c r="K64">
        <v>11645</v>
      </c>
    </row>
    <row r="65" spans="1:11" x14ac:dyDescent="0.3">
      <c r="A65" s="6" t="s">
        <v>73</v>
      </c>
      <c r="E65">
        <v>354.17</v>
      </c>
      <c r="F65">
        <v>878.51</v>
      </c>
      <c r="G65">
        <v>984.96</v>
      </c>
      <c r="H65">
        <v>4959.2</v>
      </c>
      <c r="I65">
        <v>11204.4</v>
      </c>
      <c r="J65">
        <v>8483</v>
      </c>
      <c r="K65">
        <v>5245</v>
      </c>
    </row>
    <row r="66" spans="1:11" s="1" customFormat="1" x14ac:dyDescent="0.3">
      <c r="A66" s="1" t="s">
        <v>26</v>
      </c>
      <c r="E66">
        <v>1374.49</v>
      </c>
      <c r="F66">
        <v>3412.88</v>
      </c>
      <c r="G66">
        <v>2900.39</v>
      </c>
      <c r="H66">
        <v>8703.5</v>
      </c>
      <c r="I66">
        <v>17327</v>
      </c>
      <c r="J66">
        <v>21599</v>
      </c>
      <c r="K66">
        <v>23356</v>
      </c>
    </row>
    <row r="67" spans="1:11" s="6" customFormat="1" x14ac:dyDescent="0.3">
      <c r="A67" s="6" t="s">
        <v>78</v>
      </c>
      <c r="E67">
        <v>26.08</v>
      </c>
      <c r="F67">
        <v>70.34</v>
      </c>
      <c r="G67">
        <v>123.12</v>
      </c>
      <c r="H67">
        <v>129.9</v>
      </c>
      <c r="I67">
        <v>159.9</v>
      </c>
      <c r="J67">
        <v>457</v>
      </c>
      <c r="K67">
        <v>794</v>
      </c>
    </row>
    <row r="68" spans="1:11" x14ac:dyDescent="0.3">
      <c r="A68" s="6" t="s">
        <v>45</v>
      </c>
      <c r="F68">
        <v>2.13</v>
      </c>
      <c r="G68">
        <v>3.73</v>
      </c>
      <c r="H68">
        <v>14.8</v>
      </c>
      <c r="I68">
        <v>39.700000000000003</v>
      </c>
      <c r="J68">
        <v>83</v>
      </c>
      <c r="K68">
        <v>88</v>
      </c>
    </row>
    <row r="69" spans="1:11" x14ac:dyDescent="0.3">
      <c r="A69" s="4" t="s">
        <v>87</v>
      </c>
      <c r="E69">
        <v>208.07</v>
      </c>
      <c r="F69">
        <v>238.69</v>
      </c>
      <c r="G69">
        <v>359.88</v>
      </c>
      <c r="H69">
        <v>903.6</v>
      </c>
      <c r="I69">
        <v>1575.5</v>
      </c>
      <c r="J69">
        <v>1017</v>
      </c>
      <c r="K69">
        <v>731</v>
      </c>
    </row>
    <row r="70" spans="1:11" x14ac:dyDescent="0.3">
      <c r="A70" s="4" t="s">
        <v>74</v>
      </c>
      <c r="E70">
        <v>337694</v>
      </c>
      <c r="F70">
        <v>337694</v>
      </c>
      <c r="G70">
        <v>337694</v>
      </c>
      <c r="H70">
        <v>309711</v>
      </c>
      <c r="I70">
        <v>7642940578</v>
      </c>
      <c r="J70">
        <v>8363975413</v>
      </c>
      <c r="K70">
        <v>8680255038</v>
      </c>
    </row>
    <row r="71" spans="1:11" x14ac:dyDescent="0.3">
      <c r="A71" s="4" t="s">
        <v>75</v>
      </c>
      <c r="K71">
        <v>32503548</v>
      </c>
    </row>
    <row r="72" spans="1:11" x14ac:dyDescent="0.3">
      <c r="A72" s="4" t="s">
        <v>88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</row>
    <row r="74" spans="1:11" x14ac:dyDescent="0.3">
      <c r="A74" s="6"/>
    </row>
    <row r="75" spans="1:11" x14ac:dyDescent="0.3">
      <c r="A75" s="6"/>
    </row>
    <row r="76" spans="1:11" x14ac:dyDescent="0.3">
      <c r="A76" s="6"/>
    </row>
    <row r="77" spans="1:11" x14ac:dyDescent="0.3">
      <c r="A77" s="6"/>
    </row>
    <row r="78" spans="1:11" x14ac:dyDescent="0.3">
      <c r="A78" s="6"/>
    </row>
    <row r="79" spans="1:11" x14ac:dyDescent="0.3">
      <c r="A79" s="6"/>
    </row>
    <row r="80" spans="1:11" x14ac:dyDescent="0.3">
      <c r="A80" s="1" t="s">
        <v>41</v>
      </c>
    </row>
    <row r="81" spans="1:11" s="18" customFormat="1" x14ac:dyDescent="0.3">
      <c r="A81" s="17" t="s">
        <v>38</v>
      </c>
      <c r="B81" s="12"/>
      <c r="C81" s="12"/>
      <c r="D81" s="12"/>
      <c r="E81" s="12">
        <v>43190</v>
      </c>
      <c r="F81" s="12">
        <v>43555</v>
      </c>
      <c r="G81" s="12">
        <v>43921</v>
      </c>
      <c r="H81" s="12">
        <v>44286</v>
      </c>
      <c r="I81" s="12">
        <v>44651</v>
      </c>
      <c r="J81" s="12">
        <v>45016</v>
      </c>
      <c r="K81" s="12">
        <v>45382</v>
      </c>
    </row>
    <row r="82" spans="1:11" s="1" customFormat="1" x14ac:dyDescent="0.3">
      <c r="A82" s="6" t="s">
        <v>32</v>
      </c>
      <c r="G82">
        <v>-2143.63</v>
      </c>
      <c r="H82">
        <v>-1017.9</v>
      </c>
      <c r="I82">
        <v>-693</v>
      </c>
      <c r="J82">
        <v>-844</v>
      </c>
      <c r="K82">
        <v>646</v>
      </c>
    </row>
    <row r="83" spans="1:11" s="6" customFormat="1" x14ac:dyDescent="0.3">
      <c r="A83" s="6" t="s">
        <v>33</v>
      </c>
      <c r="G83">
        <v>1739.51</v>
      </c>
      <c r="H83">
        <v>-5244.6</v>
      </c>
      <c r="I83">
        <v>-7971</v>
      </c>
      <c r="J83">
        <v>797</v>
      </c>
      <c r="K83">
        <v>-348</v>
      </c>
    </row>
    <row r="84" spans="1:11" s="6" customFormat="1" x14ac:dyDescent="0.3">
      <c r="A84" s="6" t="s">
        <v>34</v>
      </c>
      <c r="G84">
        <v>358.91</v>
      </c>
      <c r="H84">
        <v>6401.9</v>
      </c>
      <c r="I84">
        <v>8749.7999999999993</v>
      </c>
      <c r="J84">
        <v>-127</v>
      </c>
      <c r="K84">
        <v>-207</v>
      </c>
    </row>
    <row r="85" spans="1:11" s="1" customFormat="1" x14ac:dyDescent="0.3">
      <c r="A85" s="6" t="s">
        <v>35</v>
      </c>
      <c r="G85">
        <v>-45.22</v>
      </c>
      <c r="H85">
        <v>139.4</v>
      </c>
      <c r="I85">
        <v>85.8</v>
      </c>
      <c r="J85">
        <v>-174</v>
      </c>
      <c r="K85">
        <v>91</v>
      </c>
    </row>
    <row r="86" spans="1:11" x14ac:dyDescent="0.3">
      <c r="A86" s="6"/>
    </row>
    <row r="87" spans="1:11" x14ac:dyDescent="0.3">
      <c r="A87" s="6"/>
    </row>
    <row r="88" spans="1:11" x14ac:dyDescent="0.3">
      <c r="A88" s="6"/>
    </row>
    <row r="89" spans="1:11" x14ac:dyDescent="0.3">
      <c r="A89" s="6"/>
    </row>
    <row r="90" spans="1:11" s="1" customFormat="1" x14ac:dyDescent="0.3">
      <c r="A90" s="1" t="s">
        <v>77</v>
      </c>
      <c r="I90">
        <v>82.3</v>
      </c>
      <c r="J90">
        <v>51</v>
      </c>
      <c r="K90">
        <v>182.1</v>
      </c>
    </row>
    <row r="92" spans="1:11" s="1" customFormat="1" x14ac:dyDescent="0.3">
      <c r="A92" s="1" t="s">
        <v>76</v>
      </c>
    </row>
    <row r="93" spans="1:11" x14ac:dyDescent="0.3">
      <c r="A93" s="4" t="s">
        <v>89</v>
      </c>
      <c r="B93" s="24">
        <f>IF($B7&gt;0,(B70*B72/$B7)+SUM(C71:$K71),0)/10000000</f>
        <v>3.2503548000000002</v>
      </c>
      <c r="C93" s="24">
        <f>IF($B7&gt;0,(C70*C72/$B7)+SUM(D71:$K71),0)/10000000</f>
        <v>3.2503548000000002</v>
      </c>
      <c r="D93" s="24">
        <f>IF($B7&gt;0,(D70*D72/$B7)+SUM(E71:$K71),0)/10000000</f>
        <v>3.2503548000000002</v>
      </c>
      <c r="E93" s="24">
        <v>0.03</v>
      </c>
      <c r="F93" s="24">
        <v>0.03</v>
      </c>
      <c r="G93" s="24">
        <v>0.03</v>
      </c>
      <c r="H93" s="24">
        <v>0.04</v>
      </c>
      <c r="I93" s="24">
        <v>787.19</v>
      </c>
      <c r="J93" s="24">
        <v>855.35</v>
      </c>
      <c r="K93" s="24">
        <v>881.98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Profit &amp; Loss</vt:lpstr>
      <vt:lpstr>Quarters</vt:lpstr>
      <vt:lpstr>Balance Sheet</vt:lpstr>
      <vt:lpstr>Cash Flow</vt:lpstr>
      <vt:lpstr>Customization</vt:lpstr>
      <vt:lpstr>Three Statement Model</vt:lpstr>
      <vt:lpstr>CFO</vt:lpstr>
      <vt:lpstr>Forecasting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Anisha Khawale</cp:lastModifiedBy>
  <cp:lastPrinted>2012-12-06T18:14:13Z</cp:lastPrinted>
  <dcterms:created xsi:type="dcterms:W3CDTF">2012-08-17T09:55:37Z</dcterms:created>
  <dcterms:modified xsi:type="dcterms:W3CDTF">2025-03-22T06:18:39Z</dcterms:modified>
</cp:coreProperties>
</file>