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sh\Downloads\"/>
    </mc:Choice>
  </mc:AlternateContent>
  <xr:revisionPtr revIDLastSave="0" documentId="13_ncr:1_{78D5E4D6-B2AE-420A-9919-9DC6BF6F21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ne page Profile" sheetId="7" r:id="rId1"/>
    <sheet name="Profit &amp; Loss" sheetId="1" r:id="rId2"/>
    <sheet name="Quarters" sheetId="3" r:id="rId3"/>
    <sheet name="Balance Sheet" sheetId="2" r:id="rId4"/>
    <sheet name="Cash Flow" sheetId="4" r:id="rId5"/>
    <sheet name="Customization" sheetId="5" r:id="rId6"/>
    <sheet name="Rough" sheetId="10" r:id="rId7"/>
    <sheet name="Sheet3" sheetId="9" r:id="rId8"/>
    <sheet name="Input Sheet" sheetId="8" r:id="rId9"/>
    <sheet name="Data Sheet" sheetId="6" r:id="rId10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8" i="7" l="1"/>
  <c r="M47" i="7"/>
  <c r="M45" i="7"/>
  <c r="M44" i="7"/>
  <c r="M46" i="7" s="1"/>
  <c r="F32" i="7"/>
  <c r="F33" i="7"/>
  <c r="F34" i="7"/>
  <c r="F35" i="7"/>
  <c r="F36" i="7"/>
  <c r="F37" i="7"/>
  <c r="F38" i="7"/>
  <c r="F39" i="7"/>
  <c r="F40" i="7"/>
  <c r="F31" i="7"/>
  <c r="E32" i="7"/>
  <c r="E33" i="7"/>
  <c r="E34" i="7"/>
  <c r="E35" i="7"/>
  <c r="E36" i="7"/>
  <c r="E37" i="7"/>
  <c r="E38" i="7"/>
  <c r="E39" i="7"/>
  <c r="E40" i="7"/>
  <c r="E31" i="7"/>
  <c r="C32" i="7"/>
  <c r="C33" i="7"/>
  <c r="C34" i="7"/>
  <c r="C35" i="7"/>
  <c r="C36" i="7"/>
  <c r="C37" i="7"/>
  <c r="C38" i="7"/>
  <c r="C39" i="7"/>
  <c r="C40" i="7"/>
  <c r="C31" i="7"/>
  <c r="B40" i="7"/>
  <c r="B32" i="7"/>
  <c r="B33" i="7"/>
  <c r="B34" i="7"/>
  <c r="B35" i="7"/>
  <c r="B36" i="7"/>
  <c r="B37" i="7"/>
  <c r="B38" i="7"/>
  <c r="B39" i="7"/>
  <c r="B31" i="7"/>
  <c r="F29" i="7"/>
  <c r="E29" i="7"/>
  <c r="C29" i="7"/>
  <c r="J36" i="9"/>
  <c r="J37" i="9"/>
  <c r="J38" i="9"/>
  <c r="J39" i="9"/>
  <c r="J40" i="9"/>
  <c r="J41" i="9"/>
  <c r="J42" i="9"/>
  <c r="J43" i="9"/>
  <c r="J44" i="9"/>
  <c r="J35" i="9"/>
  <c r="D25" i="7"/>
  <c r="E25" i="7"/>
  <c r="F25" i="7"/>
  <c r="G25" i="7"/>
  <c r="C25" i="7"/>
  <c r="D24" i="7"/>
  <c r="E24" i="7"/>
  <c r="F24" i="7"/>
  <c r="G24" i="7"/>
  <c r="C24" i="7"/>
  <c r="D23" i="7"/>
  <c r="E23" i="7"/>
  <c r="F23" i="7"/>
  <c r="G23" i="7"/>
  <c r="C23" i="7"/>
  <c r="D22" i="7"/>
  <c r="E22" i="7"/>
  <c r="F22" i="7"/>
  <c r="G22" i="7"/>
  <c r="C22" i="7"/>
  <c r="D21" i="7"/>
  <c r="E21" i="7"/>
  <c r="F21" i="7"/>
  <c r="G21" i="7"/>
  <c r="C21" i="7"/>
  <c r="D20" i="7"/>
  <c r="E20" i="7"/>
  <c r="F20" i="7"/>
  <c r="G20" i="7"/>
  <c r="C20" i="7"/>
  <c r="K45" i="1"/>
  <c r="J45" i="1"/>
  <c r="C45" i="1"/>
  <c r="D45" i="1"/>
  <c r="E45" i="1"/>
  <c r="F45" i="1"/>
  <c r="G45" i="1"/>
  <c r="H45" i="1"/>
  <c r="I45" i="1"/>
  <c r="B45" i="1"/>
  <c r="C27" i="2"/>
  <c r="D27" i="2"/>
  <c r="E27" i="2"/>
  <c r="F27" i="2"/>
  <c r="G27" i="2"/>
  <c r="H27" i="2"/>
  <c r="I27" i="2"/>
  <c r="J27" i="2"/>
  <c r="K27" i="2"/>
  <c r="B27" i="2"/>
  <c r="C44" i="1"/>
  <c r="D44" i="1"/>
  <c r="E44" i="1"/>
  <c r="F44" i="1"/>
  <c r="G44" i="1"/>
  <c r="H44" i="1"/>
  <c r="I44" i="1"/>
  <c r="J44" i="1"/>
  <c r="K44" i="1"/>
  <c r="B44" i="1"/>
  <c r="C43" i="1"/>
  <c r="D43" i="1"/>
  <c r="E43" i="1"/>
  <c r="F43" i="1"/>
  <c r="G43" i="1"/>
  <c r="H43" i="1"/>
  <c r="I43" i="1"/>
  <c r="J43" i="1"/>
  <c r="K43" i="1"/>
  <c r="B43" i="1"/>
  <c r="C42" i="1"/>
  <c r="D42" i="1"/>
  <c r="E42" i="1"/>
  <c r="F42" i="1"/>
  <c r="G42" i="1"/>
  <c r="H42" i="1"/>
  <c r="I42" i="1"/>
  <c r="J42" i="1"/>
  <c r="K42" i="1"/>
  <c r="B42" i="1"/>
  <c r="C41" i="1"/>
  <c r="D41" i="1"/>
  <c r="E41" i="1"/>
  <c r="F41" i="1"/>
  <c r="G41" i="1"/>
  <c r="H41" i="1"/>
  <c r="I41" i="1"/>
  <c r="J41" i="1"/>
  <c r="K41" i="1"/>
  <c r="B41" i="1"/>
  <c r="C40" i="1"/>
  <c r="D40" i="1"/>
  <c r="E40" i="1"/>
  <c r="F40" i="1"/>
  <c r="G40" i="1"/>
  <c r="H40" i="1"/>
  <c r="I40" i="1"/>
  <c r="J40" i="1"/>
  <c r="K40" i="1"/>
  <c r="B40" i="1"/>
  <c r="C39" i="1"/>
  <c r="D39" i="1"/>
  <c r="E39" i="1"/>
  <c r="F39" i="1"/>
  <c r="G39" i="1"/>
  <c r="H39" i="1"/>
  <c r="I39" i="1"/>
  <c r="J39" i="1"/>
  <c r="K39" i="1"/>
  <c r="B39" i="1"/>
  <c r="D16" i="7"/>
  <c r="E16" i="7"/>
  <c r="F16" i="7"/>
  <c r="G16" i="7"/>
  <c r="C35" i="1"/>
  <c r="D35" i="1"/>
  <c r="E35" i="1"/>
  <c r="F35" i="1"/>
  <c r="G35" i="1"/>
  <c r="H35" i="1"/>
  <c r="I35" i="1"/>
  <c r="J35" i="1"/>
  <c r="K35" i="1"/>
  <c r="B35" i="1"/>
  <c r="D15" i="7"/>
  <c r="E15" i="7"/>
  <c r="F15" i="7"/>
  <c r="G15" i="7"/>
  <c r="C15" i="7"/>
  <c r="C34" i="1"/>
  <c r="D34" i="1"/>
  <c r="E34" i="1"/>
  <c r="F34" i="1"/>
  <c r="G34" i="1"/>
  <c r="H34" i="1"/>
  <c r="I34" i="1"/>
  <c r="J34" i="1"/>
  <c r="K34" i="1"/>
  <c r="B34" i="1"/>
  <c r="D14" i="7"/>
  <c r="E14" i="7"/>
  <c r="F14" i="7"/>
  <c r="G14" i="7"/>
  <c r="C14" i="7"/>
  <c r="D33" i="1"/>
  <c r="E33" i="1"/>
  <c r="F33" i="1"/>
  <c r="G33" i="1"/>
  <c r="H33" i="1"/>
  <c r="I33" i="1"/>
  <c r="J33" i="1"/>
  <c r="K33" i="1"/>
  <c r="C33" i="1"/>
  <c r="D13" i="7"/>
  <c r="E13" i="7"/>
  <c r="F13" i="7"/>
  <c r="G13" i="7"/>
  <c r="C13" i="7"/>
  <c r="D12" i="7"/>
  <c r="E12" i="7"/>
  <c r="F12" i="7"/>
  <c r="G12" i="7"/>
  <c r="C12" i="7"/>
  <c r="C32" i="1"/>
  <c r="D32" i="1"/>
  <c r="E32" i="1"/>
  <c r="F32" i="1"/>
  <c r="G32" i="1"/>
  <c r="H32" i="1"/>
  <c r="I32" i="1"/>
  <c r="J32" i="1"/>
  <c r="K32" i="1"/>
  <c r="B32" i="1"/>
  <c r="D11" i="7"/>
  <c r="E11" i="7"/>
  <c r="F11" i="7"/>
  <c r="G11" i="7"/>
  <c r="C11" i="7"/>
  <c r="C31" i="1"/>
  <c r="D31" i="1"/>
  <c r="E31" i="1"/>
  <c r="F31" i="1"/>
  <c r="G31" i="1"/>
  <c r="H31" i="1"/>
  <c r="I31" i="1"/>
  <c r="J31" i="1"/>
  <c r="K31" i="1"/>
  <c r="B31" i="1"/>
  <c r="D10" i="7"/>
  <c r="E10" i="7"/>
  <c r="F10" i="7"/>
  <c r="G10" i="7"/>
  <c r="C10" i="7"/>
  <c r="C30" i="1"/>
  <c r="D30" i="1"/>
  <c r="E30" i="1"/>
  <c r="F30" i="1"/>
  <c r="G30" i="1"/>
  <c r="H30" i="1"/>
  <c r="I30" i="1"/>
  <c r="J30" i="1"/>
  <c r="K30" i="1"/>
  <c r="B30" i="1"/>
  <c r="D9" i="7"/>
  <c r="E9" i="7"/>
  <c r="F9" i="7"/>
  <c r="G9" i="7"/>
  <c r="C9" i="7"/>
  <c r="C29" i="1"/>
  <c r="D29" i="1"/>
  <c r="E29" i="1"/>
  <c r="F29" i="1"/>
  <c r="G29" i="1"/>
  <c r="H29" i="1"/>
  <c r="I29" i="1"/>
  <c r="J29" i="1"/>
  <c r="K29" i="1"/>
  <c r="B29" i="1"/>
  <c r="C28" i="1"/>
  <c r="D28" i="1"/>
  <c r="E28" i="1"/>
  <c r="F28" i="1"/>
  <c r="G28" i="1"/>
  <c r="H28" i="1"/>
  <c r="I28" i="1"/>
  <c r="J28" i="1"/>
  <c r="K28" i="1"/>
  <c r="B28" i="1"/>
  <c r="C34" i="6"/>
  <c r="D34" i="6"/>
  <c r="E34" i="6"/>
  <c r="F34" i="6"/>
  <c r="G34" i="6"/>
  <c r="H34" i="6"/>
  <c r="I34" i="6"/>
  <c r="J34" i="6"/>
  <c r="K34" i="6"/>
  <c r="B34" i="6"/>
  <c r="D8" i="7"/>
  <c r="E8" i="7"/>
  <c r="F8" i="7"/>
  <c r="G8" i="7"/>
  <c r="C8" i="7"/>
  <c r="D27" i="1"/>
  <c r="E27" i="1"/>
  <c r="F27" i="1"/>
  <c r="G27" i="1"/>
  <c r="H27" i="1"/>
  <c r="I27" i="1"/>
  <c r="J27" i="1"/>
  <c r="K27" i="1"/>
  <c r="C27" i="1"/>
  <c r="D7" i="7"/>
  <c r="E7" i="7"/>
  <c r="F7" i="7"/>
  <c r="G7" i="7"/>
  <c r="C7" i="7"/>
  <c r="D5" i="7"/>
  <c r="D18" i="7" s="1"/>
  <c r="E5" i="7"/>
  <c r="E18" i="7" s="1"/>
  <c r="F5" i="7"/>
  <c r="F18" i="7" s="1"/>
  <c r="G5" i="7"/>
  <c r="G18" i="7" s="1"/>
  <c r="C5" i="7"/>
  <c r="C18" i="7" s="1"/>
  <c r="C3" i="7"/>
  <c r="B1" i="7"/>
  <c r="C6" i="3"/>
  <c r="D6" i="3"/>
  <c r="E6" i="3"/>
  <c r="F6" i="3"/>
  <c r="G6" i="3"/>
  <c r="H6" i="3"/>
  <c r="I6" i="3"/>
  <c r="I14" i="3" s="1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J6" i="1" s="1"/>
  <c r="J19" i="1" s="1"/>
  <c r="K5" i="1"/>
  <c r="B5" i="1"/>
  <c r="D13" i="1" s="1"/>
  <c r="E13" i="1" s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G21" i="2" s="1"/>
  <c r="H18" i="2"/>
  <c r="I18" i="2"/>
  <c r="J18" i="2"/>
  <c r="J21" i="2" s="1"/>
  <c r="K18" i="2"/>
  <c r="B17" i="2"/>
  <c r="C4" i="2"/>
  <c r="D4" i="2"/>
  <c r="E4" i="2"/>
  <c r="E5" i="2"/>
  <c r="F4" i="2"/>
  <c r="G4" i="2"/>
  <c r="H4" i="2"/>
  <c r="I4" i="2"/>
  <c r="I23" i="2" s="1"/>
  <c r="I5" i="2"/>
  <c r="J4" i="2"/>
  <c r="J5" i="2"/>
  <c r="J23" i="2" s="1"/>
  <c r="K4" i="2"/>
  <c r="K23" i="2" s="1"/>
  <c r="C5" i="2"/>
  <c r="D5" i="2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J7" i="2"/>
  <c r="K7" i="2"/>
  <c r="K16" i="2" s="1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G4" i="3"/>
  <c r="H4" i="3"/>
  <c r="H14" i="3" s="1"/>
  <c r="I4" i="3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L12" i="1" s="1"/>
  <c r="L13" i="1" s="1"/>
  <c r="L14" i="1" s="1"/>
  <c r="L25" i="1" s="1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20" i="2" s="1"/>
  <c r="E4" i="1"/>
  <c r="E6" i="1" s="1"/>
  <c r="E19" i="1" s="1"/>
  <c r="F4" i="1"/>
  <c r="F20" i="2" s="1"/>
  <c r="G4" i="1"/>
  <c r="H4" i="1"/>
  <c r="I4" i="1"/>
  <c r="J4" i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F14" i="1" s="1"/>
  <c r="G12" i="1"/>
  <c r="G23" i="2" s="1"/>
  <c r="H12" i="1"/>
  <c r="H13" i="1" s="1"/>
  <c r="I12" i="1"/>
  <c r="I13" i="1" s="1"/>
  <c r="J12" i="1"/>
  <c r="J13" i="1" s="1"/>
  <c r="J14" i="1" s="1"/>
  <c r="K12" i="1"/>
  <c r="K13" i="1" s="1"/>
  <c r="C15" i="1"/>
  <c r="D15" i="1"/>
  <c r="E15" i="1"/>
  <c r="F15" i="1"/>
  <c r="G15" i="1"/>
  <c r="H15" i="1"/>
  <c r="I15" i="1"/>
  <c r="J15" i="1"/>
  <c r="K15" i="1"/>
  <c r="K14" i="1" s="1"/>
  <c r="B15" i="1"/>
  <c r="B7" i="1"/>
  <c r="B4" i="1"/>
  <c r="B20" i="2" s="1"/>
  <c r="A1" i="1"/>
  <c r="A1" i="2" s="1"/>
  <c r="A1" i="4" s="1"/>
  <c r="E1" i="6"/>
  <c r="H1" i="1" s="1"/>
  <c r="H16" i="2"/>
  <c r="D16" i="2"/>
  <c r="C16" i="2"/>
  <c r="F16" i="2"/>
  <c r="B23" i="2"/>
  <c r="D23" i="2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H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G14" i="3"/>
  <c r="G20" i="2"/>
  <c r="J20" i="2"/>
  <c r="C20" i="2"/>
  <c r="E20" i="2"/>
  <c r="L6" i="1"/>
  <c r="H23" i="1"/>
  <c r="I23" i="1"/>
  <c r="J23" i="1"/>
  <c r="M50" i="7" l="1"/>
  <c r="C14" i="1"/>
  <c r="N11" i="1"/>
  <c r="M11" i="1"/>
  <c r="E24" i="2"/>
  <c r="G13" i="1"/>
  <c r="G14" i="1" s="1"/>
  <c r="B6" i="1"/>
  <c r="B19" i="1" s="1"/>
  <c r="H23" i="2"/>
  <c r="L7" i="1"/>
  <c r="D24" i="2"/>
  <c r="E1" i="3"/>
  <c r="I16" i="2"/>
  <c r="K24" i="2"/>
  <c r="B14" i="3"/>
  <c r="D6" i="1"/>
  <c r="D19" i="1" s="1"/>
  <c r="E1" i="2"/>
  <c r="I14" i="1"/>
  <c r="K25" i="1" s="1"/>
  <c r="M25" i="1" s="1"/>
  <c r="M14" i="1" s="1"/>
  <c r="C24" i="2"/>
  <c r="H24" i="2"/>
  <c r="K6" i="1"/>
  <c r="K19" i="1" s="1"/>
  <c r="K24" i="1" s="1"/>
  <c r="G24" i="2"/>
  <c r="L8" i="1"/>
  <c r="N8" i="1" s="1"/>
  <c r="J24" i="2"/>
  <c r="I24" i="2"/>
  <c r="C23" i="2"/>
  <c r="E16" i="2"/>
  <c r="A1" i="3"/>
  <c r="B14" i="1"/>
  <c r="D14" i="1"/>
  <c r="H14" i="1"/>
  <c r="H24" i="1"/>
  <c r="E14" i="1"/>
  <c r="L9" i="1"/>
  <c r="M9" i="1" s="1"/>
  <c r="L4" i="1"/>
  <c r="L23" i="1" s="1"/>
  <c r="N23" i="1" s="1"/>
  <c r="N4" i="1" s="1"/>
  <c r="I6" i="1"/>
  <c r="I19" i="1" s="1"/>
  <c r="F24" i="2"/>
  <c r="J25" i="1"/>
  <c r="H25" i="1"/>
  <c r="I25" i="1"/>
  <c r="I20" i="2"/>
  <c r="H20" i="2"/>
  <c r="K23" i="1"/>
  <c r="H6" i="1"/>
  <c r="H19" i="1" s="1"/>
  <c r="J24" i="1" s="1"/>
  <c r="F6" i="1"/>
  <c r="F19" i="1" s="1"/>
  <c r="E1" i="4"/>
  <c r="N25" i="1" l="1"/>
  <c r="N14" i="1" s="1"/>
  <c r="M8" i="1"/>
  <c r="I24" i="1"/>
  <c r="N24" i="1" s="1"/>
  <c r="N6" i="1" s="1"/>
  <c r="N9" i="1"/>
  <c r="L19" i="1"/>
  <c r="L24" i="1" s="1"/>
  <c r="M24" i="1" s="1"/>
  <c r="M6" i="1" s="1"/>
  <c r="M10" i="1" s="1"/>
  <c r="M12" i="1" s="1"/>
  <c r="M13" i="1" s="1"/>
  <c r="M15" i="1" s="1"/>
  <c r="M23" i="1"/>
  <c r="M4" i="1" s="1"/>
  <c r="N10" i="1" l="1"/>
  <c r="N12" i="1" s="1"/>
  <c r="N13" i="1" s="1"/>
  <c r="N5" i="1"/>
  <c r="N15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Anisha Khawale</author>
  </authors>
  <commentList>
    <comment ref="I47" authorId="0" shapeId="0" xr:uid="{1FAA0843-D3D6-4D83-920E-F065DF24EDF5}">
      <text>
        <r>
          <rPr>
            <b/>
            <sz val="9"/>
            <color indexed="81"/>
            <rFont val="Tahoma"/>
            <family val="2"/>
          </rPr>
          <t>Anisha Khawale:</t>
        </r>
        <r>
          <rPr>
            <sz val="9"/>
            <color indexed="81"/>
            <rFont val="Tahoma"/>
            <family val="2"/>
          </rPr>
          <t xml:space="preserve">
alt+H+6
</t>
        </r>
      </text>
    </comment>
  </commentList>
</comments>
</file>

<file path=xl/sharedStrings.xml><?xml version="1.0" encoding="utf-8"?>
<sst xmlns="http://schemas.openxmlformats.org/spreadsheetml/2006/main" count="248" uniqueCount="187">
  <si>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</si>
  <si>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</si>
  <si>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</si>
  <si>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</si>
  <si>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</si>
  <si>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</si>
  <si>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</si>
  <si>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</si>
  <si>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</si>
  <si>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</si>
  <si>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</si>
  <si>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</si>
  <si>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</si>
  <si>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</si>
  <si>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</si>
  <si>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</si>
  <si>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</si>
  <si>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</si>
  <si>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</si>
  <si>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</si>
  <si>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</si>
  <si>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</si>
  <si>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</si>
  <si>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</si>
  <si>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</si>
  <si>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</si>
  <si>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</si>
  <si>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</si>
  <si>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</si>
  <si>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</si>
  <si>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</si>
  <si>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</si>
  <si>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</si>
  <si>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</si>
  <si>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</si>
  <si>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</si>
  <si>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</si>
  <si>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</si>
  <si>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</si>
  <si>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</si>
  <si>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</si>
  <si>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</si>
  <si>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</si>
  <si>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</si>
  <si>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</si>
  <si>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</si>
  <si>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</si>
  <si>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</si>
  <si>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</si>
  <si>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</si>
  <si>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</si>
  <si>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</si>
  <si>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</si>
  <si>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</si>
  <si>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</si>
  <si>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</si>
  <si>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</si>
  <si>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</si>
  <si>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</si>
  <si>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</si>
  <si>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</si>
  <si>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</si>
  <si>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</si>
  <si>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</si>
  <si>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</si>
  <si>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</si>
  <si>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</si>
  <si>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</si>
  <si>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</si>
  <si>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</si>
  <si>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</si>
  <si>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</si>
  <si>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</si>
  <si>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</si>
  <si>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</si>
  <si>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</si>
  <si>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</si>
  <si>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</si>
  <si>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</si>
  <si>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</si>
  <si>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</si>
  <si>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</si>
  <si>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</si>
  <si>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</si>
  <si>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</si>
  <si>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</si>
  <si>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</si>
  <si>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</si>
  <si>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</si>
  <si>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</si>
  <si>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</si>
  <si>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</si>
  <si>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</si>
  <si>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ICICI Bank is the second-largest private sector bank in India offering a diversified portfolio of financial products and services to retail, SME and corporate customers. The Bank has an extensive network of branches, ATMs and other touch-points.The ICICI group has presence in businesses like life and general insurance, housing finance, primary dealership, etc, through its subsidiaries and associates.</t>
  </si>
  <si>
    <t>Company Description</t>
  </si>
  <si>
    <t>Key Financial Metrics</t>
  </si>
  <si>
    <t>Total Sales</t>
  </si>
  <si>
    <t>INR (Crs)</t>
  </si>
  <si>
    <t>Sales Growth (y-o-y)</t>
  </si>
  <si>
    <t>Sales Growth yoy</t>
  </si>
  <si>
    <t>Gross Profit</t>
  </si>
  <si>
    <t>GM</t>
  </si>
  <si>
    <t>Gross Profit Margin %</t>
  </si>
  <si>
    <t>EBITDA Margin</t>
  </si>
  <si>
    <t>EBITDA Margin %</t>
  </si>
  <si>
    <t>EBIT Margin</t>
  </si>
  <si>
    <t>EBIT Margin %</t>
  </si>
  <si>
    <t>Net Margins</t>
  </si>
  <si>
    <t>Net Profit Margin (%)</t>
  </si>
  <si>
    <t>Earnings Per Share ( In Rs.)</t>
  </si>
  <si>
    <t xml:space="preserve">EPS Growth  (y-o-y) </t>
  </si>
  <si>
    <t>Eps Growth</t>
  </si>
  <si>
    <t>DPS</t>
  </si>
  <si>
    <t>Dividend Per Share</t>
  </si>
  <si>
    <t>Dividend Growth</t>
  </si>
  <si>
    <t xml:space="preserve">DPS Growth  (y-o-y) </t>
  </si>
  <si>
    <t>Debt</t>
  </si>
  <si>
    <t>Cash</t>
  </si>
  <si>
    <t>EV</t>
  </si>
  <si>
    <t>EV by EBITDA</t>
  </si>
  <si>
    <t>EV by Sales</t>
  </si>
  <si>
    <t>Book Value</t>
  </si>
  <si>
    <t>P/B</t>
  </si>
  <si>
    <t>Key Financial Ratios</t>
  </si>
  <si>
    <t>Price to Earning Ratio</t>
  </si>
  <si>
    <t>EV/Ebitda</t>
  </si>
  <si>
    <t>EV/Sales</t>
  </si>
  <si>
    <t>Price to book value</t>
  </si>
  <si>
    <t>Return on Equity (%)</t>
  </si>
  <si>
    <t>Return on Capital Employed (%)</t>
  </si>
  <si>
    <t>Date</t>
  </si>
  <si>
    <t>Vol.</t>
  </si>
  <si>
    <t>Shareholder's name</t>
  </si>
  <si>
    <t>Shareholding (%)</t>
  </si>
  <si>
    <t>LIFE INSURANCE CORPORATION OF INDIA</t>
  </si>
  <si>
    <t>SBI MUTUAL FUND</t>
  </si>
  <si>
    <t>ICICI PRUDENTIAL MUTUAL FUND</t>
  </si>
  <si>
    <t>HDFC MUTUAL FUND</t>
  </si>
  <si>
    <t>NPS TRUST</t>
  </si>
  <si>
    <t>GOVERNMENT OF SINGAPORE</t>
  </si>
  <si>
    <t>UTI MUTUAL FUND</t>
  </si>
  <si>
    <t>NIPPON LIFE INDIA MUTUAL FUND</t>
  </si>
  <si>
    <t>GOVERNMENT PENSION FUND GLOBAL</t>
  </si>
  <si>
    <t>SBI LIFE INSURANCE COMPANY LIMITED</t>
  </si>
  <si>
    <t>Top 10 Shareholders</t>
  </si>
  <si>
    <t>No, of Shares (in Crs.)</t>
  </si>
  <si>
    <t>Market Value ( in Crs.)</t>
  </si>
  <si>
    <t>FII</t>
  </si>
  <si>
    <t>DII</t>
  </si>
  <si>
    <t>Government &amp; Public</t>
  </si>
  <si>
    <t>Shareholing pattern</t>
  </si>
  <si>
    <t>Capital Structure</t>
  </si>
  <si>
    <t>Share Price as on 28/3/2025</t>
  </si>
  <si>
    <t>Number of Share o/s</t>
  </si>
  <si>
    <t>Less: Cash &amp; Equivalents</t>
  </si>
  <si>
    <t>Add: Total Debt</t>
  </si>
  <si>
    <t>Add: Minority Interest</t>
  </si>
  <si>
    <t>Enterprise Value</t>
  </si>
  <si>
    <t>Sandeep Batra</t>
  </si>
  <si>
    <t xml:space="preserve">Rakesh Jha </t>
  </si>
  <si>
    <t>Ajay Kumar Gupta</t>
  </si>
  <si>
    <t xml:space="preserve">Sandeep Bakhshi, Managing Director &amp; CEO  </t>
  </si>
  <si>
    <t>104:1</t>
  </si>
  <si>
    <t>120:1</t>
  </si>
  <si>
    <t>Managerial Remunration</t>
  </si>
  <si>
    <t>Mr.Sandeep Bakhshi</t>
  </si>
  <si>
    <t>Mr.Sandeep Batra</t>
  </si>
  <si>
    <t xml:space="preserve">Mr.Rakesh Jha </t>
  </si>
  <si>
    <t>Mr.Ajay Kumar Gupta</t>
  </si>
  <si>
    <t>Designation</t>
  </si>
  <si>
    <t>Remunration</t>
  </si>
  <si>
    <t>x of Median Salary</t>
  </si>
  <si>
    <t>MD &amp; CEO</t>
  </si>
  <si>
    <t>Exce. Director</t>
  </si>
  <si>
    <t>ICICI Securities is now fully owned by ICICI Bank and has been delisted to simplify operations and improve services.</t>
  </si>
  <si>
    <t>ICICI Bank installs units to produce water from atmospheric moisture.</t>
  </si>
  <si>
    <t>Recent Updates</t>
  </si>
  <si>
    <t>ICICI Bank denies mass layoffs, calling it voluntary abandonment of services.</t>
  </si>
  <si>
    <t>ICICI Bank issued 516,121 shares under its Employee Stock Option Scheme-2000.</t>
  </si>
  <si>
    <t>Notes:</t>
  </si>
  <si>
    <t>The percentage increase in the median 
remuneration of employees in the financial year 
was around 12.6%.</t>
  </si>
  <si>
    <t>In fiscal 2024, employee salaries rose by 13% on average, while Key Managerial Personnel saw increases of 4%–30%.</t>
  </si>
  <si>
    <t>ICICI Bank has 141,009 employees, with 135,900 on permanent rolls, including overseas staff.</t>
  </si>
  <si>
    <t>Share Price 3 Years</t>
  </si>
  <si>
    <t>Volume Trends 3 Years</t>
  </si>
  <si>
    <t>Figures in Crs</t>
  </si>
  <si>
    <t>Source: Screener.in, Investing.com, NSE.com, Annual Reports, Marketwatch, Mint, Bussines Finance News, Equitymasters.com                           By Abhishek Khawale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</si>
</sst>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0.0"/>
    <numFmt numFmtId="167" formatCode="0.00&quot;x&quot;"/>
    <numFmt numFmtId="168" formatCode="#,##0.0"/>
    <numFmt numFmtId="169" formatCode="_ * #,##0_ ;_ * \-#,##0_ ;_ * &quot;-&quot;??_ ;_ @_ "/>
    <numFmt numFmtId="170" formatCode="#,##0;\(#,##0\)"/>
    <numFmt numFmtId="171" formatCode="0&quot;x&quot;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606F7B"/>
      <name val="Arial"/>
      <family val="2"/>
    </font>
    <font>
      <sz val="12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99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0" fontId="0" fillId="7" borderId="0" xfId="0" applyFill="1"/>
    <xf numFmtId="0" fontId="0" fillId="0" borderId="0" xfId="0" applyAlignment="1">
      <alignment vertical="top"/>
    </xf>
    <xf numFmtId="0" fontId="10" fillId="7" borderId="0" xfId="0" applyFont="1" applyFill="1" applyAlignment="1">
      <alignment vertical="top" wrapText="1"/>
    </xf>
    <xf numFmtId="43" fontId="5" fillId="0" borderId="0" xfId="0" applyNumberFormat="1" applyFont="1" applyAlignment="1">
      <alignment horizontal="center"/>
    </xf>
    <xf numFmtId="0" fontId="0" fillId="0" borderId="1" xfId="0" applyBorder="1"/>
    <xf numFmtId="0" fontId="2" fillId="6" borderId="0" xfId="0" applyFont="1" applyFill="1"/>
    <xf numFmtId="17" fontId="5" fillId="6" borderId="0" xfId="0" applyNumberFormat="1" applyFont="1" applyFill="1"/>
    <xf numFmtId="43" fontId="0" fillId="0" borderId="0" xfId="0" applyNumberFormat="1"/>
    <xf numFmtId="4" fontId="0" fillId="0" borderId="0" xfId="0" applyNumberFormat="1"/>
    <xf numFmtId="0" fontId="12" fillId="0" borderId="0" xfId="0" applyFont="1"/>
    <xf numFmtId="2" fontId="0" fillId="0" borderId="0" xfId="0" applyNumberFormat="1"/>
    <xf numFmtId="10" fontId="0" fillId="0" borderId="0" xfId="6" applyNumberFormat="1" applyFont="1"/>
    <xf numFmtId="15" fontId="0" fillId="0" borderId="0" xfId="0" applyNumberFormat="1"/>
    <xf numFmtId="166" fontId="0" fillId="0" borderId="0" xfId="0" applyNumberFormat="1"/>
    <xf numFmtId="0" fontId="0" fillId="8" borderId="0" xfId="0" applyFill="1"/>
    <xf numFmtId="0" fontId="14" fillId="10" borderId="2" xfId="0" applyFont="1" applyFill="1" applyBorder="1" applyAlignment="1">
      <alignment horizontal="left" vertical="center" wrapText="1" indent="1"/>
    </xf>
    <xf numFmtId="0" fontId="14" fillId="10" borderId="2" xfId="0" applyFont="1" applyFill="1" applyBorder="1" applyAlignment="1">
      <alignment horizontal="right" vertical="center" wrapText="1" indent="1"/>
    </xf>
    <xf numFmtId="0" fontId="15" fillId="9" borderId="3" xfId="0" applyFont="1" applyFill="1" applyBorder="1" applyAlignment="1">
      <alignment horizontal="left" vertical="center" wrapText="1" indent="1"/>
    </xf>
    <xf numFmtId="3" fontId="15" fillId="9" borderId="3" xfId="0" applyNumberFormat="1" applyFont="1" applyFill="1" applyBorder="1" applyAlignment="1">
      <alignment horizontal="right" vertical="center" wrapText="1" indent="1"/>
    </xf>
    <xf numFmtId="0" fontId="15" fillId="9" borderId="3" xfId="0" applyFont="1" applyFill="1" applyBorder="1" applyAlignment="1">
      <alignment horizontal="right" vertical="center" wrapText="1" indent="1"/>
    </xf>
    <xf numFmtId="0" fontId="14" fillId="10" borderId="4" xfId="0" applyFont="1" applyFill="1" applyBorder="1" applyAlignment="1">
      <alignment horizontal="right" vertical="center" wrapText="1" indent="1"/>
    </xf>
    <xf numFmtId="17" fontId="15" fillId="9" borderId="5" xfId="0" applyNumberFormat="1" applyFont="1" applyFill="1" applyBorder="1" applyAlignment="1">
      <alignment horizontal="right" vertical="center" wrapText="1" indent="1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168" fontId="0" fillId="0" borderId="0" xfId="0" applyNumberFormat="1"/>
    <xf numFmtId="0" fontId="0" fillId="0" borderId="0" xfId="0" applyAlignment="1">
      <alignment horizontal="left" indent="1"/>
    </xf>
    <xf numFmtId="0" fontId="0" fillId="0" borderId="6" xfId="0" applyBorder="1"/>
    <xf numFmtId="3" fontId="0" fillId="0" borderId="6" xfId="0" applyNumberFormat="1" applyBorder="1"/>
    <xf numFmtId="0" fontId="13" fillId="0" borderId="6" xfId="0" applyFont="1" applyBorder="1"/>
    <xf numFmtId="10" fontId="13" fillId="0" borderId="6" xfId="0" applyNumberFormat="1" applyFont="1" applyBorder="1"/>
    <xf numFmtId="10" fontId="0" fillId="0" borderId="6" xfId="0" applyNumberFormat="1" applyBorder="1"/>
    <xf numFmtId="0" fontId="11" fillId="0" borderId="6" xfId="0" applyFont="1" applyBorder="1"/>
    <xf numFmtId="43" fontId="0" fillId="0" borderId="6" xfId="0" applyNumberFormat="1" applyBorder="1"/>
    <xf numFmtId="167" fontId="0" fillId="0" borderId="6" xfId="0" applyNumberFormat="1" applyBorder="1"/>
    <xf numFmtId="46" fontId="0" fillId="0" borderId="0" xfId="0" applyNumberFormat="1"/>
    <xf numFmtId="49" fontId="0" fillId="0" borderId="0" xfId="0" applyNumberFormat="1"/>
    <xf numFmtId="171" fontId="0" fillId="0" borderId="0" xfId="0" applyNumberFormat="1"/>
    <xf numFmtId="0" fontId="0" fillId="0" borderId="6" xfId="0" applyBorder="1" applyAlignment="1">
      <alignment horizontal="right"/>
    </xf>
    <xf numFmtId="4" fontId="0" fillId="0" borderId="6" xfId="0" applyNumberFormat="1" applyBorder="1"/>
    <xf numFmtId="0" fontId="0" fillId="0" borderId="7" xfId="0" applyBorder="1"/>
    <xf numFmtId="1" fontId="0" fillId="8" borderId="7" xfId="0" applyNumberFormat="1" applyFill="1" applyBorder="1"/>
    <xf numFmtId="0" fontId="0" fillId="0" borderId="8" xfId="0" applyBorder="1" applyAlignment="1">
      <alignment horizontal="left" indent="1"/>
    </xf>
    <xf numFmtId="0" fontId="0" fillId="0" borderId="8" xfId="0" applyBorder="1"/>
    <xf numFmtId="3" fontId="0" fillId="0" borderId="8" xfId="0" applyNumberFormat="1" applyBorder="1"/>
    <xf numFmtId="169" fontId="0" fillId="8" borderId="0" xfId="0" applyNumberFormat="1" applyFill="1"/>
    <xf numFmtId="0" fontId="0" fillId="0" borderId="10" xfId="0" applyBorder="1" applyAlignment="1">
      <alignment horizontal="left" indent="1"/>
    </xf>
    <xf numFmtId="0" fontId="0" fillId="0" borderId="10" xfId="0" applyBorder="1"/>
    <xf numFmtId="170" fontId="0" fillId="0" borderId="10" xfId="0" applyNumberFormat="1" applyBorder="1"/>
    <xf numFmtId="0" fontId="1" fillId="0" borderId="9" xfId="0" applyFont="1" applyBorder="1"/>
    <xf numFmtId="169" fontId="1" fillId="8" borderId="9" xfId="0" applyNumberFormat="1" applyFont="1" applyFill="1" applyBorder="1"/>
    <xf numFmtId="0" fontId="0" fillId="0" borderId="11" xfId="0" applyBorder="1" applyAlignment="1">
      <alignment horizontal="left" indent="1"/>
    </xf>
    <xf numFmtId="0" fontId="0" fillId="0" borderId="11" xfId="0" applyBorder="1"/>
    <xf numFmtId="1" fontId="0" fillId="8" borderId="11" xfId="0" applyNumberFormat="1" applyFill="1" applyBorder="1"/>
    <xf numFmtId="4" fontId="13" fillId="0" borderId="0" xfId="0" applyNumberFormat="1" applyFont="1"/>
    <xf numFmtId="0" fontId="19" fillId="6" borderId="0" xfId="0" applyFont="1" applyFill="1"/>
    <xf numFmtId="0" fontId="0" fillId="0" borderId="0" xfId="0" applyAlignment="1">
      <alignment wrapText="1"/>
    </xf>
    <xf numFmtId="17" fontId="5" fillId="6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 vertical="center"/>
    </xf>
    <xf numFmtId="10" fontId="0" fillId="0" borderId="6" xfId="0" applyNumberFormat="1" applyBorder="1" applyAlignment="1">
      <alignment horizontal="right"/>
    </xf>
    <xf numFmtId="0" fontId="0" fillId="0" borderId="0" xfId="0" applyAlignment="1">
      <alignment horizontal="right"/>
    </xf>
    <xf numFmtId="0" fontId="2" fillId="6" borderId="0" xfId="0" applyFont="1" applyFill="1" applyAlignment="1">
      <alignment horizontal="left" vertical="center"/>
    </xf>
    <xf numFmtId="0" fontId="0" fillId="0" borderId="6" xfId="0" applyBorder="1" applyAlignment="1">
      <alignment horizontal="left"/>
    </xf>
    <xf numFmtId="167" fontId="0" fillId="0" borderId="6" xfId="0" applyNumberFormat="1" applyBorder="1" applyAlignment="1">
      <alignment horizontal="right"/>
    </xf>
    <xf numFmtId="0" fontId="20" fillId="0" borderId="0" xfId="0" applyFont="1" applyAlignment="1">
      <alignment horizontal="right"/>
    </xf>
    <xf numFmtId="4" fontId="0" fillId="0" borderId="6" xfId="0" applyNumberFormat="1" applyBorder="1" applyAlignment="1">
      <alignment horizontal="right"/>
    </xf>
    <xf numFmtId="171" fontId="0" fillId="0" borderId="6" xfId="0" quotePrefix="1" applyNumberFormat="1" applyBorder="1" applyAlignment="1">
      <alignment horizontal="right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68" fontId="0" fillId="0" borderId="6" xfId="0" applyNumberFormat="1" applyBorder="1" applyAlignment="1">
      <alignment horizontal="right"/>
    </xf>
    <xf numFmtId="0" fontId="2" fillId="6" borderId="0" xfId="0" applyFont="1" applyFill="1" applyAlignment="1">
      <alignment horizontal="right" vertical="center"/>
    </xf>
    <xf numFmtId="43" fontId="2" fillId="6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left" vertical="top" wrapText="1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Vol.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Sheet3!$A$2:$A$749</c:f>
              <c:numCache>
                <c:formatCode>d\-mmm\-yy</c:formatCode>
                <c:ptCount val="748"/>
                <c:pt idx="0">
                  <c:v>45717</c:v>
                </c:pt>
                <c:pt idx="1">
                  <c:v>45689</c:v>
                </c:pt>
                <c:pt idx="2">
                  <c:v>45658</c:v>
                </c:pt>
                <c:pt idx="3">
                  <c:v>45627</c:v>
                </c:pt>
                <c:pt idx="4">
                  <c:v>45597</c:v>
                </c:pt>
                <c:pt idx="5">
                  <c:v>45566</c:v>
                </c:pt>
                <c:pt idx="6">
                  <c:v>45536</c:v>
                </c:pt>
                <c:pt idx="7">
                  <c:v>45505</c:v>
                </c:pt>
                <c:pt idx="8">
                  <c:v>45474</c:v>
                </c:pt>
                <c:pt idx="9">
                  <c:v>45444</c:v>
                </c:pt>
                <c:pt idx="10">
                  <c:v>45413</c:v>
                </c:pt>
                <c:pt idx="11">
                  <c:v>45383</c:v>
                </c:pt>
                <c:pt idx="12">
                  <c:v>45352</c:v>
                </c:pt>
                <c:pt idx="13">
                  <c:v>45323</c:v>
                </c:pt>
                <c:pt idx="14">
                  <c:v>45292</c:v>
                </c:pt>
                <c:pt idx="15">
                  <c:v>45261</c:v>
                </c:pt>
                <c:pt idx="16">
                  <c:v>45231</c:v>
                </c:pt>
                <c:pt idx="17">
                  <c:v>45200</c:v>
                </c:pt>
                <c:pt idx="18">
                  <c:v>45170</c:v>
                </c:pt>
                <c:pt idx="19">
                  <c:v>45139</c:v>
                </c:pt>
                <c:pt idx="20">
                  <c:v>45108</c:v>
                </c:pt>
                <c:pt idx="21">
                  <c:v>45078</c:v>
                </c:pt>
                <c:pt idx="22">
                  <c:v>45047</c:v>
                </c:pt>
                <c:pt idx="23">
                  <c:v>45017</c:v>
                </c:pt>
                <c:pt idx="24">
                  <c:v>44986</c:v>
                </c:pt>
                <c:pt idx="25">
                  <c:v>44958</c:v>
                </c:pt>
                <c:pt idx="26">
                  <c:v>44927</c:v>
                </c:pt>
                <c:pt idx="27">
                  <c:v>44896</c:v>
                </c:pt>
                <c:pt idx="28">
                  <c:v>44866</c:v>
                </c:pt>
                <c:pt idx="29">
                  <c:v>44835</c:v>
                </c:pt>
                <c:pt idx="30">
                  <c:v>44805</c:v>
                </c:pt>
                <c:pt idx="31">
                  <c:v>44774</c:v>
                </c:pt>
                <c:pt idx="32">
                  <c:v>44743</c:v>
                </c:pt>
                <c:pt idx="33">
                  <c:v>44713</c:v>
                </c:pt>
                <c:pt idx="34">
                  <c:v>44682</c:v>
                </c:pt>
                <c:pt idx="35">
                  <c:v>44652</c:v>
                </c:pt>
              </c:numCache>
            </c:numRef>
          </c:cat>
          <c:val>
            <c:numRef>
              <c:f>Sheet3!$B$2:$B$749</c:f>
              <c:numCache>
                <c:formatCode>0.00</c:formatCode>
                <c:ptCount val="748"/>
                <c:pt idx="0">
                  <c:v>252.81</c:v>
                </c:pt>
                <c:pt idx="1">
                  <c:v>183.61</c:v>
                </c:pt>
                <c:pt idx="2">
                  <c:v>230.11</c:v>
                </c:pt>
                <c:pt idx="3">
                  <c:v>254.02</c:v>
                </c:pt>
                <c:pt idx="4">
                  <c:v>233.97</c:v>
                </c:pt>
                <c:pt idx="5">
                  <c:v>309.14999999999998</c:v>
                </c:pt>
                <c:pt idx="6">
                  <c:v>325.32</c:v>
                </c:pt>
                <c:pt idx="7">
                  <c:v>252.92</c:v>
                </c:pt>
                <c:pt idx="8">
                  <c:v>338.19</c:v>
                </c:pt>
                <c:pt idx="9">
                  <c:v>445.49</c:v>
                </c:pt>
                <c:pt idx="10">
                  <c:v>298.17</c:v>
                </c:pt>
                <c:pt idx="11">
                  <c:v>288.14999999999998</c:v>
                </c:pt>
                <c:pt idx="12">
                  <c:v>351.93</c:v>
                </c:pt>
                <c:pt idx="13">
                  <c:v>275.64999999999998</c:v>
                </c:pt>
                <c:pt idx="14">
                  <c:v>414.86</c:v>
                </c:pt>
                <c:pt idx="15">
                  <c:v>337.5</c:v>
                </c:pt>
                <c:pt idx="16">
                  <c:v>250.22</c:v>
                </c:pt>
                <c:pt idx="17">
                  <c:v>210.6</c:v>
                </c:pt>
                <c:pt idx="18">
                  <c:v>321.39</c:v>
                </c:pt>
                <c:pt idx="19">
                  <c:v>419.88</c:v>
                </c:pt>
                <c:pt idx="20">
                  <c:v>373.79</c:v>
                </c:pt>
                <c:pt idx="21">
                  <c:v>315.85000000000002</c:v>
                </c:pt>
                <c:pt idx="22">
                  <c:v>400.25</c:v>
                </c:pt>
                <c:pt idx="23">
                  <c:v>477.53</c:v>
                </c:pt>
                <c:pt idx="24">
                  <c:v>353.37</c:v>
                </c:pt>
                <c:pt idx="25">
                  <c:v>255.98</c:v>
                </c:pt>
                <c:pt idx="26">
                  <c:v>321.39</c:v>
                </c:pt>
                <c:pt idx="27">
                  <c:v>232.25</c:v>
                </c:pt>
                <c:pt idx="28">
                  <c:v>244</c:v>
                </c:pt>
                <c:pt idx="29">
                  <c:v>194.7</c:v>
                </c:pt>
                <c:pt idx="30">
                  <c:v>257.56</c:v>
                </c:pt>
                <c:pt idx="31">
                  <c:v>247.2</c:v>
                </c:pt>
                <c:pt idx="32">
                  <c:v>216.49</c:v>
                </c:pt>
                <c:pt idx="33">
                  <c:v>237.33</c:v>
                </c:pt>
                <c:pt idx="34">
                  <c:v>270.16000000000003</c:v>
                </c:pt>
                <c:pt idx="35">
                  <c:v>331.47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4F15-B488-05929E65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294063"/>
        <c:axId val="1676294543"/>
      </c:barChart>
      <c:dateAx>
        <c:axId val="16762940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94543"/>
        <c:crosses val="autoZero"/>
        <c:auto val="1"/>
        <c:lblOffset val="100"/>
        <c:baseTimeUnit val="months"/>
      </c:dateAx>
      <c:valAx>
        <c:axId val="1676294543"/>
        <c:scaling>
          <c:orientation val="minMax"/>
        </c:scaling>
        <c:delete val="0"/>
        <c:axPos val="l"/>
        <c:numFmt formatCode="0.0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94063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" sy="3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326791860925882"/>
          <c:y val="0"/>
          <c:w val="0.58877428595139703"/>
          <c:h val="0.779475576777196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59-4E52-A708-7A9AD2FC9F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59-4E52-A708-7A9AD2FC9F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Sheet3!$G$52:$G$54</c:f>
              <c:strCache>
                <c:ptCount val="3"/>
                <c:pt idx="0">
                  <c:v>FII</c:v>
                </c:pt>
                <c:pt idx="1">
                  <c:v>DII</c:v>
                </c:pt>
                <c:pt idx="2">
                  <c:v>Government &amp; Public</c:v>
                </c:pt>
              </c:strCache>
            </c:strRef>
          </c:cat>
          <c:val>
            <c:numRef>
              <c:f>Sheet3!$H$52:$H$54</c:f>
              <c:numCache>
                <c:formatCode>0.00%</c:formatCode>
                <c:ptCount val="3"/>
                <c:pt idx="0">
                  <c:v>0.45700000000000002</c:v>
                </c:pt>
                <c:pt idx="1">
                  <c:v>0.44950000000000001</c:v>
                </c:pt>
                <c:pt idx="2">
                  <c:v>9.35E-2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9-4E52-A708-7A9AD2FC9F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2466959"/>
        <c:axId val="1202468399"/>
      </c:barChart>
      <c:catAx>
        <c:axId val="120246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68399"/>
        <c:crosses val="autoZero"/>
        <c:auto val="0"/>
        <c:lblAlgn val="ctr"/>
        <c:lblOffset val="100"/>
        <c:noMultiLvlLbl val="0"/>
      </c:catAx>
      <c:valAx>
        <c:axId val="1202468399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669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0048118985127"/>
          <c:y val="2.5428331875182269E-2"/>
          <c:w val="0.78433573928258971"/>
          <c:h val="0.8967859800775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Rough!$B$1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Rough!$A$2:$A$37</c:f>
              <c:numCache>
                <c:formatCode>d\-mmm\-yy</c:formatCode>
                <c:ptCount val="36"/>
                <c:pt idx="0">
                  <c:v>45717</c:v>
                </c:pt>
                <c:pt idx="1">
                  <c:v>45689</c:v>
                </c:pt>
                <c:pt idx="2">
                  <c:v>45658</c:v>
                </c:pt>
                <c:pt idx="3">
                  <c:v>45627</c:v>
                </c:pt>
                <c:pt idx="4">
                  <c:v>45597</c:v>
                </c:pt>
                <c:pt idx="5">
                  <c:v>45566</c:v>
                </c:pt>
                <c:pt idx="6">
                  <c:v>45536</c:v>
                </c:pt>
                <c:pt idx="7">
                  <c:v>45505</c:v>
                </c:pt>
                <c:pt idx="8">
                  <c:v>45474</c:v>
                </c:pt>
                <c:pt idx="9">
                  <c:v>45444</c:v>
                </c:pt>
                <c:pt idx="10">
                  <c:v>45413</c:v>
                </c:pt>
                <c:pt idx="11">
                  <c:v>45383</c:v>
                </c:pt>
                <c:pt idx="12">
                  <c:v>45352</c:v>
                </c:pt>
                <c:pt idx="13">
                  <c:v>45323</c:v>
                </c:pt>
                <c:pt idx="14">
                  <c:v>45292</c:v>
                </c:pt>
                <c:pt idx="15">
                  <c:v>45261</c:v>
                </c:pt>
                <c:pt idx="16">
                  <c:v>45231</c:v>
                </c:pt>
                <c:pt idx="17">
                  <c:v>45200</c:v>
                </c:pt>
                <c:pt idx="18">
                  <c:v>45170</c:v>
                </c:pt>
                <c:pt idx="19">
                  <c:v>45139</c:v>
                </c:pt>
                <c:pt idx="20">
                  <c:v>45108</c:v>
                </c:pt>
                <c:pt idx="21">
                  <c:v>45078</c:v>
                </c:pt>
                <c:pt idx="22">
                  <c:v>45047</c:v>
                </c:pt>
                <c:pt idx="23">
                  <c:v>45017</c:v>
                </c:pt>
                <c:pt idx="24">
                  <c:v>44986</c:v>
                </c:pt>
                <c:pt idx="25">
                  <c:v>44958</c:v>
                </c:pt>
                <c:pt idx="26">
                  <c:v>44927</c:v>
                </c:pt>
                <c:pt idx="27">
                  <c:v>44896</c:v>
                </c:pt>
                <c:pt idx="28">
                  <c:v>44866</c:v>
                </c:pt>
                <c:pt idx="29">
                  <c:v>44835</c:v>
                </c:pt>
                <c:pt idx="30">
                  <c:v>44805</c:v>
                </c:pt>
                <c:pt idx="31">
                  <c:v>44774</c:v>
                </c:pt>
                <c:pt idx="32">
                  <c:v>44743</c:v>
                </c:pt>
                <c:pt idx="33">
                  <c:v>44713</c:v>
                </c:pt>
                <c:pt idx="34">
                  <c:v>44682</c:v>
                </c:pt>
                <c:pt idx="35">
                  <c:v>44652</c:v>
                </c:pt>
              </c:numCache>
            </c:numRef>
          </c:xVal>
          <c:yVal>
            <c:numRef>
              <c:f>Rough!$B$2:$B$37</c:f>
              <c:numCache>
                <c:formatCode>#,##0.00</c:formatCode>
                <c:ptCount val="36"/>
                <c:pt idx="0">
                  <c:v>1348.35</c:v>
                </c:pt>
                <c:pt idx="1">
                  <c:v>1204.0999999999999</c:v>
                </c:pt>
                <c:pt idx="2">
                  <c:v>1252.8</c:v>
                </c:pt>
                <c:pt idx="3">
                  <c:v>1281.6500000000001</c:v>
                </c:pt>
                <c:pt idx="4">
                  <c:v>1300.0999999999999</c:v>
                </c:pt>
                <c:pt idx="5">
                  <c:v>1292.25</c:v>
                </c:pt>
                <c:pt idx="6">
                  <c:v>1273</c:v>
                </c:pt>
                <c:pt idx="7">
                  <c:v>1229.2</c:v>
                </c:pt>
                <c:pt idx="8">
                  <c:v>1214.9000000000001</c:v>
                </c:pt>
                <c:pt idx="9">
                  <c:v>1199.5999999999999</c:v>
                </c:pt>
                <c:pt idx="10">
                  <c:v>1121.05</c:v>
                </c:pt>
                <c:pt idx="11">
                  <c:v>1150.4000000000001</c:v>
                </c:pt>
                <c:pt idx="12">
                  <c:v>1093.3</c:v>
                </c:pt>
                <c:pt idx="13">
                  <c:v>1052.2</c:v>
                </c:pt>
                <c:pt idx="14">
                  <c:v>1028.1500000000001</c:v>
                </c:pt>
                <c:pt idx="15">
                  <c:v>996.6</c:v>
                </c:pt>
                <c:pt idx="16">
                  <c:v>934.95</c:v>
                </c:pt>
                <c:pt idx="17">
                  <c:v>915.35</c:v>
                </c:pt>
                <c:pt idx="18">
                  <c:v>951.9</c:v>
                </c:pt>
                <c:pt idx="19">
                  <c:v>958.75</c:v>
                </c:pt>
                <c:pt idx="20">
                  <c:v>998.3</c:v>
                </c:pt>
                <c:pt idx="21">
                  <c:v>934.6</c:v>
                </c:pt>
                <c:pt idx="22">
                  <c:v>949.15</c:v>
                </c:pt>
                <c:pt idx="23">
                  <c:v>917.65</c:v>
                </c:pt>
                <c:pt idx="24">
                  <c:v>877.25</c:v>
                </c:pt>
                <c:pt idx="25">
                  <c:v>854.85</c:v>
                </c:pt>
                <c:pt idx="26">
                  <c:v>831.9</c:v>
                </c:pt>
                <c:pt idx="27">
                  <c:v>890.85</c:v>
                </c:pt>
                <c:pt idx="28">
                  <c:v>952.9</c:v>
                </c:pt>
                <c:pt idx="29">
                  <c:v>908.7</c:v>
                </c:pt>
                <c:pt idx="30">
                  <c:v>862</c:v>
                </c:pt>
                <c:pt idx="31">
                  <c:v>887.3</c:v>
                </c:pt>
                <c:pt idx="32">
                  <c:v>818.6</c:v>
                </c:pt>
                <c:pt idx="33">
                  <c:v>707.2</c:v>
                </c:pt>
                <c:pt idx="34">
                  <c:v>752.85</c:v>
                </c:pt>
                <c:pt idx="35">
                  <c:v>743.3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2-4D84-8AD8-A2FE279F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98512"/>
        <c:axId val="1928896112"/>
      </c:scatterChart>
      <c:valAx>
        <c:axId val="19288985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96112"/>
        <c:crosses val="autoZero"/>
        <c:crossBetween val="midCat"/>
      </c:valAx>
      <c:valAx>
        <c:axId val="192889611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98512"/>
        <c:crossesAt val="444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Rough!$B$1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Rough!$A$2:$A$37</c:f>
              <c:numCache>
                <c:formatCode>d\-mmm\-yy</c:formatCode>
                <c:ptCount val="36"/>
                <c:pt idx="0">
                  <c:v>45717</c:v>
                </c:pt>
                <c:pt idx="1">
                  <c:v>45689</c:v>
                </c:pt>
                <c:pt idx="2">
                  <c:v>45658</c:v>
                </c:pt>
                <c:pt idx="3">
                  <c:v>45627</c:v>
                </c:pt>
                <c:pt idx="4">
                  <c:v>45597</c:v>
                </c:pt>
                <c:pt idx="5">
                  <c:v>45566</c:v>
                </c:pt>
                <c:pt idx="6">
                  <c:v>45536</c:v>
                </c:pt>
                <c:pt idx="7">
                  <c:v>45505</c:v>
                </c:pt>
                <c:pt idx="8">
                  <c:v>45474</c:v>
                </c:pt>
                <c:pt idx="9">
                  <c:v>45444</c:v>
                </c:pt>
                <c:pt idx="10">
                  <c:v>45413</c:v>
                </c:pt>
                <c:pt idx="11">
                  <c:v>45383</c:v>
                </c:pt>
                <c:pt idx="12">
                  <c:v>45352</c:v>
                </c:pt>
                <c:pt idx="13">
                  <c:v>45323</c:v>
                </c:pt>
                <c:pt idx="14">
                  <c:v>45292</c:v>
                </c:pt>
                <c:pt idx="15">
                  <c:v>45261</c:v>
                </c:pt>
                <c:pt idx="16">
                  <c:v>45231</c:v>
                </c:pt>
                <c:pt idx="17">
                  <c:v>45200</c:v>
                </c:pt>
                <c:pt idx="18">
                  <c:v>45170</c:v>
                </c:pt>
                <c:pt idx="19">
                  <c:v>45139</c:v>
                </c:pt>
                <c:pt idx="20">
                  <c:v>45108</c:v>
                </c:pt>
                <c:pt idx="21">
                  <c:v>45078</c:v>
                </c:pt>
                <c:pt idx="22">
                  <c:v>45047</c:v>
                </c:pt>
                <c:pt idx="23">
                  <c:v>45017</c:v>
                </c:pt>
                <c:pt idx="24">
                  <c:v>44986</c:v>
                </c:pt>
                <c:pt idx="25">
                  <c:v>44958</c:v>
                </c:pt>
                <c:pt idx="26">
                  <c:v>44927</c:v>
                </c:pt>
                <c:pt idx="27">
                  <c:v>44896</c:v>
                </c:pt>
                <c:pt idx="28">
                  <c:v>44866</c:v>
                </c:pt>
                <c:pt idx="29">
                  <c:v>44835</c:v>
                </c:pt>
                <c:pt idx="30">
                  <c:v>44805</c:v>
                </c:pt>
                <c:pt idx="31">
                  <c:v>44774</c:v>
                </c:pt>
                <c:pt idx="32">
                  <c:v>44743</c:v>
                </c:pt>
                <c:pt idx="33">
                  <c:v>44713</c:v>
                </c:pt>
                <c:pt idx="34">
                  <c:v>44682</c:v>
                </c:pt>
                <c:pt idx="35">
                  <c:v>44652</c:v>
                </c:pt>
              </c:numCache>
            </c:numRef>
          </c:xVal>
          <c:yVal>
            <c:numRef>
              <c:f>Rough!$B$2:$B$37</c:f>
              <c:numCache>
                <c:formatCode>#,##0.00</c:formatCode>
                <c:ptCount val="36"/>
                <c:pt idx="0">
                  <c:v>1348.35</c:v>
                </c:pt>
                <c:pt idx="1">
                  <c:v>1204.0999999999999</c:v>
                </c:pt>
                <c:pt idx="2">
                  <c:v>1252.8</c:v>
                </c:pt>
                <c:pt idx="3">
                  <c:v>1281.6500000000001</c:v>
                </c:pt>
                <c:pt idx="4">
                  <c:v>1300.0999999999999</c:v>
                </c:pt>
                <c:pt idx="5">
                  <c:v>1292.25</c:v>
                </c:pt>
                <c:pt idx="6">
                  <c:v>1273</c:v>
                </c:pt>
                <c:pt idx="7">
                  <c:v>1229.2</c:v>
                </c:pt>
                <c:pt idx="8">
                  <c:v>1214.9000000000001</c:v>
                </c:pt>
                <c:pt idx="9">
                  <c:v>1199.5999999999999</c:v>
                </c:pt>
                <c:pt idx="10">
                  <c:v>1121.05</c:v>
                </c:pt>
                <c:pt idx="11">
                  <c:v>1150.4000000000001</c:v>
                </c:pt>
                <c:pt idx="12">
                  <c:v>1093.3</c:v>
                </c:pt>
                <c:pt idx="13">
                  <c:v>1052.2</c:v>
                </c:pt>
                <c:pt idx="14">
                  <c:v>1028.1500000000001</c:v>
                </c:pt>
                <c:pt idx="15">
                  <c:v>996.6</c:v>
                </c:pt>
                <c:pt idx="16">
                  <c:v>934.95</c:v>
                </c:pt>
                <c:pt idx="17">
                  <c:v>915.35</c:v>
                </c:pt>
                <c:pt idx="18">
                  <c:v>951.9</c:v>
                </c:pt>
                <c:pt idx="19">
                  <c:v>958.75</c:v>
                </c:pt>
                <c:pt idx="20">
                  <c:v>998.3</c:v>
                </c:pt>
                <c:pt idx="21">
                  <c:v>934.6</c:v>
                </c:pt>
                <c:pt idx="22">
                  <c:v>949.15</c:v>
                </c:pt>
                <c:pt idx="23">
                  <c:v>917.65</c:v>
                </c:pt>
                <c:pt idx="24">
                  <c:v>877.25</c:v>
                </c:pt>
                <c:pt idx="25">
                  <c:v>854.85</c:v>
                </c:pt>
                <c:pt idx="26">
                  <c:v>831.9</c:v>
                </c:pt>
                <c:pt idx="27">
                  <c:v>890.85</c:v>
                </c:pt>
                <c:pt idx="28">
                  <c:v>952.9</c:v>
                </c:pt>
                <c:pt idx="29">
                  <c:v>908.7</c:v>
                </c:pt>
                <c:pt idx="30">
                  <c:v>862</c:v>
                </c:pt>
                <c:pt idx="31">
                  <c:v>887.3</c:v>
                </c:pt>
                <c:pt idx="32">
                  <c:v>818.6</c:v>
                </c:pt>
                <c:pt idx="33">
                  <c:v>707.2</c:v>
                </c:pt>
                <c:pt idx="34">
                  <c:v>752.85</c:v>
                </c:pt>
                <c:pt idx="35">
                  <c:v>743.3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8-4A3C-AA67-58DC4F23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98512"/>
        <c:axId val="1928896112"/>
      </c:scatterChart>
      <c:valAx>
        <c:axId val="192889851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96112"/>
        <c:crosses val="autoZero"/>
        <c:crossBetween val="midCat"/>
      </c:valAx>
      <c:valAx>
        <c:axId val="192889611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Vol.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Sheet3!$A$2:$A$749</c:f>
              <c:numCache>
                <c:formatCode>d\-mmm\-yy</c:formatCode>
                <c:ptCount val="748"/>
                <c:pt idx="0">
                  <c:v>45717</c:v>
                </c:pt>
                <c:pt idx="1">
                  <c:v>45689</c:v>
                </c:pt>
                <c:pt idx="2">
                  <c:v>45658</c:v>
                </c:pt>
                <c:pt idx="3">
                  <c:v>45627</c:v>
                </c:pt>
                <c:pt idx="4">
                  <c:v>45597</c:v>
                </c:pt>
                <c:pt idx="5">
                  <c:v>45566</c:v>
                </c:pt>
                <c:pt idx="6">
                  <c:v>45536</c:v>
                </c:pt>
                <c:pt idx="7">
                  <c:v>45505</c:v>
                </c:pt>
                <c:pt idx="8">
                  <c:v>45474</c:v>
                </c:pt>
                <c:pt idx="9">
                  <c:v>45444</c:v>
                </c:pt>
                <c:pt idx="10">
                  <c:v>45413</c:v>
                </c:pt>
                <c:pt idx="11">
                  <c:v>45383</c:v>
                </c:pt>
                <c:pt idx="12">
                  <c:v>45352</c:v>
                </c:pt>
                <c:pt idx="13">
                  <c:v>45323</c:v>
                </c:pt>
                <c:pt idx="14">
                  <c:v>45292</c:v>
                </c:pt>
                <c:pt idx="15">
                  <c:v>45261</c:v>
                </c:pt>
                <c:pt idx="16">
                  <c:v>45231</c:v>
                </c:pt>
                <c:pt idx="17">
                  <c:v>45200</c:v>
                </c:pt>
                <c:pt idx="18">
                  <c:v>45170</c:v>
                </c:pt>
                <c:pt idx="19">
                  <c:v>45139</c:v>
                </c:pt>
                <c:pt idx="20">
                  <c:v>45108</c:v>
                </c:pt>
                <c:pt idx="21">
                  <c:v>45078</c:v>
                </c:pt>
                <c:pt idx="22">
                  <c:v>45047</c:v>
                </c:pt>
                <c:pt idx="23">
                  <c:v>45017</c:v>
                </c:pt>
                <c:pt idx="24">
                  <c:v>44986</c:v>
                </c:pt>
                <c:pt idx="25">
                  <c:v>44958</c:v>
                </c:pt>
                <c:pt idx="26">
                  <c:v>44927</c:v>
                </c:pt>
                <c:pt idx="27">
                  <c:v>44896</c:v>
                </c:pt>
                <c:pt idx="28">
                  <c:v>44866</c:v>
                </c:pt>
                <c:pt idx="29">
                  <c:v>44835</c:v>
                </c:pt>
                <c:pt idx="30">
                  <c:v>44805</c:v>
                </c:pt>
                <c:pt idx="31">
                  <c:v>44774</c:v>
                </c:pt>
                <c:pt idx="32">
                  <c:v>44743</c:v>
                </c:pt>
                <c:pt idx="33">
                  <c:v>44713</c:v>
                </c:pt>
                <c:pt idx="34">
                  <c:v>44682</c:v>
                </c:pt>
                <c:pt idx="35">
                  <c:v>44652</c:v>
                </c:pt>
              </c:numCache>
            </c:numRef>
          </c:cat>
          <c:val>
            <c:numRef>
              <c:f>Sheet3!$B$2:$B$749</c:f>
              <c:numCache>
                <c:formatCode>0.00</c:formatCode>
                <c:ptCount val="748"/>
                <c:pt idx="0">
                  <c:v>252.81</c:v>
                </c:pt>
                <c:pt idx="1">
                  <c:v>183.61</c:v>
                </c:pt>
                <c:pt idx="2">
                  <c:v>230.11</c:v>
                </c:pt>
                <c:pt idx="3">
                  <c:v>254.02</c:v>
                </c:pt>
                <c:pt idx="4">
                  <c:v>233.97</c:v>
                </c:pt>
                <c:pt idx="5">
                  <c:v>309.14999999999998</c:v>
                </c:pt>
                <c:pt idx="6">
                  <c:v>325.32</c:v>
                </c:pt>
                <c:pt idx="7">
                  <c:v>252.92</c:v>
                </c:pt>
                <c:pt idx="8">
                  <c:v>338.19</c:v>
                </c:pt>
                <c:pt idx="9">
                  <c:v>445.49</c:v>
                </c:pt>
                <c:pt idx="10">
                  <c:v>298.17</c:v>
                </c:pt>
                <c:pt idx="11">
                  <c:v>288.14999999999998</c:v>
                </c:pt>
                <c:pt idx="12">
                  <c:v>351.93</c:v>
                </c:pt>
                <c:pt idx="13">
                  <c:v>275.64999999999998</c:v>
                </c:pt>
                <c:pt idx="14">
                  <c:v>414.86</c:v>
                </c:pt>
                <c:pt idx="15">
                  <c:v>337.5</c:v>
                </c:pt>
                <c:pt idx="16">
                  <c:v>250.22</c:v>
                </c:pt>
                <c:pt idx="17">
                  <c:v>210.6</c:v>
                </c:pt>
                <c:pt idx="18">
                  <c:v>321.39</c:v>
                </c:pt>
                <c:pt idx="19">
                  <c:v>419.88</c:v>
                </c:pt>
                <c:pt idx="20">
                  <c:v>373.79</c:v>
                </c:pt>
                <c:pt idx="21">
                  <c:v>315.85000000000002</c:v>
                </c:pt>
                <c:pt idx="22">
                  <c:v>400.25</c:v>
                </c:pt>
                <c:pt idx="23">
                  <c:v>477.53</c:v>
                </c:pt>
                <c:pt idx="24">
                  <c:v>353.37</c:v>
                </c:pt>
                <c:pt idx="25">
                  <c:v>255.98</c:v>
                </c:pt>
                <c:pt idx="26">
                  <c:v>321.39</c:v>
                </c:pt>
                <c:pt idx="27">
                  <c:v>232.25</c:v>
                </c:pt>
                <c:pt idx="28">
                  <c:v>244</c:v>
                </c:pt>
                <c:pt idx="29">
                  <c:v>194.7</c:v>
                </c:pt>
                <c:pt idx="30">
                  <c:v>257.56</c:v>
                </c:pt>
                <c:pt idx="31">
                  <c:v>247.2</c:v>
                </c:pt>
                <c:pt idx="32">
                  <c:v>216.49</c:v>
                </c:pt>
                <c:pt idx="33">
                  <c:v>237.33</c:v>
                </c:pt>
                <c:pt idx="34">
                  <c:v>270.16000000000003</c:v>
                </c:pt>
                <c:pt idx="35">
                  <c:v>331.47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3-438D-9F16-503B3165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294063"/>
        <c:axId val="1676294543"/>
      </c:barChart>
      <c:dateAx>
        <c:axId val="16762940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94543"/>
        <c:crosses val="autoZero"/>
        <c:auto val="1"/>
        <c:lblOffset val="100"/>
        <c:baseTimeUnit val="months"/>
      </c:dateAx>
      <c:valAx>
        <c:axId val="1676294543"/>
        <c:scaling>
          <c:orientation val="minMax"/>
        </c:scaling>
        <c:delete val="0"/>
        <c:axPos val="l"/>
        <c:numFmt formatCode="0.0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94063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" sy="3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F9-414F-AD61-C382A5BCEE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F9-414F-AD61-C382A5BCEE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Sheet3!$G$52:$G$54</c:f>
              <c:strCache>
                <c:ptCount val="3"/>
                <c:pt idx="0">
                  <c:v>FII</c:v>
                </c:pt>
                <c:pt idx="1">
                  <c:v>DII</c:v>
                </c:pt>
                <c:pt idx="2">
                  <c:v>Government &amp; Public</c:v>
                </c:pt>
              </c:strCache>
            </c:strRef>
          </c:cat>
          <c:val>
            <c:numRef>
              <c:f>Sheet3!$H$52:$H$54</c:f>
              <c:numCache>
                <c:formatCode>0.00%</c:formatCode>
                <c:ptCount val="3"/>
                <c:pt idx="0">
                  <c:v>0.45700000000000002</c:v>
                </c:pt>
                <c:pt idx="1">
                  <c:v>0.44950000000000001</c:v>
                </c:pt>
                <c:pt idx="2">
                  <c:v>9.35E-2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9-414F-AD61-C382A5BCEE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2466959"/>
        <c:axId val="1202468399"/>
      </c:barChart>
      <c:catAx>
        <c:axId val="120246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68399"/>
        <c:crosses val="autoZero"/>
        <c:auto val="1"/>
        <c:lblAlgn val="ctr"/>
        <c:lblOffset val="100"/>
        <c:noMultiLvlLbl val="0"/>
      </c:catAx>
      <c:valAx>
        <c:axId val="1202468399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669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520701</xdr:colOff>
      <xdr:row>0</xdr:row>
      <xdr:rowOff>117231</xdr:rowOff>
    </xdr:from>
    <xdr:to>
      <xdr:col>1</xdr:col>
      <xdr:colOff>2326640</xdr:colOff>
      <xdr:row>3</xdr:row>
      <xdr:rowOff>91636</xdr:rowOff>
    </xdr:to>
    <xdr:pic>
      <xdr:nvPicPr>
        <xdr:cNvPr id="2" name="Picture 1" descr="Icici Bank Logo - PNG Logo Vector Brand Downloads (SVG, EPS)">
          <a:extLst>
            <a:ext uri="{FF2B5EF4-FFF2-40B4-BE49-F238E27FC236}">
              <a16:creationId xmlns:a16="http://schemas.microsoft.com/office/drawing/2014/main" id="{E63E73C3-1BA4-A98B-4F3E-D2E37911B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009" y="117231"/>
          <a:ext cx="1805939" cy="961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155677</xdr:colOff>
      <xdr:row>19</xdr:row>
      <xdr:rowOff>29305</xdr:rowOff>
    </xdr:from>
    <xdr:to>
      <xdr:col>12</xdr:col>
      <xdr:colOff>876708</xdr:colOff>
      <xdr:row>26</xdr:row>
      <xdr:rowOff>147483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52A14-31EE-4236-A741-56E23655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117231</xdr:colOff>
      <xdr:row>30</xdr:row>
      <xdr:rowOff>37933</xdr:rowOff>
    </xdr:from>
    <xdr:to>
      <xdr:col>13</xdr:col>
      <xdr:colOff>19539</xdr:colOff>
      <xdr:row>39</xdr:row>
      <xdr:rowOff>136769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38D376-0D28-4F7E-9CE7-0AAEDE6A0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5164</xdr:colOff>
      <xdr:row>6</xdr:row>
      <xdr:rowOff>32771</xdr:rowOff>
    </xdr:from>
    <xdr:to>
      <xdr:col>12</xdr:col>
      <xdr:colOff>925871</xdr:colOff>
      <xdr:row>16</xdr:row>
      <xdr:rowOff>57351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5A1738-A0AB-4679-B43D-865614774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5</xdr:row>
      <xdr:rowOff>41910</xdr:rowOff>
    </xdr:from>
    <xdr:to>
      <xdr:col>15</xdr:col>
      <xdr:colOff>160020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8DE0F-0319-B48C-AB87-6C4B7FEBE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5</xdr:row>
      <xdr:rowOff>41910</xdr:rowOff>
    </xdr:from>
    <xdr:to>
      <xdr:col>15</xdr:col>
      <xdr:colOff>160020</xdr:colOff>
      <xdr:row>20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C191DE-5135-A690-8151-0808B5EA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830580</xdr:colOff>
      <xdr:row>45</xdr:row>
      <xdr:rowOff>118110</xdr:rowOff>
    </xdr:from>
    <xdr:to>
      <xdr:col>15</xdr:col>
      <xdr:colOff>449580</xdr:colOff>
      <xdr:row>60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5ACA0-44B8-811B-B9DC-E288BE07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8EA6-4808-42E6-ACD1-F88B6B4A4E13}">
  <dimension ref="B1:U60"/>
  <sheetViews>
    <sheetView showGridLines="0" tabSelected="1" topLeftCell="A29" zoomScale="60" zoomScaleNormal="115" workbookViewId="0">
      <selection activeCell="O7" sqref="O7"/>
    </sheetView>
  </sheetViews>
  <sheetFormatPr defaultRowHeight="14.4"/>
  <cols>
    <col min="1" max="1" width="2.33203125" customWidth="1"/>
    <col min="2" max="2" width="41.77734375" customWidth="1"/>
    <col min="3" max="3" width="15.109375" customWidth="1"/>
    <col min="4" max="4" width="14.5546875" bestFit="1" customWidth="1"/>
    <col min="5" max="5" width="19.109375" bestFit="1" customWidth="1"/>
    <col min="6" max="6" width="11.33203125" bestFit="1" customWidth="1"/>
    <col min="7" max="7" width="11.33203125" customWidth="1"/>
    <col min="8" max="8" width="2.5546875" customWidth="1"/>
    <col min="13" max="13" width="14.21875" style="39" bestFit="1" customWidth="1"/>
    <col min="14" max="21" width="8.88671875" style="39"/>
  </cols>
  <sheetData>
    <row r="1" spans="2:13">
      <c r="B1" s="95" t="str">
        <f>'Data Sheet'!B1&amp;" - One Page Profile"</f>
        <v>ICICI BANK LTD - One Page Profile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2:13" ht="3.6" customHeight="1">
      <c r="B2" s="28"/>
      <c r="C2" s="28"/>
      <c r="D2" s="28"/>
      <c r="E2" s="28"/>
      <c r="F2" s="28"/>
      <c r="G2" s="28"/>
      <c r="H2" s="28"/>
      <c r="I2" s="28"/>
      <c r="J2" s="28"/>
    </row>
    <row r="3" spans="2:13" ht="59.4" customHeight="1">
      <c r="B3" s="29"/>
      <c r="C3" s="96" t="str">
        <f>'Input Sheet'!B5</f>
        <v>ICICI Bank is the second-largest private sector bank in India offering a diversified portfolio of financial products and services to retail, SME and corporate customers. The Bank has an extensive network of branches, ATMs and other touch-points.The ICICI group has presence in businesses like life and general insurance, housing finance, primary dealership, etc, through its subsidiaries and associates.</v>
      </c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2:13">
      <c r="B4" s="34" t="s">
        <v>97</v>
      </c>
    </row>
    <row r="5" spans="2:13">
      <c r="B5" s="30" t="s">
        <v>95</v>
      </c>
      <c r="C5" s="31">
        <f>'Profit &amp; Loss'!G3</f>
        <v>43921</v>
      </c>
      <c r="D5" s="31">
        <f>'Profit &amp; Loss'!H3</f>
        <v>44286</v>
      </c>
      <c r="E5" s="31">
        <f>'Profit &amp; Loss'!I3</f>
        <v>44651</v>
      </c>
      <c r="F5" s="31">
        <f>'Profit &amp; Loss'!J3</f>
        <v>45016</v>
      </c>
      <c r="G5" s="31">
        <f>'Profit &amp; Loss'!K3</f>
        <v>45382</v>
      </c>
      <c r="I5" s="91" t="s">
        <v>183</v>
      </c>
      <c r="J5" s="91"/>
      <c r="K5" s="91"/>
      <c r="L5" s="91"/>
      <c r="M5" s="91"/>
    </row>
    <row r="6" spans="2:13" ht="6.6" customHeight="1"/>
    <row r="7" spans="2:13">
      <c r="B7" s="51" t="s">
        <v>96</v>
      </c>
      <c r="C7" s="52">
        <f>'Profit &amp; Loss'!G4</f>
        <v>84835.77</v>
      </c>
      <c r="D7" s="52">
        <f>'Profit &amp; Loss'!H4</f>
        <v>89162.66</v>
      </c>
      <c r="E7" s="52">
        <f>'Profit &amp; Loss'!I4</f>
        <v>95406.87</v>
      </c>
      <c r="F7" s="52">
        <f>'Profit &amp; Loss'!J4</f>
        <v>121066.81</v>
      </c>
      <c r="G7" s="52">
        <f>'Profit &amp; Loss'!K4</f>
        <v>159515.93</v>
      </c>
    </row>
    <row r="8" spans="2:13">
      <c r="B8" s="53" t="s">
        <v>98</v>
      </c>
      <c r="C8" s="54">
        <f>'Profit &amp; Loss'!G27</f>
        <v>0.17857495625621267</v>
      </c>
      <c r="D8" s="54">
        <f>'Profit &amp; Loss'!H27</f>
        <v>5.1003132287241515E-2</v>
      </c>
      <c r="E8" s="54">
        <f>'Profit &amp; Loss'!I27</f>
        <v>7.0031670208134056E-2</v>
      </c>
      <c r="F8" s="54">
        <f>'Profit &amp; Loss'!J27</f>
        <v>0.26895274941940772</v>
      </c>
      <c r="G8" s="54">
        <f>'Profit &amp; Loss'!K27</f>
        <v>0.31758596761573221</v>
      </c>
    </row>
    <row r="9" spans="2:13">
      <c r="B9" s="51" t="s">
        <v>102</v>
      </c>
      <c r="C9" s="55">
        <f>'Profit &amp; Loss'!G29</f>
        <v>0.97623643894550616</v>
      </c>
      <c r="D9" s="55">
        <f>'Profit &amp; Loss'!H29</f>
        <v>0.97556690210902186</v>
      </c>
      <c r="E9" s="55">
        <f>'Profit &amp; Loss'!I29</f>
        <v>0.97170570630815156</v>
      </c>
      <c r="F9" s="55">
        <f>'Profit &amp; Loss'!J29</f>
        <v>0.97138422991404505</v>
      </c>
      <c r="G9" s="55">
        <f>'Profit &amp; Loss'!K29</f>
        <v>0.97732402024048637</v>
      </c>
    </row>
    <row r="10" spans="2:13" ht="15.6">
      <c r="B10" s="56" t="s">
        <v>104</v>
      </c>
      <c r="C10" s="55">
        <f>'Profit &amp; Loss'!G30</f>
        <v>-6.1881916083274292E-3</v>
      </c>
      <c r="D10" s="55">
        <f>'Profit &amp; Loss'!H30</f>
        <v>-2.4071848013506973E-2</v>
      </c>
      <c r="E10" s="55">
        <f>'Profit &amp; Loss'!I30</f>
        <v>0.15311790440248171</v>
      </c>
      <c r="F10" s="55">
        <f>'Profit &amp; Loss'!J30</f>
        <v>0.27424882178691246</v>
      </c>
      <c r="G10" s="55">
        <f>'Profit &amp; Loss'!K30</f>
        <v>0.37586177129770043</v>
      </c>
    </row>
    <row r="11" spans="2:13">
      <c r="B11" s="51" t="s">
        <v>106</v>
      </c>
      <c r="C11" s="55">
        <f>'Profit &amp; Loss'!G31</f>
        <v>-1.9993924732456557E-2</v>
      </c>
      <c r="D11" s="55">
        <f>'Profit &amp; Loss'!H31</f>
        <v>-3.9101345787575174E-2</v>
      </c>
      <c r="E11" s="55">
        <f>'Profit &amp; Loss'!I31</f>
        <v>0.13917750367452575</v>
      </c>
      <c r="F11" s="55">
        <f>'Profit &amp; Loss'!J31</f>
        <v>0.26173870443930913</v>
      </c>
      <c r="G11" s="55">
        <f>'Profit &amp; Loss'!K31</f>
        <v>0.36373000489668955</v>
      </c>
    </row>
    <row r="12" spans="2:13">
      <c r="B12" s="51" t="s">
        <v>108</v>
      </c>
      <c r="C12" s="55">
        <f>'Profit &amp; Loss'!G32</f>
        <v>0.11276269432103933</v>
      </c>
      <c r="D12" s="55">
        <f>'Profit &amp; Loss'!H32</f>
        <v>0.20618855471561748</v>
      </c>
      <c r="E12" s="55">
        <f>'Profit &amp; Loss'!I32</f>
        <v>0.26318964242302467</v>
      </c>
      <c r="F12" s="55">
        <f>'Profit &amp; Loss'!J32</f>
        <v>0.28113931473043685</v>
      </c>
      <c r="G12" s="55">
        <f>'Profit &amp; Loss'!K32</f>
        <v>0.2774416950081412</v>
      </c>
    </row>
    <row r="13" spans="2:13">
      <c r="B13" s="51" t="s">
        <v>109</v>
      </c>
      <c r="C13" s="57">
        <f>Annual[[#This Row],[Column7]]</f>
        <v>14.779245457916202</v>
      </c>
      <c r="D13" s="57">
        <f>Annual[[#This Row],[Column8]]</f>
        <v>26.582301908617698</v>
      </c>
      <c r="E13" s="57">
        <f>Annual[[#This Row],[Column9]]</f>
        <v>36.135879576329721</v>
      </c>
      <c r="F13" s="57">
        <f>Annual[[#This Row],[Column10]]</f>
        <v>48.743541272841838</v>
      </c>
      <c r="G13" s="57">
        <f>Annual[[#This Row],[Column11]]</f>
        <v>63.022613673582732</v>
      </c>
    </row>
    <row r="14" spans="2:13">
      <c r="B14" s="53" t="s">
        <v>110</v>
      </c>
      <c r="C14" s="54">
        <f>'Profit &amp; Loss'!G33</f>
        <v>1.2394122586130409</v>
      </c>
      <c r="D14" s="54">
        <f>'Profit &amp; Loss'!H33</f>
        <v>0.79862375141617448</v>
      </c>
      <c r="E14" s="54">
        <f>'Profit &amp; Loss'!I33</f>
        <v>0.35939617646938449</v>
      </c>
      <c r="F14" s="54">
        <f>'Profit &amp; Loss'!J33</f>
        <v>0.34889594066420848</v>
      </c>
      <c r="G14" s="54">
        <f>'Profit &amp; Loss'!K33</f>
        <v>0.2929428602820181</v>
      </c>
    </row>
    <row r="15" spans="2:13">
      <c r="B15" s="51" t="s">
        <v>113</v>
      </c>
      <c r="C15" s="57">
        <f>'Profit &amp; Loss'!G34</f>
        <v>0</v>
      </c>
      <c r="D15" s="57">
        <f>'Profit &amp; Loss'!H34</f>
        <v>2.0003036437246964</v>
      </c>
      <c r="E15" s="57">
        <f>'Profit &amp; Loss'!I34</f>
        <v>5.000748330647018</v>
      </c>
      <c r="F15" s="57">
        <f>'Profit &amp; Loss'!J34</f>
        <v>8.001260239445493</v>
      </c>
      <c r="G15" s="57">
        <f>'Profit &amp; Loss'!K34</f>
        <v>10.00156643834641</v>
      </c>
    </row>
    <row r="16" spans="2:13">
      <c r="B16" s="53" t="s">
        <v>115</v>
      </c>
      <c r="C16" s="57">
        <v>0</v>
      </c>
      <c r="D16" s="55">
        <f>'Profit &amp; Loss'!H35</f>
        <v>1.4999946114857328</v>
      </c>
      <c r="E16" s="55">
        <f>'Profit &amp; Loss'!I35</f>
        <v>0.6000125801992231</v>
      </c>
      <c r="F16" s="55">
        <f>'Profit &amp; Loss'!J35</f>
        <v>0.24999889255439878</v>
      </c>
      <c r="G16" s="55">
        <f>'Profit &amp; Loss'!K35</f>
        <v>-1</v>
      </c>
    </row>
    <row r="18" spans="2:13">
      <c r="B18" s="30" t="s">
        <v>123</v>
      </c>
      <c r="C18" s="81">
        <f>C5</f>
        <v>43921</v>
      </c>
      <c r="D18" s="81">
        <f t="shared" ref="D18:G18" si="0">D5</f>
        <v>44286</v>
      </c>
      <c r="E18" s="81">
        <f t="shared" si="0"/>
        <v>44651</v>
      </c>
      <c r="F18" s="81">
        <f t="shared" si="0"/>
        <v>45016</v>
      </c>
      <c r="G18" s="81">
        <f t="shared" si="0"/>
        <v>45382</v>
      </c>
      <c r="I18" s="91" t="s">
        <v>184</v>
      </c>
      <c r="J18" s="91"/>
      <c r="K18" s="91"/>
      <c r="L18" s="91"/>
      <c r="M18" s="91"/>
    </row>
    <row r="19" spans="2:13" ht="6" customHeight="1"/>
    <row r="20" spans="2:13">
      <c r="B20" s="51" t="s">
        <v>124</v>
      </c>
      <c r="C20" s="87">
        <f>'Profit &amp; Loss'!G14</f>
        <v>21.905719133082663</v>
      </c>
      <c r="D20" s="58">
        <f>'Profit &amp; Loss'!H14</f>
        <v>21.898028319785556</v>
      </c>
      <c r="E20" s="58">
        <f>'Profit &amp; Loss'!I14</f>
        <v>20.209830466624986</v>
      </c>
      <c r="F20" s="58">
        <f>'Profit &amp; Loss'!J14</f>
        <v>17.997256192150576</v>
      </c>
      <c r="G20" s="58">
        <f>'Profit &amp; Loss'!K14</f>
        <v>17.347741330795994</v>
      </c>
    </row>
    <row r="21" spans="2:13">
      <c r="B21" s="51" t="s">
        <v>125</v>
      </c>
      <c r="C21" s="58">
        <f>'Profit &amp; Loss'!G43</f>
        <v>-2088.3466417768459</v>
      </c>
      <c r="D21" s="58">
        <f>'Profit &amp; Loss'!H43</f>
        <v>-633.10975115430745</v>
      </c>
      <c r="E21" s="58">
        <f>'Profit &amp; Loss'!I43</f>
        <v>107.97230064688365</v>
      </c>
      <c r="F21" s="58">
        <f>'Profit &amp; Loss'!J43</f>
        <v>56.501996992388818</v>
      </c>
      <c r="G21" s="58">
        <f>'Profit &amp; Loss'!K43</f>
        <v>37.627416215974606</v>
      </c>
    </row>
    <row r="22" spans="2:13">
      <c r="B22" s="51" t="s">
        <v>126</v>
      </c>
      <c r="C22" s="58">
        <f>'Profit &amp; Loss'!G44</f>
        <v>12.923089163922246</v>
      </c>
      <c r="D22" s="58">
        <f>'Profit &amp; Loss'!H44</f>
        <v>15.240121705655708</v>
      </c>
      <c r="E22" s="58">
        <f>'Profit &amp; Loss'!I44</f>
        <v>16.532492408565545</v>
      </c>
      <c r="F22" s="58">
        <f>'Profit &amp; Loss'!J44</f>
        <v>15.495606103770307</v>
      </c>
      <c r="G22" s="58">
        <f>'Profit &amp; Loss'!K44</f>
        <v>14.142707308292032</v>
      </c>
    </row>
    <row r="23" spans="2:13">
      <c r="B23" s="51" t="s">
        <v>127</v>
      </c>
      <c r="C23" s="58">
        <f>'Profit &amp; Loss'!G45</f>
        <v>1.1510795595270353</v>
      </c>
      <c r="D23" s="58">
        <f>'Profit &amp; Loss'!H45</f>
        <v>1.8768508524027219</v>
      </c>
      <c r="E23" s="58">
        <f>'Profit &amp; Loss'!I45</f>
        <v>1.981194878627571</v>
      </c>
      <c r="F23" s="58">
        <f>'Profit &amp; Loss'!J45</f>
        <v>2.8558155774005876</v>
      </c>
      <c r="G23" s="58">
        <f>'Profit &amp; Loss'!K45</f>
        <v>2.9973317297031232</v>
      </c>
    </row>
    <row r="24" spans="2:13">
      <c r="B24" s="51" t="s">
        <v>128</v>
      </c>
      <c r="C24" s="55">
        <f>'Balance Sheet'!G23</f>
        <v>7.7800140956339803E-2</v>
      </c>
      <c r="D24" s="55">
        <f>'Balance Sheet'!H23</f>
        <v>0.11666102958673752</v>
      </c>
      <c r="E24" s="55">
        <f>'Balance Sheet'!I23</f>
        <v>0.1379278031297457</v>
      </c>
      <c r="F24" s="55">
        <f>'Balance Sheet'!J23</f>
        <v>0.15868060925009997</v>
      </c>
      <c r="G24" s="55">
        <f>'Balance Sheet'!K23</f>
        <v>0.17277936490684298</v>
      </c>
    </row>
    <row r="25" spans="2:13">
      <c r="B25" s="51" t="s">
        <v>129</v>
      </c>
      <c r="C25" s="55">
        <f>'Balance Sheet'!G24</f>
        <v>5.9019736296788437E-2</v>
      </c>
      <c r="D25" s="55">
        <f>'Balance Sheet'!H24</f>
        <v>5.7262817605441309E-2</v>
      </c>
      <c r="E25" s="55">
        <f>'Balance Sheet'!I24</f>
        <v>5.593130537242022E-2</v>
      </c>
      <c r="F25" s="55">
        <f>'Balance Sheet'!J24</f>
        <v>6.3487542819351594E-2</v>
      </c>
      <c r="G25" s="55">
        <f>'Balance Sheet'!K24</f>
        <v>7.6411112611147775E-2</v>
      </c>
    </row>
    <row r="29" spans="2:13" ht="14.4" customHeight="1">
      <c r="B29" s="85" t="s">
        <v>144</v>
      </c>
      <c r="C29" s="94" t="str">
        <f>Sheet3!H34</f>
        <v>No, of Shares (in Crs.)</v>
      </c>
      <c r="D29" s="94"/>
      <c r="E29" s="82" t="str">
        <f>Sheet3!I34</f>
        <v>Shareholding (%)</v>
      </c>
      <c r="F29" s="94" t="str">
        <f>Sheet3!J34</f>
        <v>Market Value ( in Crs.)</v>
      </c>
      <c r="G29" s="94"/>
      <c r="I29" s="91" t="s">
        <v>150</v>
      </c>
      <c r="J29" s="91"/>
      <c r="K29" s="91"/>
      <c r="L29" s="91"/>
      <c r="M29" s="91"/>
    </row>
    <row r="30" spans="2:13" ht="9" customHeight="1">
      <c r="B30" s="84"/>
      <c r="C30" s="84"/>
      <c r="D30" s="84"/>
      <c r="E30" s="84"/>
      <c r="F30" s="84"/>
      <c r="G30" s="84"/>
    </row>
    <row r="31" spans="2:13">
      <c r="B31" s="86" t="str">
        <f>Sheet3!G35</f>
        <v>LIFE INSURANCE CORPORATION OF INDIA</v>
      </c>
      <c r="C31" s="93">
        <f>Sheet3!H35</f>
        <v>40.986946099999997</v>
      </c>
      <c r="D31" s="93"/>
      <c r="E31" s="83">
        <f>Sheet3!I35</f>
        <v>7.1399999999999991E-2</v>
      </c>
      <c r="F31" s="93">
        <f>Sheet3!J35</f>
        <v>55264.748773934989</v>
      </c>
      <c r="G31" s="93"/>
    </row>
    <row r="32" spans="2:13">
      <c r="B32" s="86" t="str">
        <f>Sheet3!G36</f>
        <v>SBI MUTUAL FUND</v>
      </c>
      <c r="C32" s="93">
        <f>Sheet3!H36</f>
        <v>37.4629957</v>
      </c>
      <c r="D32" s="93"/>
      <c r="E32" s="83">
        <f>Sheet3!I36</f>
        <v>6.5299999999999997E-2</v>
      </c>
      <c r="F32" s="93">
        <f>Sheet3!J36</f>
        <v>50513.230252094996</v>
      </c>
      <c r="G32" s="93"/>
    </row>
    <row r="33" spans="2:13">
      <c r="B33" s="86" t="str">
        <f>Sheet3!G37</f>
        <v>ICICI PRUDENTIAL MUTUAL FUND</v>
      </c>
      <c r="C33" s="93">
        <f>Sheet3!H37</f>
        <v>25.647107599999998</v>
      </c>
      <c r="D33" s="93"/>
      <c r="E33" s="83">
        <f>Sheet3!I37</f>
        <v>4.4699999999999997E-2</v>
      </c>
      <c r="F33" s="93">
        <f>Sheet3!J37</f>
        <v>34581.277532459993</v>
      </c>
      <c r="G33" s="93"/>
    </row>
    <row r="34" spans="2:13">
      <c r="B34" s="86" t="str">
        <f>Sheet3!G38</f>
        <v>HDFC MUTUAL FUND</v>
      </c>
      <c r="C34" s="93">
        <f>Sheet3!H38</f>
        <v>21.072475600000001</v>
      </c>
      <c r="D34" s="93"/>
      <c r="E34" s="83">
        <f>Sheet3!I38</f>
        <v>3.6699999999999997E-2</v>
      </c>
      <c r="F34" s="93">
        <f>Sheet3!J38</f>
        <v>28413.07247526</v>
      </c>
      <c r="G34" s="93"/>
    </row>
    <row r="35" spans="2:13">
      <c r="B35" s="86" t="str">
        <f>Sheet3!G39</f>
        <v>NPS TRUST</v>
      </c>
      <c r="C35" s="93">
        <f>Sheet3!H39</f>
        <v>14.577775600000001</v>
      </c>
      <c r="D35" s="93"/>
      <c r="E35" s="83">
        <f>Sheet3!I39</f>
        <v>2.5399999999999999E-2</v>
      </c>
      <c r="F35" s="93">
        <f>Sheet3!J39</f>
        <v>19655.943730259998</v>
      </c>
      <c r="G35" s="93"/>
    </row>
    <row r="36" spans="2:13">
      <c r="B36" s="86" t="str">
        <f>Sheet3!G40</f>
        <v>GOVERNMENT OF SINGAPORE</v>
      </c>
      <c r="C36" s="93">
        <f>Sheet3!H40</f>
        <v>14.3901866</v>
      </c>
      <c r="D36" s="93"/>
      <c r="E36" s="83">
        <f>Sheet3!I40</f>
        <v>2.5099999999999997E-2</v>
      </c>
      <c r="F36" s="93">
        <f>Sheet3!J40</f>
        <v>19403.008102109998</v>
      </c>
      <c r="G36" s="93"/>
    </row>
    <row r="37" spans="2:13">
      <c r="B37" s="86" t="str">
        <f>Sheet3!G41</f>
        <v>UTI MUTUAL FUND</v>
      </c>
      <c r="C37" s="93">
        <f>Sheet3!H41</f>
        <v>13.9374018</v>
      </c>
      <c r="D37" s="93"/>
      <c r="E37" s="83">
        <f>Sheet3!I41</f>
        <v>2.4300000000000002E-2</v>
      </c>
      <c r="F37" s="93">
        <f>Sheet3!J41</f>
        <v>18792.49571703</v>
      </c>
      <c r="G37" s="93"/>
    </row>
    <row r="38" spans="2:13">
      <c r="B38" s="86" t="str">
        <f>Sheet3!G42</f>
        <v>NIPPON LIFE INDIA MUTUAL FUND</v>
      </c>
      <c r="C38" s="93">
        <f>Sheet3!H42</f>
        <v>12.394101300000001</v>
      </c>
      <c r="D38" s="93"/>
      <c r="E38" s="83">
        <f>Sheet3!I42</f>
        <v>2.1600000000000001E-2</v>
      </c>
      <c r="F38" s="93">
        <f>Sheet3!J42</f>
        <v>16711.586487854998</v>
      </c>
      <c r="G38" s="93"/>
    </row>
    <row r="39" spans="2:13">
      <c r="B39" s="86" t="str">
        <f>Sheet3!G43</f>
        <v>GOVERNMENT PENSION FUND GLOBAL</v>
      </c>
      <c r="C39" s="93">
        <f>Sheet3!H43</f>
        <v>9.6604183999999993</v>
      </c>
      <c r="D39" s="93"/>
      <c r="E39" s="83">
        <f>Sheet3!I43</f>
        <v>1.6799999999999999E-2</v>
      </c>
      <c r="F39" s="93">
        <f>Sheet3!J43</f>
        <v>13025.625149639998</v>
      </c>
      <c r="G39" s="93"/>
    </row>
    <row r="40" spans="2:13">
      <c r="B40" s="86" t="str">
        <f>Sheet3!G44</f>
        <v>SBI LIFE INSURANCE COMPANY LIMITED</v>
      </c>
      <c r="C40" s="93">
        <f>Sheet3!H44</f>
        <v>8.8322649999999996</v>
      </c>
      <c r="D40" s="93"/>
      <c r="E40" s="83">
        <f>Sheet3!I44</f>
        <v>1.54E-2</v>
      </c>
      <c r="F40" s="93">
        <f>Sheet3!J44</f>
        <v>11908.984512749999</v>
      </c>
      <c r="G40" s="93"/>
    </row>
    <row r="41" spans="2:13">
      <c r="G41" s="88" t="s">
        <v>185</v>
      </c>
    </row>
    <row r="42" spans="2:13">
      <c r="B42" s="47" t="s">
        <v>164</v>
      </c>
      <c r="C42" s="48" t="s">
        <v>169</v>
      </c>
      <c r="D42" s="92" t="s">
        <v>170</v>
      </c>
      <c r="E42" s="92"/>
      <c r="F42" s="92" t="s">
        <v>171</v>
      </c>
      <c r="G42" s="92"/>
      <c r="I42" s="91" t="s">
        <v>151</v>
      </c>
      <c r="J42" s="91"/>
      <c r="K42" s="91"/>
      <c r="L42" s="91"/>
      <c r="M42" s="91"/>
    </row>
    <row r="44" spans="2:13">
      <c r="B44" s="51" t="s">
        <v>165</v>
      </c>
      <c r="C44" s="62" t="s">
        <v>172</v>
      </c>
      <c r="D44" s="89">
        <v>9995.5098999999991</v>
      </c>
      <c r="E44" s="89"/>
      <c r="F44" s="90">
        <v>120</v>
      </c>
      <c r="G44" s="90"/>
      <c r="I44" s="64" t="s">
        <v>152</v>
      </c>
      <c r="J44" s="64"/>
      <c r="K44" s="64"/>
      <c r="L44" s="64"/>
      <c r="M44" s="65">
        <f>'Data Sheet'!B8</f>
        <v>1336.65</v>
      </c>
    </row>
    <row r="45" spans="2:13">
      <c r="B45" s="63" t="s">
        <v>166</v>
      </c>
      <c r="C45" s="62" t="s">
        <v>173</v>
      </c>
      <c r="D45" s="89">
        <v>8904.5656999999992</v>
      </c>
      <c r="E45" s="89"/>
      <c r="F45" s="90">
        <v>104</v>
      </c>
      <c r="G45" s="90"/>
      <c r="I45" t="s">
        <v>153</v>
      </c>
      <c r="M45" s="69">
        <f>'Data Sheet'!B6</f>
        <v>706.85652938315934</v>
      </c>
    </row>
    <row r="46" spans="2:13" ht="15" thickBot="1">
      <c r="B46" s="63" t="s">
        <v>167</v>
      </c>
      <c r="C46" s="62" t="s">
        <v>173</v>
      </c>
      <c r="D46" s="89">
        <v>8419.4832000000006</v>
      </c>
      <c r="E46" s="89"/>
      <c r="F46" s="90">
        <v>104</v>
      </c>
      <c r="G46" s="90"/>
      <c r="I46" s="73" t="s">
        <v>79</v>
      </c>
      <c r="J46" s="73"/>
      <c r="K46" s="73"/>
      <c r="L46" s="73"/>
      <c r="M46" s="74">
        <f>M44*M45</f>
        <v>944819.78</v>
      </c>
    </row>
    <row r="47" spans="2:13" ht="15" thickTop="1">
      <c r="B47" s="63" t="s">
        <v>168</v>
      </c>
      <c r="C47" s="62" t="s">
        <v>173</v>
      </c>
      <c r="D47" s="89">
        <v>4840.0479999999998</v>
      </c>
      <c r="E47" s="89"/>
      <c r="F47" s="90">
        <v>104</v>
      </c>
      <c r="G47" s="90"/>
      <c r="I47" s="70" t="s">
        <v>154</v>
      </c>
      <c r="J47" s="71"/>
      <c r="K47" s="71"/>
      <c r="L47" s="71"/>
      <c r="M47" s="72">
        <f>'Data Sheet'!K69*-1</f>
        <v>-162768.9</v>
      </c>
    </row>
    <row r="48" spans="2:13">
      <c r="B48" s="78" t="s">
        <v>179</v>
      </c>
      <c r="F48" s="61"/>
      <c r="G48" s="61"/>
      <c r="I48" s="66" t="s">
        <v>155</v>
      </c>
      <c r="J48" s="67"/>
      <c r="K48" s="67"/>
      <c r="L48" s="67"/>
      <c r="M48" s="68">
        <f>'Data Sheet'!K59</f>
        <v>1651007.95</v>
      </c>
    </row>
    <row r="49" spans="2:13" ht="14.4" customHeight="1">
      <c r="B49" s="80" t="s">
        <v>180</v>
      </c>
      <c r="I49" s="75" t="s">
        <v>156</v>
      </c>
      <c r="J49" s="76"/>
      <c r="K49" s="76"/>
      <c r="L49" s="76"/>
      <c r="M49" s="77">
        <v>13888.4162</v>
      </c>
    </row>
    <row r="50" spans="2:13" ht="15" thickBot="1">
      <c r="B50" t="s">
        <v>181</v>
      </c>
      <c r="I50" s="73" t="s">
        <v>157</v>
      </c>
      <c r="J50" s="73"/>
      <c r="K50" s="73"/>
      <c r="L50" s="73"/>
      <c r="M50" s="74">
        <f>SUM(M46:M49)</f>
        <v>2446947.2461999999</v>
      </c>
    </row>
    <row r="51" spans="2:13" ht="15" thickTop="1">
      <c r="B51" t="s">
        <v>182</v>
      </c>
    </row>
    <row r="52" spans="2:13">
      <c r="I52" s="50"/>
    </row>
    <row r="53" spans="2:13">
      <c r="B53" s="47" t="s">
        <v>176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</row>
    <row r="54" spans="2:13" ht="6.6" customHeight="1"/>
    <row r="55" spans="2:13">
      <c r="B55" t="s">
        <v>178</v>
      </c>
      <c r="M55"/>
    </row>
    <row r="56" spans="2:13">
      <c r="B56" t="s">
        <v>174</v>
      </c>
      <c r="M56"/>
    </row>
    <row r="57" spans="2:13">
      <c r="B57" t="s">
        <v>175</v>
      </c>
      <c r="M57"/>
    </row>
    <row r="58" spans="2:13">
      <c r="B58" t="s">
        <v>177</v>
      </c>
      <c r="M58"/>
    </row>
    <row r="60" spans="2:13">
      <c r="B60" s="79" t="s">
        <v>186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</sheetData>
  <mergeCells count="38">
    <mergeCell ref="C39:D39"/>
    <mergeCell ref="C40:D40"/>
    <mergeCell ref="F37:G37"/>
    <mergeCell ref="F38:G38"/>
    <mergeCell ref="F39:G39"/>
    <mergeCell ref="F40:G40"/>
    <mergeCell ref="F36:G36"/>
    <mergeCell ref="F35:G35"/>
    <mergeCell ref="C35:D35"/>
    <mergeCell ref="C37:D37"/>
    <mergeCell ref="C38:D38"/>
    <mergeCell ref="B1:M1"/>
    <mergeCell ref="C3:M3"/>
    <mergeCell ref="F31:G31"/>
    <mergeCell ref="C32:D32"/>
    <mergeCell ref="F32:G32"/>
    <mergeCell ref="I42:M42"/>
    <mergeCell ref="I5:M5"/>
    <mergeCell ref="I18:M18"/>
    <mergeCell ref="D45:E45"/>
    <mergeCell ref="D46:E46"/>
    <mergeCell ref="F42:G42"/>
    <mergeCell ref="D42:E42"/>
    <mergeCell ref="C31:D31"/>
    <mergeCell ref="C29:D29"/>
    <mergeCell ref="F29:G29"/>
    <mergeCell ref="I29:M29"/>
    <mergeCell ref="C33:D33"/>
    <mergeCell ref="F33:G33"/>
    <mergeCell ref="C34:D34"/>
    <mergeCell ref="F34:G34"/>
    <mergeCell ref="C36:D36"/>
    <mergeCell ref="D47:E47"/>
    <mergeCell ref="F44:G44"/>
    <mergeCell ref="F45:G45"/>
    <mergeCell ref="F46:G46"/>
    <mergeCell ref="F47:G47"/>
    <mergeCell ref="D44:E44"/>
  </mergeCells>
  <phoneticPr fontId="18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53" activePane="bottomRight" state="frozen"/>
      <selection activeCell="C4" sqref="C4"/>
      <selection pane="topRight" activeCell="C4" sqref="C4"/>
      <selection pane="bottomLeft" activeCell="C4" sqref="C4"/>
      <selection pane="bottomRight" activeCell="B34" sqref="B34:K34"/>
    </sheetView>
  </sheetViews>
  <sheetFormatPr defaultColWidth="8.77734375" defaultRowHeight="14.4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>
      <c r="A1" s="1" t="s">
        <v>0</v>
      </c>
      <c r="B1" s="1" t="s">
        <v>63</v>
      </c>
      <c r="E1" s="97" t="str">
        <f>IF(B2&lt;&gt;B3, "A NEW VERSION OF THE WORKSHEET IS AVAILABLE", "")</f>
        <v/>
      </c>
      <c r="F1" s="97"/>
      <c r="G1" s="97"/>
      <c r="H1" s="97"/>
      <c r="I1" s="97"/>
      <c r="J1" s="97"/>
      <c r="K1" s="97"/>
    </row>
    <row r="2" spans="1:11">
      <c r="A2" s="1" t="s">
        <v>61</v>
      </c>
      <c r="B2" s="4">
        <v>2.1</v>
      </c>
      <c r="E2" s="98" t="s">
        <v>36</v>
      </c>
      <c r="F2" s="98"/>
      <c r="G2" s="98"/>
      <c r="H2" s="98"/>
      <c r="I2" s="98"/>
      <c r="J2" s="98"/>
      <c r="K2" s="98"/>
    </row>
    <row r="3" spans="1:11">
      <c r="A3" s="1" t="s">
        <v>62</v>
      </c>
      <c r="B3" s="4">
        <v>2.1</v>
      </c>
    </row>
    <row r="4" spans="1:11">
      <c r="A4" s="1"/>
    </row>
    <row r="5" spans="1:11">
      <c r="A5" s="1" t="s">
        <v>64</v>
      </c>
    </row>
    <row r="6" spans="1:11">
      <c r="A6" s="4" t="s">
        <v>42</v>
      </c>
      <c r="B6" s="4">
        <f>IF(B9&gt;0, B9/B8, 0)</f>
        <v>706.85652938315934</v>
      </c>
    </row>
    <row r="7" spans="1:11">
      <c r="A7" s="4" t="s">
        <v>31</v>
      </c>
      <c r="B7">
        <v>2</v>
      </c>
    </row>
    <row r="8" spans="1:11">
      <c r="A8" s="4" t="s">
        <v>43</v>
      </c>
      <c r="B8">
        <v>1336.65</v>
      </c>
    </row>
    <row r="9" spans="1:11">
      <c r="A9" s="4" t="s">
        <v>79</v>
      </c>
      <c r="B9">
        <v>944819.78</v>
      </c>
    </row>
    <row r="15" spans="1:11">
      <c r="A15" s="1" t="s">
        <v>37</v>
      </c>
    </row>
    <row r="16" spans="1:11" s="18" customFormat="1">
      <c r="A16" s="17" t="s">
        <v>38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>
      <c r="A17" s="6" t="s">
        <v>6</v>
      </c>
      <c r="B17">
        <v>54964</v>
      </c>
      <c r="C17">
        <v>59293.71</v>
      </c>
      <c r="D17">
        <v>60939.98</v>
      </c>
      <c r="E17">
        <v>62162.35</v>
      </c>
      <c r="F17">
        <v>71981.649999999994</v>
      </c>
      <c r="G17">
        <v>84835.77</v>
      </c>
      <c r="H17">
        <v>89162.66</v>
      </c>
      <c r="I17">
        <v>95406.87</v>
      </c>
      <c r="J17">
        <v>121066.81</v>
      </c>
      <c r="K17">
        <v>159515.93</v>
      </c>
    </row>
    <row r="18" spans="1:11" s="6" customFormat="1">
      <c r="A18" s="4" t="s">
        <v>80</v>
      </c>
    </row>
    <row r="19" spans="1:11" s="6" customFormat="1">
      <c r="A19" s="4" t="s">
        <v>81</v>
      </c>
    </row>
    <row r="20" spans="1:11" s="6" customFormat="1">
      <c r="A20" s="4" t="s">
        <v>82</v>
      </c>
    </row>
    <row r="21" spans="1:11" s="6" customFormat="1">
      <c r="A21" s="4" t="s">
        <v>83</v>
      </c>
      <c r="B21">
        <v>1008.28</v>
      </c>
      <c r="C21">
        <v>1154.03</v>
      </c>
      <c r="D21">
        <v>1340.41</v>
      </c>
      <c r="E21">
        <v>1720.34</v>
      </c>
      <c r="F21">
        <v>1778.56</v>
      </c>
      <c r="G21">
        <v>2016</v>
      </c>
      <c r="H21">
        <v>2178.52</v>
      </c>
      <c r="I21">
        <v>2699.47</v>
      </c>
      <c r="J21">
        <v>3464.42</v>
      </c>
      <c r="K21">
        <v>3617.18</v>
      </c>
    </row>
    <row r="22" spans="1:11" s="6" customFormat="1">
      <c r="A22" s="4" t="s">
        <v>84</v>
      </c>
      <c r="B22">
        <v>6574.24</v>
      </c>
      <c r="C22">
        <v>6918.58</v>
      </c>
      <c r="D22">
        <v>7902.81</v>
      </c>
      <c r="E22">
        <v>8342.58</v>
      </c>
      <c r="F22">
        <v>9437.0300000000007</v>
      </c>
      <c r="G22">
        <v>11169.57</v>
      </c>
      <c r="H22">
        <v>11063.46</v>
      </c>
      <c r="I22">
        <v>12353.95</v>
      </c>
      <c r="J22">
        <v>15247.91</v>
      </c>
      <c r="K22">
        <v>19186.580000000002</v>
      </c>
    </row>
    <row r="23" spans="1:11" s="6" customFormat="1">
      <c r="A23" s="4" t="s">
        <v>85</v>
      </c>
      <c r="B23">
        <v>2679.71</v>
      </c>
      <c r="C23">
        <v>3008.5</v>
      </c>
      <c r="D23">
        <v>3546.3</v>
      </c>
      <c r="E23">
        <v>3974.96</v>
      </c>
      <c r="F23">
        <v>5419.74</v>
      </c>
      <c r="G23">
        <v>6135.79</v>
      </c>
      <c r="H23">
        <v>6402.88</v>
      </c>
      <c r="I23">
        <v>6167.72</v>
      </c>
      <c r="J23">
        <v>7565.2</v>
      </c>
      <c r="K23">
        <v>7643.68</v>
      </c>
    </row>
    <row r="24" spans="1:11" s="6" customFormat="1">
      <c r="A24" s="4" t="s">
        <v>86</v>
      </c>
      <c r="B24">
        <v>28503.72</v>
      </c>
      <c r="C24">
        <v>41170.769999999997</v>
      </c>
      <c r="D24">
        <v>51051.29</v>
      </c>
      <c r="E24">
        <v>58768.56</v>
      </c>
      <c r="F24">
        <v>67139.53</v>
      </c>
      <c r="G24">
        <v>66039.39</v>
      </c>
      <c r="H24">
        <v>71664.11</v>
      </c>
      <c r="I24">
        <v>59577.23</v>
      </c>
      <c r="J24">
        <v>61586.85</v>
      </c>
      <c r="K24">
        <v>69112.55</v>
      </c>
    </row>
    <row r="25" spans="1:11" s="6" customFormat="1">
      <c r="A25" s="6" t="s">
        <v>9</v>
      </c>
      <c r="B25">
        <v>35252.239999999998</v>
      </c>
      <c r="C25">
        <v>42102.14</v>
      </c>
      <c r="D25">
        <v>52457.65</v>
      </c>
      <c r="E25">
        <v>56806.75</v>
      </c>
      <c r="F25">
        <v>59324.85</v>
      </c>
      <c r="G25">
        <v>64950.33</v>
      </c>
      <c r="H25">
        <v>72173.81</v>
      </c>
      <c r="I25">
        <v>62129.45</v>
      </c>
      <c r="J25">
        <v>65111.99</v>
      </c>
      <c r="K25">
        <v>76521.8</v>
      </c>
    </row>
    <row r="26" spans="1:11" s="6" customFormat="1">
      <c r="A26" s="6" t="s">
        <v>10</v>
      </c>
      <c r="B26">
        <v>798.22</v>
      </c>
      <c r="C26">
        <v>843.11</v>
      </c>
      <c r="D26">
        <v>911.64</v>
      </c>
      <c r="E26">
        <v>922.14</v>
      </c>
      <c r="F26">
        <v>945.84</v>
      </c>
      <c r="G26">
        <v>1171.22</v>
      </c>
      <c r="H26">
        <v>1340.07</v>
      </c>
      <c r="I26">
        <v>1330.01</v>
      </c>
      <c r="J26">
        <v>1514.56</v>
      </c>
      <c r="K26">
        <v>1935.21</v>
      </c>
    </row>
    <row r="27" spans="1:11" s="6" customFormat="1">
      <c r="A27" s="6" t="s">
        <v>11</v>
      </c>
      <c r="B27">
        <v>32318.15</v>
      </c>
      <c r="C27">
        <v>33996.47</v>
      </c>
      <c r="D27">
        <v>34835.83</v>
      </c>
      <c r="E27">
        <v>34262.050000000003</v>
      </c>
      <c r="F27">
        <v>39177.54</v>
      </c>
      <c r="G27">
        <v>44665.52</v>
      </c>
      <c r="H27">
        <v>42659.09</v>
      </c>
      <c r="I27">
        <v>41166.67</v>
      </c>
      <c r="J27">
        <v>50543.39</v>
      </c>
      <c r="K27">
        <v>74108.160000000003</v>
      </c>
    </row>
    <row r="28" spans="1:11" s="6" customFormat="1">
      <c r="A28" s="6" t="s">
        <v>12</v>
      </c>
      <c r="B28">
        <v>18333.919999999998</v>
      </c>
      <c r="C28">
        <v>14304.39</v>
      </c>
      <c r="D28">
        <v>13809.35</v>
      </c>
      <c r="E28">
        <v>10978.47</v>
      </c>
      <c r="F28">
        <v>7408.26</v>
      </c>
      <c r="G28">
        <v>18588.61</v>
      </c>
      <c r="H28">
        <v>26028.34</v>
      </c>
      <c r="I28">
        <v>34241.269999999997</v>
      </c>
      <c r="J28">
        <v>46256.47</v>
      </c>
      <c r="K28">
        <v>60434.37</v>
      </c>
    </row>
    <row r="29" spans="1:11" s="6" customFormat="1">
      <c r="A29" s="6" t="s">
        <v>13</v>
      </c>
      <c r="B29">
        <v>5391.62</v>
      </c>
      <c r="C29">
        <v>3377.5</v>
      </c>
      <c r="D29">
        <v>2469.02</v>
      </c>
      <c r="E29">
        <v>1878.92</v>
      </c>
      <c r="F29">
        <v>1719.1</v>
      </c>
      <c r="G29">
        <v>7363.14</v>
      </c>
      <c r="H29">
        <v>5664.37</v>
      </c>
      <c r="I29">
        <v>8457.44</v>
      </c>
      <c r="J29">
        <v>11793.44</v>
      </c>
      <c r="K29">
        <v>15427.62</v>
      </c>
    </row>
    <row r="30" spans="1:11" s="6" customFormat="1">
      <c r="A30" s="6" t="s">
        <v>14</v>
      </c>
      <c r="B30">
        <v>12246.87</v>
      </c>
      <c r="C30">
        <v>10179.959999999999</v>
      </c>
      <c r="D30">
        <v>10188.379999999999</v>
      </c>
      <c r="E30">
        <v>7712.19</v>
      </c>
      <c r="F30">
        <v>4254.24</v>
      </c>
      <c r="G30">
        <v>9566.31</v>
      </c>
      <c r="H30">
        <v>18384.32</v>
      </c>
      <c r="I30">
        <v>25110.1</v>
      </c>
      <c r="J30">
        <v>34036.639999999999</v>
      </c>
      <c r="K30">
        <v>44256.37</v>
      </c>
    </row>
    <row r="31" spans="1:11" s="6" customFormat="1">
      <c r="A31" s="6" t="s">
        <v>70</v>
      </c>
      <c r="B31">
        <v>2899.15</v>
      </c>
      <c r="C31">
        <v>2907.92</v>
      </c>
      <c r="D31">
        <v>1456.39</v>
      </c>
      <c r="E31">
        <v>964.36</v>
      </c>
      <c r="F31">
        <v>644.73</v>
      </c>
      <c r="H31">
        <v>1383.41</v>
      </c>
      <c r="I31">
        <v>3474.92</v>
      </c>
      <c r="J31">
        <v>5587.12</v>
      </c>
      <c r="K31">
        <v>7023.4</v>
      </c>
    </row>
    <row r="32" spans="1:11" s="6" customFormat="1"/>
    <row r="33" spans="1:11">
      <c r="A33" s="6"/>
    </row>
    <row r="34" spans="1:11">
      <c r="A34" s="6" t="s">
        <v>100</v>
      </c>
      <c r="B34" s="4">
        <f>B17-B21</f>
        <v>53955.72</v>
      </c>
      <c r="C34" s="4">
        <f t="shared" ref="C34:K34" si="0">C17-C21</f>
        <v>58139.68</v>
      </c>
      <c r="D34" s="4">
        <f t="shared" si="0"/>
        <v>59599.57</v>
      </c>
      <c r="E34" s="4">
        <f t="shared" si="0"/>
        <v>60442.01</v>
      </c>
      <c r="F34" s="4">
        <f t="shared" si="0"/>
        <v>70203.09</v>
      </c>
      <c r="G34" s="4">
        <f t="shared" si="0"/>
        <v>82819.77</v>
      </c>
      <c r="H34" s="4">
        <f t="shared" si="0"/>
        <v>86984.14</v>
      </c>
      <c r="I34" s="4">
        <f t="shared" si="0"/>
        <v>92707.4</v>
      </c>
      <c r="J34" s="4">
        <f t="shared" si="0"/>
        <v>117602.39</v>
      </c>
      <c r="K34" s="4">
        <f t="shared" si="0"/>
        <v>155898.75</v>
      </c>
    </row>
    <row r="35" spans="1:11">
      <c r="A35" s="6"/>
    </row>
    <row r="36" spans="1:11">
      <c r="A36" s="6"/>
    </row>
    <row r="37" spans="1:11">
      <c r="A37" s="6"/>
    </row>
    <row r="38" spans="1:11">
      <c r="A38" s="6"/>
    </row>
    <row r="39" spans="1:11">
      <c r="A39" s="6"/>
    </row>
    <row r="40" spans="1:11">
      <c r="A40" s="1" t="s">
        <v>39</v>
      </c>
    </row>
    <row r="41" spans="1:11" s="18" customFormat="1">
      <c r="A41" s="17" t="s">
        <v>38</v>
      </c>
      <c r="B41" s="12">
        <v>44834</v>
      </c>
      <c r="C41" s="12">
        <v>44926</v>
      </c>
      <c r="D41" s="12">
        <v>45016</v>
      </c>
      <c r="E41" s="12">
        <v>45107</v>
      </c>
      <c r="F41" s="12">
        <v>45199</v>
      </c>
      <c r="G41" s="12">
        <v>45291</v>
      </c>
      <c r="H41" s="12">
        <v>45382</v>
      </c>
      <c r="I41" s="12">
        <v>45473</v>
      </c>
      <c r="J41" s="12">
        <v>45565</v>
      </c>
      <c r="K41" s="12">
        <v>45657</v>
      </c>
    </row>
    <row r="42" spans="1:11" s="6" customFormat="1">
      <c r="A42" s="6" t="s">
        <v>6</v>
      </c>
      <c r="B42">
        <v>28850.49</v>
      </c>
      <c r="C42">
        <v>31618.81</v>
      </c>
      <c r="D42">
        <v>34438.910000000003</v>
      </c>
      <c r="E42">
        <v>37105.89</v>
      </c>
      <c r="F42">
        <v>38938.080000000002</v>
      </c>
      <c r="G42">
        <v>40865.230000000003</v>
      </c>
      <c r="H42">
        <v>42606.720000000001</v>
      </c>
      <c r="I42">
        <v>44581.65</v>
      </c>
      <c r="J42">
        <v>46325.78</v>
      </c>
      <c r="K42">
        <v>47037.120000000003</v>
      </c>
    </row>
    <row r="43" spans="1:11" s="6" customFormat="1">
      <c r="A43" s="6" t="s">
        <v>7</v>
      </c>
      <c r="B43">
        <v>22336.31</v>
      </c>
      <c r="C43">
        <v>22946.02</v>
      </c>
      <c r="D43">
        <v>25959.14</v>
      </c>
      <c r="E43">
        <v>21401.71</v>
      </c>
      <c r="F43">
        <v>24560.02</v>
      </c>
      <c r="G43">
        <v>24929.14</v>
      </c>
      <c r="H43">
        <v>30604.33</v>
      </c>
      <c r="I43">
        <v>29387.05</v>
      </c>
      <c r="J43">
        <v>32220.79</v>
      </c>
      <c r="K43">
        <v>33510.129999999997</v>
      </c>
    </row>
    <row r="44" spans="1:11" s="6" customFormat="1">
      <c r="A44" s="6" t="s">
        <v>9</v>
      </c>
      <c r="B44">
        <v>16634.25</v>
      </c>
      <c r="C44">
        <v>16470.13</v>
      </c>
      <c r="D44">
        <v>19734.91</v>
      </c>
      <c r="E44">
        <v>15229.15</v>
      </c>
      <c r="F44">
        <v>18689.63</v>
      </c>
      <c r="G44">
        <v>18874.490000000002</v>
      </c>
      <c r="H44">
        <v>24802.3</v>
      </c>
      <c r="I44">
        <v>22745.279999999999</v>
      </c>
      <c r="J44">
        <v>26661.96</v>
      </c>
      <c r="K44">
        <v>27589.439999999999</v>
      </c>
    </row>
    <row r="45" spans="1:11" s="6" customFormat="1">
      <c r="A45" s="6" t="s">
        <v>10</v>
      </c>
    </row>
    <row r="46" spans="1:11" s="6" customFormat="1">
      <c r="A46" s="6" t="s">
        <v>11</v>
      </c>
      <c r="B46">
        <v>11996.97</v>
      </c>
      <c r="C46">
        <v>12977.89</v>
      </c>
      <c r="D46">
        <v>14479.47</v>
      </c>
      <c r="E46">
        <v>16367.66</v>
      </c>
      <c r="F46">
        <v>17908.009999999998</v>
      </c>
      <c r="G46">
        <v>19408.759999999998</v>
      </c>
      <c r="H46">
        <v>20423.73</v>
      </c>
      <c r="I46">
        <v>21121.62</v>
      </c>
      <c r="J46">
        <v>22225.3</v>
      </c>
      <c r="K46">
        <v>22633.41</v>
      </c>
    </row>
    <row r="47" spans="1:11" s="6" customFormat="1">
      <c r="A47" s="6" t="s">
        <v>12</v>
      </c>
      <c r="B47">
        <v>11151.46</v>
      </c>
      <c r="C47">
        <v>12165.03</v>
      </c>
      <c r="D47">
        <v>13735.21</v>
      </c>
      <c r="E47">
        <v>14565.67</v>
      </c>
      <c r="F47">
        <v>15159.68</v>
      </c>
      <c r="G47">
        <v>15401.82</v>
      </c>
      <c r="H47">
        <v>16380.96</v>
      </c>
      <c r="I47">
        <v>16818.259999999998</v>
      </c>
      <c r="J47">
        <v>18541.650000000001</v>
      </c>
      <c r="K47">
        <v>18483.02</v>
      </c>
    </row>
    <row r="48" spans="1:11" s="6" customFormat="1">
      <c r="A48" s="6" t="s">
        <v>13</v>
      </c>
      <c r="B48">
        <v>2790.25</v>
      </c>
      <c r="C48">
        <v>2999.41</v>
      </c>
      <c r="D48">
        <v>3498.92</v>
      </c>
      <c r="E48">
        <v>3551.22</v>
      </c>
      <c r="F48">
        <v>3808.82</v>
      </c>
      <c r="G48">
        <v>3886.67</v>
      </c>
      <c r="H48">
        <v>4180.91</v>
      </c>
      <c r="I48">
        <v>4355.45</v>
      </c>
      <c r="J48">
        <v>4635.66</v>
      </c>
      <c r="K48">
        <v>4654.41</v>
      </c>
    </row>
    <row r="49" spans="1:11" s="6" customFormat="1">
      <c r="A49" s="6" t="s">
        <v>14</v>
      </c>
      <c r="B49">
        <v>8006.99</v>
      </c>
      <c r="C49">
        <v>8792.42</v>
      </c>
      <c r="D49">
        <v>9852.7000000000007</v>
      </c>
      <c r="E49">
        <v>10636.12</v>
      </c>
      <c r="F49">
        <v>10896.13</v>
      </c>
      <c r="G49">
        <v>11052.6</v>
      </c>
      <c r="H49">
        <v>11671.52</v>
      </c>
      <c r="I49">
        <v>11695.84</v>
      </c>
      <c r="J49">
        <v>12947.77</v>
      </c>
      <c r="K49">
        <v>12883.37</v>
      </c>
    </row>
    <row r="50" spans="1:11">
      <c r="A50" s="6" t="s">
        <v>8</v>
      </c>
      <c r="B50">
        <v>6514.18</v>
      </c>
      <c r="C50">
        <v>8672.7900000000009</v>
      </c>
      <c r="D50">
        <v>8479.77</v>
      </c>
      <c r="E50">
        <v>15704.18</v>
      </c>
      <c r="F50">
        <v>14378.06</v>
      </c>
      <c r="G50">
        <v>15936.09</v>
      </c>
      <c r="H50">
        <v>12002.39</v>
      </c>
      <c r="I50">
        <v>15194.6</v>
      </c>
      <c r="J50">
        <v>14104.99</v>
      </c>
      <c r="K50">
        <v>13526.99</v>
      </c>
    </row>
    <row r="51" spans="1:11">
      <c r="A51" s="6"/>
    </row>
    <row r="52" spans="1:11">
      <c r="A52" s="6"/>
    </row>
    <row r="53" spans="1:11">
      <c r="A53" s="6"/>
    </row>
    <row r="54" spans="1:11">
      <c r="A54" s="6"/>
    </row>
    <row r="55" spans="1:11">
      <c r="A55" s="1" t="s">
        <v>40</v>
      </c>
    </row>
    <row r="56" spans="1:11" s="18" customFormat="1">
      <c r="A56" s="17" t="s">
        <v>38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>
      <c r="A57" s="6" t="s">
        <v>24</v>
      </c>
      <c r="B57">
        <v>1159.6600000000001</v>
      </c>
      <c r="C57">
        <v>1163.17</v>
      </c>
      <c r="D57">
        <v>1165.1099999999999</v>
      </c>
      <c r="E57">
        <v>1285.81</v>
      </c>
      <c r="F57">
        <v>1289.46</v>
      </c>
      <c r="G57">
        <v>1294.76</v>
      </c>
      <c r="H57">
        <v>1383.41</v>
      </c>
      <c r="I57">
        <v>1389.97</v>
      </c>
      <c r="J57">
        <v>1396.78</v>
      </c>
      <c r="K57">
        <v>1404.68</v>
      </c>
    </row>
    <row r="58" spans="1:11">
      <c r="A58" s="6" t="s">
        <v>25</v>
      </c>
      <c r="B58">
        <v>83544.88</v>
      </c>
      <c r="C58">
        <v>92947.55</v>
      </c>
      <c r="D58">
        <v>103466.89</v>
      </c>
      <c r="E58">
        <v>109343.89</v>
      </c>
      <c r="F58">
        <v>112963.95</v>
      </c>
      <c r="G58">
        <v>121665.3</v>
      </c>
      <c r="H58">
        <v>156204.09</v>
      </c>
      <c r="I58">
        <v>180662.52</v>
      </c>
      <c r="J58">
        <v>213101.01</v>
      </c>
      <c r="K58">
        <v>254739.16</v>
      </c>
    </row>
    <row r="59" spans="1:11">
      <c r="A59" s="6" t="s">
        <v>71</v>
      </c>
      <c r="B59">
        <v>597207.25</v>
      </c>
      <c r="C59">
        <v>671455.05</v>
      </c>
      <c r="D59">
        <v>700874.02</v>
      </c>
      <c r="E59">
        <v>815197.94</v>
      </c>
      <c r="F59">
        <v>891641.06</v>
      </c>
      <c r="G59">
        <v>1014636.24</v>
      </c>
      <c r="H59">
        <v>1103839.96</v>
      </c>
      <c r="I59">
        <v>1252968.47</v>
      </c>
      <c r="J59">
        <v>1399893.96</v>
      </c>
      <c r="K59">
        <v>1651007.95</v>
      </c>
    </row>
    <row r="60" spans="1:11">
      <c r="A60" s="6" t="s">
        <v>72</v>
      </c>
      <c r="B60">
        <v>144167.38</v>
      </c>
      <c r="C60">
        <v>153190.43</v>
      </c>
      <c r="D60">
        <v>180218.63</v>
      </c>
      <c r="E60">
        <v>198453.41</v>
      </c>
      <c r="F60">
        <v>232899.42</v>
      </c>
      <c r="G60">
        <v>239695.93</v>
      </c>
      <c r="H60">
        <v>312384.78999999998</v>
      </c>
      <c r="I60">
        <v>317616.42</v>
      </c>
      <c r="J60">
        <v>344098.75</v>
      </c>
      <c r="K60">
        <v>456911.23</v>
      </c>
    </row>
    <row r="61" spans="1:11" s="1" customFormat="1">
      <c r="A61" s="1" t="s">
        <v>26</v>
      </c>
      <c r="B61">
        <v>826079.17</v>
      </c>
      <c r="C61">
        <v>918756.2</v>
      </c>
      <c r="D61">
        <v>985724.65</v>
      </c>
      <c r="E61">
        <v>1124281.05</v>
      </c>
      <c r="F61">
        <v>1238793.8899999999</v>
      </c>
      <c r="G61">
        <v>1377292.23</v>
      </c>
      <c r="H61">
        <v>1573812.25</v>
      </c>
      <c r="I61">
        <v>1752637.38</v>
      </c>
      <c r="J61">
        <v>1958490.5</v>
      </c>
      <c r="K61">
        <v>2364063.02</v>
      </c>
    </row>
    <row r="62" spans="1:11">
      <c r="A62" s="6" t="s">
        <v>27</v>
      </c>
      <c r="B62">
        <v>5871.21</v>
      </c>
      <c r="C62">
        <v>8713.4599999999991</v>
      </c>
      <c r="D62">
        <v>9337.9599999999991</v>
      </c>
      <c r="E62">
        <v>9465.01</v>
      </c>
      <c r="F62">
        <v>9660.42</v>
      </c>
      <c r="G62">
        <v>10408.66</v>
      </c>
      <c r="H62">
        <v>10809.26</v>
      </c>
      <c r="I62">
        <v>10706.74</v>
      </c>
      <c r="J62">
        <v>11070.34</v>
      </c>
      <c r="K62">
        <v>15714.44</v>
      </c>
    </row>
    <row r="63" spans="1:11">
      <c r="A63" s="6" t="s">
        <v>28</v>
      </c>
    </row>
    <row r="64" spans="1:11">
      <c r="A64" s="6" t="s">
        <v>29</v>
      </c>
      <c r="B64">
        <v>274310.81</v>
      </c>
      <c r="C64">
        <v>286044.09000000003</v>
      </c>
      <c r="D64">
        <v>304373.28999999998</v>
      </c>
      <c r="E64">
        <v>372207.68</v>
      </c>
      <c r="F64">
        <v>398200.76</v>
      </c>
      <c r="G64">
        <v>443472.63</v>
      </c>
      <c r="H64">
        <v>536578.62</v>
      </c>
      <c r="I64">
        <v>567097.72</v>
      </c>
      <c r="J64">
        <v>639551.97</v>
      </c>
      <c r="K64">
        <v>827162.51</v>
      </c>
    </row>
    <row r="65" spans="1:11">
      <c r="A65" s="6" t="s">
        <v>73</v>
      </c>
      <c r="B65">
        <v>545897.15</v>
      </c>
      <c r="C65">
        <v>623998.65</v>
      </c>
      <c r="D65">
        <v>672013.4</v>
      </c>
      <c r="E65">
        <v>742608.36</v>
      </c>
      <c r="F65">
        <v>830932.71</v>
      </c>
      <c r="G65">
        <v>923410.94</v>
      </c>
      <c r="H65">
        <v>1026424.37</v>
      </c>
      <c r="I65">
        <v>1174832.92</v>
      </c>
      <c r="J65">
        <v>1307868.19</v>
      </c>
      <c r="K65">
        <v>1521186.07</v>
      </c>
    </row>
    <row r="66" spans="1:11" s="1" customFormat="1">
      <c r="A66" s="1" t="s">
        <v>26</v>
      </c>
      <c r="B66">
        <v>826079.17</v>
      </c>
      <c r="C66">
        <v>918756.2</v>
      </c>
      <c r="D66">
        <v>985724.65</v>
      </c>
      <c r="E66">
        <v>1124281.05</v>
      </c>
      <c r="F66">
        <v>1238793.8899999999</v>
      </c>
      <c r="G66">
        <v>1377292.23</v>
      </c>
      <c r="H66">
        <v>1573812.25</v>
      </c>
      <c r="I66">
        <v>1752637.38</v>
      </c>
      <c r="J66">
        <v>1958490.5</v>
      </c>
      <c r="K66">
        <v>2364063.02</v>
      </c>
    </row>
    <row r="67" spans="1:11" s="6" customFormat="1">
      <c r="A67" s="6" t="s">
        <v>78</v>
      </c>
    </row>
    <row r="68" spans="1:11">
      <c r="A68" s="6" t="s">
        <v>45</v>
      </c>
    </row>
    <row r="69" spans="1:11">
      <c r="A69" s="4" t="s">
        <v>87</v>
      </c>
      <c r="B69">
        <v>47637.17</v>
      </c>
      <c r="C69">
        <v>65035.97</v>
      </c>
      <c r="D69">
        <v>80490.87</v>
      </c>
      <c r="E69">
        <v>88999.13</v>
      </c>
      <c r="F69">
        <v>87390.9</v>
      </c>
      <c r="G69">
        <v>127852.92</v>
      </c>
      <c r="H69">
        <v>147570.53</v>
      </c>
      <c r="I69">
        <v>183125.98</v>
      </c>
      <c r="J69">
        <v>136456.49</v>
      </c>
      <c r="K69">
        <v>162768.9</v>
      </c>
    </row>
    <row r="70" spans="1:11">
      <c r="A70" s="4" t="s">
        <v>74</v>
      </c>
      <c r="B70">
        <v>5797510734</v>
      </c>
      <c r="C70">
        <v>5815034519</v>
      </c>
      <c r="D70">
        <v>5824742224</v>
      </c>
      <c r="E70">
        <v>6428256865</v>
      </c>
      <c r="F70">
        <v>6446505742</v>
      </c>
      <c r="G70">
        <v>6473031292</v>
      </c>
      <c r="H70">
        <v>6916258476</v>
      </c>
      <c r="I70">
        <v>6949037464</v>
      </c>
      <c r="J70">
        <v>6983081820</v>
      </c>
      <c r="K70">
        <v>7022601732</v>
      </c>
    </row>
    <row r="71" spans="1:11">
      <c r="A71" s="4" t="s">
        <v>75</v>
      </c>
      <c r="E71">
        <v>582984544</v>
      </c>
    </row>
    <row r="72" spans="1:11">
      <c r="A72" s="4" t="s">
        <v>88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>
      <c r="A74" s="6"/>
    </row>
    <row r="75" spans="1:11">
      <c r="A75" s="6"/>
    </row>
    <row r="76" spans="1:11">
      <c r="A76" s="6"/>
    </row>
    <row r="77" spans="1:11">
      <c r="A77" s="6"/>
    </row>
    <row r="78" spans="1:11">
      <c r="A78" s="6"/>
    </row>
    <row r="79" spans="1:11">
      <c r="A79" s="6"/>
    </row>
    <row r="80" spans="1:11">
      <c r="A80" s="1" t="s">
        <v>41</v>
      </c>
    </row>
    <row r="81" spans="1:11" s="18" customFormat="1">
      <c r="A81" s="17" t="s">
        <v>38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>
      <c r="A82" s="6" t="s">
        <v>32</v>
      </c>
      <c r="B82">
        <v>-12273.14</v>
      </c>
      <c r="C82">
        <v>23645.32</v>
      </c>
      <c r="D82">
        <v>52635.53</v>
      </c>
      <c r="E82">
        <v>19382.93</v>
      </c>
      <c r="F82">
        <v>48671.05</v>
      </c>
      <c r="G82">
        <v>79564.75</v>
      </c>
      <c r="H82">
        <v>138015.29999999999</v>
      </c>
      <c r="I82">
        <v>58111.43</v>
      </c>
      <c r="J82">
        <v>-3771.19</v>
      </c>
      <c r="K82">
        <v>157284.48000000001</v>
      </c>
    </row>
    <row r="83" spans="1:11" s="6" customFormat="1">
      <c r="A83" s="6" t="s">
        <v>33</v>
      </c>
      <c r="B83">
        <v>-13175.12</v>
      </c>
      <c r="C83">
        <v>-12060.44</v>
      </c>
      <c r="D83">
        <v>-1711.1</v>
      </c>
      <c r="E83">
        <v>-50550.64</v>
      </c>
      <c r="F83">
        <v>-30281.86</v>
      </c>
      <c r="G83">
        <v>-42094.9</v>
      </c>
      <c r="H83">
        <v>-63630.92</v>
      </c>
      <c r="I83">
        <v>-39448.29</v>
      </c>
      <c r="J83">
        <v>-67689.02</v>
      </c>
      <c r="K83">
        <v>-144736.57999999999</v>
      </c>
    </row>
    <row r="84" spans="1:11" s="6" customFormat="1">
      <c r="A84" s="6" t="s">
        <v>34</v>
      </c>
      <c r="B84">
        <v>24827.200000000001</v>
      </c>
      <c r="C84">
        <v>5813.91</v>
      </c>
      <c r="D84">
        <v>-35469.54</v>
      </c>
      <c r="E84">
        <v>39675.97</v>
      </c>
      <c r="F84">
        <v>-19997.43</v>
      </c>
      <c r="G84">
        <v>2992.18</v>
      </c>
      <c r="H84">
        <v>-54666.77</v>
      </c>
      <c r="I84">
        <v>17451</v>
      </c>
      <c r="J84">
        <v>24790.720000000001</v>
      </c>
      <c r="K84">
        <v>13764.51</v>
      </c>
    </row>
    <row r="85" spans="1:11" s="1" customFormat="1">
      <c r="A85" s="6" t="s">
        <v>35</v>
      </c>
      <c r="B85">
        <v>-621.05999999999995</v>
      </c>
      <c r="C85">
        <v>17398.8</v>
      </c>
      <c r="D85">
        <v>15454.9</v>
      </c>
      <c r="E85">
        <v>8508.26</v>
      </c>
      <c r="F85">
        <v>-1608.24</v>
      </c>
      <c r="G85">
        <v>40462.03</v>
      </c>
      <c r="H85">
        <v>19717.61</v>
      </c>
      <c r="I85">
        <v>36114.14</v>
      </c>
      <c r="J85">
        <v>-46669.49</v>
      </c>
      <c r="K85">
        <v>26312.41</v>
      </c>
    </row>
    <row r="86" spans="1:11">
      <c r="A86" s="6"/>
    </row>
    <row r="87" spans="1:11">
      <c r="A87" s="6"/>
    </row>
    <row r="88" spans="1:11">
      <c r="A88" s="6"/>
    </row>
    <row r="89" spans="1:11">
      <c r="A89" s="6"/>
    </row>
    <row r="90" spans="1:11" s="1" customFormat="1">
      <c r="A90" s="1" t="s">
        <v>77</v>
      </c>
      <c r="B90">
        <v>286.82</v>
      </c>
      <c r="C90">
        <v>215.14</v>
      </c>
      <c r="D90">
        <v>251.68</v>
      </c>
      <c r="E90">
        <v>278.35000000000002</v>
      </c>
      <c r="F90">
        <v>400.5</v>
      </c>
      <c r="G90">
        <v>323.75</v>
      </c>
      <c r="H90">
        <v>582.1</v>
      </c>
      <c r="I90">
        <v>730.3</v>
      </c>
      <c r="J90">
        <v>877.25</v>
      </c>
      <c r="K90">
        <v>1093.3</v>
      </c>
    </row>
    <row r="92" spans="1:11" s="1" customFormat="1">
      <c r="A92" s="1" t="s">
        <v>76</v>
      </c>
    </row>
    <row r="93" spans="1:11">
      <c r="A93" s="4" t="s">
        <v>89</v>
      </c>
      <c r="B93" s="24">
        <v>637.70000000000005</v>
      </c>
      <c r="C93" s="24">
        <v>639.62</v>
      </c>
      <c r="D93" s="24">
        <v>640.69000000000005</v>
      </c>
      <c r="E93" s="24">
        <v>642.79999999999995</v>
      </c>
      <c r="F93" s="24">
        <v>644.62</v>
      </c>
      <c r="G93" s="24">
        <v>647.28</v>
      </c>
      <c r="H93" s="24">
        <v>691.6</v>
      </c>
      <c r="I93" s="24">
        <v>694.88</v>
      </c>
      <c r="J93" s="24">
        <v>698.28</v>
      </c>
      <c r="K93" s="24">
        <v>702.23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5"/>
  <sheetViews>
    <sheetView zoomScale="120" zoomScaleNormal="120" zoomScaleSheetLayoutView="100" zoomScalePageLayoutView="120" workbookViewId="0">
      <pane xSplit="1" ySplit="4" topLeftCell="C33" activePane="bottomRight" state="frozen"/>
      <selection activeCell="I2" sqref="I2"/>
      <selection pane="topRight" activeCell="I2" sqref="I2"/>
      <selection pane="bottomLeft" activeCell="I2" sqref="I2"/>
      <selection pane="bottomRight" activeCell="H48" sqref="H48"/>
    </sheetView>
  </sheetViews>
  <sheetFormatPr defaultColWidth="8.77734375" defaultRowHeight="14.4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>
      <c r="A1" s="2" t="str">
        <f>'Data Sheet'!B1</f>
        <v>ICICI BANK LTD</v>
      </c>
      <c r="H1" t="str">
        <f>UPDATE</f>
        <v/>
      </c>
      <c r="J1" s="3"/>
      <c r="K1" s="3"/>
      <c r="M1" s="2" t="s">
        <v>1</v>
      </c>
    </row>
    <row r="3" spans="1:14" s="2" customFormat="1">
      <c r="A3" s="11" t="s">
        <v>2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3</v>
      </c>
      <c r="M3" s="13" t="s">
        <v>4</v>
      </c>
      <c r="N3" s="13" t="s">
        <v>5</v>
      </c>
    </row>
    <row r="4" spans="1:14" s="2" customFormat="1">
      <c r="A4" s="2" t="s">
        <v>6</v>
      </c>
      <c r="B4" s="1">
        <f>'Data Sheet'!B17</f>
        <v>54964</v>
      </c>
      <c r="C4" s="1">
        <f>'Data Sheet'!C17</f>
        <v>59293.71</v>
      </c>
      <c r="D4" s="1">
        <f>'Data Sheet'!D17</f>
        <v>60939.98</v>
      </c>
      <c r="E4" s="1">
        <f>'Data Sheet'!E17</f>
        <v>62162.35</v>
      </c>
      <c r="F4" s="1">
        <f>'Data Sheet'!F17</f>
        <v>71981.649999999994</v>
      </c>
      <c r="G4" s="1">
        <f>'Data Sheet'!G17</f>
        <v>84835.77</v>
      </c>
      <c r="H4" s="1">
        <f>'Data Sheet'!H17</f>
        <v>89162.66</v>
      </c>
      <c r="I4" s="1">
        <f>'Data Sheet'!I17</f>
        <v>95406.87</v>
      </c>
      <c r="J4" s="1">
        <f>'Data Sheet'!J17</f>
        <v>121066.81</v>
      </c>
      <c r="K4" s="1">
        <f>'Data Sheet'!K17</f>
        <v>159515.93</v>
      </c>
      <c r="L4" s="1">
        <f>SUM(Quarters!H4:K4)</f>
        <v>180551.27</v>
      </c>
      <c r="M4" s="1">
        <f>$K4+M23*K4</f>
        <v>210175.95097917339</v>
      </c>
      <c r="N4" s="1">
        <f>$K4+N23*L4</f>
        <v>182207.15493757912</v>
      </c>
    </row>
    <row r="5" spans="1:14">
      <c r="A5" t="s">
        <v>7</v>
      </c>
      <c r="B5" s="6">
        <f>SUM('Data Sheet'!B18,'Data Sheet'!B20:B24, -1*'Data Sheet'!B19)</f>
        <v>38765.949999999997</v>
      </c>
      <c r="C5" s="6">
        <f>SUM('Data Sheet'!C18,'Data Sheet'!C20:C24, -1*'Data Sheet'!C19)</f>
        <v>52251.88</v>
      </c>
      <c r="D5" s="6">
        <f>SUM('Data Sheet'!D18,'Data Sheet'!D20:D24, -1*'Data Sheet'!D19)</f>
        <v>63840.81</v>
      </c>
      <c r="E5" s="6">
        <f>SUM('Data Sheet'!E18,'Data Sheet'!E20:E24, -1*'Data Sheet'!E19)</f>
        <v>72806.44</v>
      </c>
      <c r="F5" s="6">
        <f>SUM('Data Sheet'!F18,'Data Sheet'!F20:F24, -1*'Data Sheet'!F19)</f>
        <v>83774.86</v>
      </c>
      <c r="G5" s="6">
        <f>SUM('Data Sheet'!G18,'Data Sheet'!G20:G24, -1*'Data Sheet'!G19)</f>
        <v>85360.75</v>
      </c>
      <c r="H5" s="6">
        <f>SUM('Data Sheet'!H18,'Data Sheet'!H20:H24, -1*'Data Sheet'!H19)</f>
        <v>91308.97</v>
      </c>
      <c r="I5" s="6">
        <f>SUM('Data Sheet'!I18,'Data Sheet'!I20:I24, -1*'Data Sheet'!I19)</f>
        <v>80798.37</v>
      </c>
      <c r="J5" s="6">
        <f>SUM('Data Sheet'!J18,'Data Sheet'!J20:J24, -1*'Data Sheet'!J19)</f>
        <v>87864.38</v>
      </c>
      <c r="K5" s="6">
        <f>SUM('Data Sheet'!K18,'Data Sheet'!K20:K24, -1*'Data Sheet'!K19)</f>
        <v>99559.99</v>
      </c>
      <c r="L5" s="6">
        <f>SUM(Quarters!H5:K5)</f>
        <v>125722.30000000002</v>
      </c>
      <c r="M5" s="6">
        <f t="shared" ref="M5:N5" si="0">M4-M6</f>
        <v>146350.69563226518</v>
      </c>
      <c r="N5" s="6">
        <f t="shared" si="0"/>
        <v>154429.26437731806</v>
      </c>
    </row>
    <row r="6" spans="1:14" s="2" customFormat="1">
      <c r="A6" s="2" t="s">
        <v>8</v>
      </c>
      <c r="B6" s="1">
        <f>B4-B5</f>
        <v>16198.050000000003</v>
      </c>
      <c r="C6" s="1">
        <f t="shared" ref="C6:K6" si="1">C4-C5</f>
        <v>7041.8300000000017</v>
      </c>
      <c r="D6" s="1">
        <f t="shared" si="1"/>
        <v>-2900.8299999999945</v>
      </c>
      <c r="E6" s="1">
        <f t="shared" si="1"/>
        <v>-10644.090000000004</v>
      </c>
      <c r="F6" s="1">
        <f t="shared" si="1"/>
        <v>-11793.210000000006</v>
      </c>
      <c r="G6" s="1">
        <f t="shared" si="1"/>
        <v>-524.97999999999593</v>
      </c>
      <c r="H6" s="1">
        <f t="shared" si="1"/>
        <v>-2146.3099999999977</v>
      </c>
      <c r="I6" s="1">
        <f t="shared" si="1"/>
        <v>14608.5</v>
      </c>
      <c r="J6" s="1">
        <f t="shared" si="1"/>
        <v>33202.429999999993</v>
      </c>
      <c r="K6" s="1">
        <f t="shared" si="1"/>
        <v>59955.939999999988</v>
      </c>
      <c r="L6" s="1">
        <f>SUM(Quarters!H6:K6)</f>
        <v>54828.969999999994</v>
      </c>
      <c r="M6" s="1">
        <f>M4*M24</f>
        <v>63825.255346908205</v>
      </c>
      <c r="N6" s="1">
        <f>N4*N24</f>
        <v>27777.890560261068</v>
      </c>
    </row>
    <row r="7" spans="1:14">
      <c r="A7" t="s">
        <v>9</v>
      </c>
      <c r="B7" s="6">
        <f>'Data Sheet'!B25</f>
        <v>35252.239999999998</v>
      </c>
      <c r="C7" s="6">
        <f>'Data Sheet'!C25</f>
        <v>42102.14</v>
      </c>
      <c r="D7" s="6">
        <f>'Data Sheet'!D25</f>
        <v>52457.65</v>
      </c>
      <c r="E7" s="6">
        <f>'Data Sheet'!E25</f>
        <v>56806.75</v>
      </c>
      <c r="F7" s="6">
        <f>'Data Sheet'!F25</f>
        <v>59324.85</v>
      </c>
      <c r="G7" s="6">
        <f>'Data Sheet'!G25</f>
        <v>64950.33</v>
      </c>
      <c r="H7" s="6">
        <f>'Data Sheet'!H25</f>
        <v>72173.81</v>
      </c>
      <c r="I7" s="6">
        <f>'Data Sheet'!I25</f>
        <v>62129.45</v>
      </c>
      <c r="J7" s="6">
        <f>'Data Sheet'!J25</f>
        <v>65111.99</v>
      </c>
      <c r="K7" s="6">
        <f>'Data Sheet'!K25</f>
        <v>76521.8</v>
      </c>
      <c r="L7" s="6">
        <f>SUM(Quarters!H7:K7)</f>
        <v>101798.98000000001</v>
      </c>
      <c r="M7" s="6">
        <v>0</v>
      </c>
      <c r="N7" s="6">
        <v>0</v>
      </c>
    </row>
    <row r="8" spans="1:14">
      <c r="A8" t="s">
        <v>10</v>
      </c>
      <c r="B8" s="6">
        <f>'Data Sheet'!B26</f>
        <v>798.22</v>
      </c>
      <c r="C8" s="6">
        <f>'Data Sheet'!C26</f>
        <v>843.11</v>
      </c>
      <c r="D8" s="6">
        <f>'Data Sheet'!D26</f>
        <v>911.64</v>
      </c>
      <c r="E8" s="6">
        <f>'Data Sheet'!E26</f>
        <v>922.14</v>
      </c>
      <c r="F8" s="6">
        <f>'Data Sheet'!F26</f>
        <v>945.84</v>
      </c>
      <c r="G8" s="6">
        <f>'Data Sheet'!G26</f>
        <v>1171.22</v>
      </c>
      <c r="H8" s="6">
        <f>'Data Sheet'!H26</f>
        <v>1340.07</v>
      </c>
      <c r="I8" s="6">
        <f>'Data Sheet'!I26</f>
        <v>1330.01</v>
      </c>
      <c r="J8" s="6">
        <f>'Data Sheet'!J26</f>
        <v>1514.56</v>
      </c>
      <c r="K8" s="6">
        <f>'Data Sheet'!K26</f>
        <v>1935.21</v>
      </c>
      <c r="L8" s="6">
        <f>SUM(Quarters!H8:K8)</f>
        <v>0</v>
      </c>
      <c r="M8" s="6">
        <f>+$L8</f>
        <v>0</v>
      </c>
      <c r="N8" s="6">
        <f>+$L8</f>
        <v>0</v>
      </c>
    </row>
    <row r="9" spans="1:14">
      <c r="A9" t="s">
        <v>11</v>
      </c>
      <c r="B9" s="6">
        <f>'Data Sheet'!B27</f>
        <v>32318.15</v>
      </c>
      <c r="C9" s="6">
        <f>'Data Sheet'!C27</f>
        <v>33996.47</v>
      </c>
      <c r="D9" s="6">
        <f>'Data Sheet'!D27</f>
        <v>34835.83</v>
      </c>
      <c r="E9" s="6">
        <f>'Data Sheet'!E27</f>
        <v>34262.050000000003</v>
      </c>
      <c r="F9" s="6">
        <f>'Data Sheet'!F27</f>
        <v>39177.54</v>
      </c>
      <c r="G9" s="6">
        <f>'Data Sheet'!G27</f>
        <v>44665.52</v>
      </c>
      <c r="H9" s="6">
        <f>'Data Sheet'!H27</f>
        <v>42659.09</v>
      </c>
      <c r="I9" s="6">
        <f>'Data Sheet'!I27</f>
        <v>41166.67</v>
      </c>
      <c r="J9" s="6">
        <f>'Data Sheet'!J27</f>
        <v>50543.39</v>
      </c>
      <c r="K9" s="6">
        <f>'Data Sheet'!K27</f>
        <v>74108.160000000003</v>
      </c>
      <c r="L9" s="6">
        <f>SUM(Quarters!H9:K9)</f>
        <v>86404.06</v>
      </c>
      <c r="M9" s="6">
        <f>+$L9</f>
        <v>86404.06</v>
      </c>
      <c r="N9" s="6">
        <f>+$L9</f>
        <v>86404.06</v>
      </c>
    </row>
    <row r="10" spans="1:14">
      <c r="A10" t="s">
        <v>12</v>
      </c>
      <c r="B10" s="6">
        <f>'Data Sheet'!B28</f>
        <v>18333.919999999998</v>
      </c>
      <c r="C10" s="6">
        <f>'Data Sheet'!C28</f>
        <v>14304.39</v>
      </c>
      <c r="D10" s="6">
        <f>'Data Sheet'!D28</f>
        <v>13809.35</v>
      </c>
      <c r="E10" s="6">
        <f>'Data Sheet'!E28</f>
        <v>10978.47</v>
      </c>
      <c r="F10" s="6">
        <f>'Data Sheet'!F28</f>
        <v>7408.26</v>
      </c>
      <c r="G10" s="6">
        <f>'Data Sheet'!G28</f>
        <v>18588.61</v>
      </c>
      <c r="H10" s="6">
        <f>'Data Sheet'!H28</f>
        <v>26028.34</v>
      </c>
      <c r="I10" s="6">
        <f>'Data Sheet'!I28</f>
        <v>34241.269999999997</v>
      </c>
      <c r="J10" s="6">
        <f>'Data Sheet'!J28</f>
        <v>46256.47</v>
      </c>
      <c r="K10" s="6">
        <f>'Data Sheet'!K28</f>
        <v>60434.37</v>
      </c>
      <c r="L10" s="6">
        <f>SUM(Quarters!H10:K10)</f>
        <v>70223.89</v>
      </c>
      <c r="M10" s="6">
        <f>M6+M7-SUM(M8:M9)</f>
        <v>-22578.804653091793</v>
      </c>
      <c r="N10" s="6">
        <f>N6+N7-SUM(N8:N9)</f>
        <v>-58626.169439738929</v>
      </c>
    </row>
    <row r="11" spans="1:14">
      <c r="A11" t="s">
        <v>13</v>
      </c>
      <c r="B11" s="6">
        <f>'Data Sheet'!B29</f>
        <v>5391.62</v>
      </c>
      <c r="C11" s="6">
        <f>'Data Sheet'!C29</f>
        <v>3377.5</v>
      </c>
      <c r="D11" s="6">
        <f>'Data Sheet'!D29</f>
        <v>2469.02</v>
      </c>
      <c r="E11" s="6">
        <f>'Data Sheet'!E29</f>
        <v>1878.92</v>
      </c>
      <c r="F11" s="6">
        <f>'Data Sheet'!F29</f>
        <v>1719.1</v>
      </c>
      <c r="G11" s="6">
        <f>'Data Sheet'!G29</f>
        <v>7363.14</v>
      </c>
      <c r="H11" s="6">
        <f>'Data Sheet'!H29</f>
        <v>5664.37</v>
      </c>
      <c r="I11" s="6">
        <f>'Data Sheet'!I29</f>
        <v>8457.44</v>
      </c>
      <c r="J11" s="6">
        <f>'Data Sheet'!J29</f>
        <v>11793.44</v>
      </c>
      <c r="K11" s="6">
        <f>'Data Sheet'!K29</f>
        <v>15427.62</v>
      </c>
      <c r="L11" s="6">
        <f>SUM(Quarters!H11:K11)</f>
        <v>17826.43</v>
      </c>
      <c r="M11" s="7">
        <f>IF($L10&gt;0,$L11/$L10,0)</f>
        <v>0.25385136027069993</v>
      </c>
      <c r="N11" s="7">
        <f>IF($L10&gt;0,$L11/$L10,0)</f>
        <v>0.25385136027069993</v>
      </c>
    </row>
    <row r="12" spans="1:14" s="2" customFormat="1">
      <c r="A12" s="2" t="s">
        <v>14</v>
      </c>
      <c r="B12" s="1">
        <f>'Data Sheet'!B30</f>
        <v>12246.87</v>
      </c>
      <c r="C12" s="1">
        <f>'Data Sheet'!C30</f>
        <v>10179.959999999999</v>
      </c>
      <c r="D12" s="1">
        <f>'Data Sheet'!D30</f>
        <v>10188.379999999999</v>
      </c>
      <c r="E12" s="1">
        <f>'Data Sheet'!E30</f>
        <v>7712.19</v>
      </c>
      <c r="F12" s="1">
        <f>'Data Sheet'!F30</f>
        <v>4254.24</v>
      </c>
      <c r="G12" s="1">
        <f>'Data Sheet'!G30</f>
        <v>9566.31</v>
      </c>
      <c r="H12" s="1">
        <f>'Data Sheet'!H30</f>
        <v>18384.32</v>
      </c>
      <c r="I12" s="1">
        <f>'Data Sheet'!I30</f>
        <v>25110.1</v>
      </c>
      <c r="J12" s="1">
        <f>'Data Sheet'!J30</f>
        <v>34036.639999999999</v>
      </c>
      <c r="K12" s="1">
        <f>'Data Sheet'!K30</f>
        <v>44256.37</v>
      </c>
      <c r="L12" s="1">
        <f>SUM(Quarters!H12:K12)</f>
        <v>49198.500000000007</v>
      </c>
      <c r="M12" s="1">
        <f>M10-M11*M10</f>
        <v>-16847.144378618032</v>
      </c>
      <c r="N12" s="1">
        <f>N10-N11*N10</f>
        <v>-43743.836580000665</v>
      </c>
    </row>
    <row r="13" spans="1:14">
      <c r="A13" t="s">
        <v>57</v>
      </c>
      <c r="B13" s="6">
        <f>IF('Data Sheet'!B93&gt;0,B12/'Data Sheet'!B93,0)</f>
        <v>19.204751450525325</v>
      </c>
      <c r="C13" s="6">
        <f>IF('Data Sheet'!C93&gt;0,C12/'Data Sheet'!C93,0)</f>
        <v>15.915637409712016</v>
      </c>
      <c r="D13" s="6">
        <f>IF('Data Sheet'!D93&gt;0,D12/'Data Sheet'!D93,0)</f>
        <v>15.902199191496665</v>
      </c>
      <c r="E13" s="6">
        <f>IF('Data Sheet'!E93&gt;0,E12/'Data Sheet'!E93,0)</f>
        <v>11.997806471686372</v>
      </c>
      <c r="F13" s="6">
        <f>IF('Data Sheet'!F93&gt;0,F12/'Data Sheet'!F93,0)</f>
        <v>6.5996090720114173</v>
      </c>
      <c r="G13" s="6">
        <f>IF('Data Sheet'!G93&gt;0,G12/'Data Sheet'!G93,0)</f>
        <v>14.779245457916202</v>
      </c>
      <c r="H13" s="6">
        <f>IF('Data Sheet'!H93&gt;0,H12/'Data Sheet'!H93,0)</f>
        <v>26.582301908617698</v>
      </c>
      <c r="I13" s="6">
        <f>IF('Data Sheet'!I93&gt;0,I12/'Data Sheet'!I93,0)</f>
        <v>36.135879576329721</v>
      </c>
      <c r="J13" s="6">
        <f>IF('Data Sheet'!J93&gt;0,J12/'Data Sheet'!J93,0)</f>
        <v>48.743541272841838</v>
      </c>
      <c r="K13" s="6">
        <f>IF('Data Sheet'!K93&gt;0,K12/'Data Sheet'!K93,0)</f>
        <v>63.022613673582732</v>
      </c>
      <c r="L13" s="6">
        <f>IF('Data Sheet'!$B6&gt;0,'Profit &amp; Loss'!L12/'Data Sheet'!$B6,0)</f>
        <v>69.601818692872854</v>
      </c>
      <c r="M13" s="6">
        <f>IF('Data Sheet'!$B6&gt;0,'Profit &amp; Loss'!M12/'Data Sheet'!$B6,0)</f>
        <v>-23.833895109266017</v>
      </c>
      <c r="N13" s="6">
        <f>IF('Data Sheet'!$B6&gt;0,'Profit &amp; Loss'!N12/'Data Sheet'!$B6,0)</f>
        <v>-61.885028660871065</v>
      </c>
    </row>
    <row r="14" spans="1:14">
      <c r="A14" t="s">
        <v>16</v>
      </c>
      <c r="B14" s="6">
        <f>IF(B15&gt;0,B15/B13,"")</f>
        <v>14.934845719763498</v>
      </c>
      <c r="C14" s="6">
        <f t="shared" ref="C14:K14" si="2">IF(C15&gt;0,C15/C13,"")</f>
        <v>13.51752333015061</v>
      </c>
      <c r="D14" s="6">
        <f t="shared" si="2"/>
        <v>15.826741758748694</v>
      </c>
      <c r="E14" s="6">
        <f t="shared" si="2"/>
        <v>23.200074168297203</v>
      </c>
      <c r="F14" s="6">
        <f t="shared" si="2"/>
        <v>60.685412670653278</v>
      </c>
      <c r="G14" s="6">
        <f t="shared" si="2"/>
        <v>21.905719133082663</v>
      </c>
      <c r="H14" s="6">
        <f t="shared" si="2"/>
        <v>21.898028319785556</v>
      </c>
      <c r="I14" s="6">
        <f t="shared" si="2"/>
        <v>20.209830466624986</v>
      </c>
      <c r="J14" s="6">
        <f t="shared" si="2"/>
        <v>17.997256192150576</v>
      </c>
      <c r="K14" s="6">
        <f t="shared" si="2"/>
        <v>17.347741330795994</v>
      </c>
      <c r="L14" s="6">
        <f t="shared" ref="L14" si="3">IF(L13&gt;0,L15/L13,0)</f>
        <v>19.204239560149187</v>
      </c>
      <c r="M14" s="6">
        <f>M25</f>
        <v>19.204239560149187</v>
      </c>
      <c r="N14" s="6">
        <f>N25</f>
        <v>18.689766887430189</v>
      </c>
    </row>
    <row r="15" spans="1:14" s="2" customFormat="1">
      <c r="A15" s="2" t="s">
        <v>58</v>
      </c>
      <c r="B15" s="1">
        <f>'Data Sheet'!B90</f>
        <v>286.82</v>
      </c>
      <c r="C15" s="1">
        <f>'Data Sheet'!C90</f>
        <v>215.14</v>
      </c>
      <c r="D15" s="1">
        <f>'Data Sheet'!D90</f>
        <v>251.68</v>
      </c>
      <c r="E15" s="1">
        <f>'Data Sheet'!E90</f>
        <v>278.35000000000002</v>
      </c>
      <c r="F15" s="1">
        <f>'Data Sheet'!F90</f>
        <v>400.5</v>
      </c>
      <c r="G15" s="1">
        <f>'Data Sheet'!G90</f>
        <v>323.75</v>
      </c>
      <c r="H15" s="1">
        <f>'Data Sheet'!H90</f>
        <v>582.1</v>
      </c>
      <c r="I15" s="1">
        <f>'Data Sheet'!I90</f>
        <v>730.3</v>
      </c>
      <c r="J15" s="1">
        <f>'Data Sheet'!J90</f>
        <v>877.25</v>
      </c>
      <c r="K15" s="1">
        <f>'Data Sheet'!K90</f>
        <v>1093.3</v>
      </c>
      <c r="L15" s="1">
        <f>'Data Sheet'!B8</f>
        <v>1336.65</v>
      </c>
      <c r="M15" s="8">
        <f>M13*M14</f>
        <v>-457.71183132981264</v>
      </c>
      <c r="N15" s="9">
        <f>N13*N14</f>
        <v>-1156.6167594936162</v>
      </c>
    </row>
    <row r="17" spans="1:14" s="2" customFormat="1">
      <c r="A17" s="2" t="s">
        <v>15</v>
      </c>
    </row>
    <row r="18" spans="1:14">
      <c r="A18" t="s">
        <v>17</v>
      </c>
      <c r="B18" s="5">
        <f>IF('Data Sheet'!B30&gt;0, 'Data Sheet'!B31/'Data Sheet'!B30, 0)</f>
        <v>0.23672579197786861</v>
      </c>
      <c r="C18" s="5">
        <f>IF('Data Sheet'!C30&gt;0, 'Data Sheet'!C31/'Data Sheet'!C30, 0)</f>
        <v>0.28565141709790609</v>
      </c>
      <c r="D18" s="5">
        <f>IF('Data Sheet'!D30&gt;0, 'Data Sheet'!D31/'Data Sheet'!D30, 0)</f>
        <v>0.14294617986372712</v>
      </c>
      <c r="E18" s="5">
        <f>IF('Data Sheet'!E30&gt;0, 'Data Sheet'!E31/'Data Sheet'!E30, 0)</f>
        <v>0.12504359980757737</v>
      </c>
      <c r="F18" s="5">
        <f>IF('Data Sheet'!F30&gt;0, 'Data Sheet'!F31/'Data Sheet'!F30, 0)</f>
        <v>0.15154998307570802</v>
      </c>
      <c r="G18" s="5">
        <f>IF('Data Sheet'!G30&gt;0, 'Data Sheet'!G31/'Data Sheet'!G30, 0)</f>
        <v>0</v>
      </c>
      <c r="H18" s="5">
        <f>IF('Data Sheet'!H30&gt;0, 'Data Sheet'!H31/'Data Sheet'!H30, 0)</f>
        <v>7.5249451706671772E-2</v>
      </c>
      <c r="I18" s="5">
        <f>IF('Data Sheet'!I30&gt;0, 'Data Sheet'!I31/'Data Sheet'!I30, 0)</f>
        <v>0.13838734214519258</v>
      </c>
      <c r="J18" s="5">
        <f>IF('Data Sheet'!J30&gt;0, 'Data Sheet'!J31/'Data Sheet'!J30, 0)</f>
        <v>0.16415016288329282</v>
      </c>
      <c r="K18" s="5">
        <f>IF('Data Sheet'!K30&gt;0, 'Data Sheet'!K31/'Data Sheet'!K30, 0)</f>
        <v>0.15869805860715641</v>
      </c>
    </row>
    <row r="19" spans="1:14">
      <c r="A19" t="s">
        <v>18</v>
      </c>
      <c r="B19" s="5">
        <f t="shared" ref="B19:L19" si="4">IF(B6&gt;0,B6/B4,0)</f>
        <v>0.29470289644130709</v>
      </c>
      <c r="C19" s="5">
        <f t="shared" ref="C19:K19" si="5">IF(C6&gt;0,C6/C4,0)</f>
        <v>0.11876183831303526</v>
      </c>
      <c r="D19" s="5">
        <f t="shared" si="5"/>
        <v>0</v>
      </c>
      <c r="E19" s="5">
        <f t="shared" si="5"/>
        <v>0</v>
      </c>
      <c r="F19" s="5">
        <f t="shared" si="5"/>
        <v>0</v>
      </c>
      <c r="G19" s="5">
        <f t="shared" si="5"/>
        <v>0</v>
      </c>
      <c r="H19" s="5">
        <f t="shared" si="5"/>
        <v>0</v>
      </c>
      <c r="I19" s="5">
        <f t="shared" si="5"/>
        <v>0.15311790440248171</v>
      </c>
      <c r="J19" s="5">
        <f t="shared" si="5"/>
        <v>0.27424882178691246</v>
      </c>
      <c r="K19" s="5">
        <f t="shared" si="5"/>
        <v>0.37586177129770043</v>
      </c>
      <c r="L19" s="5">
        <f t="shared" si="4"/>
        <v>0.3036753493896775</v>
      </c>
    </row>
    <row r="20" spans="1:1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>
      <c r="A23"/>
      <c r="B23"/>
      <c r="C23"/>
      <c r="D23"/>
      <c r="E23"/>
      <c r="F23"/>
      <c r="G23" t="s">
        <v>22</v>
      </c>
      <c r="H23" s="5">
        <f>IF(B4=0,"",POWER($K4/B4,1/9)-1)</f>
        <v>0.12567745958020193</v>
      </c>
      <c r="I23" s="5">
        <f>IF(D4=0,"",POWER($K4/D4,1/7)-1)</f>
        <v>0.14736144049748057</v>
      </c>
      <c r="J23" s="5">
        <f>IF(F4=0,"",POWER($K4/F4,1/5)-1)</f>
        <v>0.17250972234748474</v>
      </c>
      <c r="K23" s="5">
        <f>IF(H4=0,"",POWER($K4/H4, 1/3)-1)</f>
        <v>0.21396737291579693</v>
      </c>
      <c r="L23" s="5">
        <f>IF(ISERROR(MAX(IF(J4=0,"",(K4-J4)/J4),IF(K4=0,"",(L4-K4)/K4))),"",MAX(IF(J4=0,"",(K4-J4)/J4),IF(K4=0,"",(L4-K4)/K4)))</f>
        <v>0.31758596761573216</v>
      </c>
      <c r="M23" s="16">
        <f>MAX(K23:L23)</f>
        <v>0.31758596761573216</v>
      </c>
      <c r="N23" s="16">
        <f>MIN(H23:L23)</f>
        <v>0.12567745958020193</v>
      </c>
    </row>
    <row r="24" spans="1:14">
      <c r="G24" t="s">
        <v>18</v>
      </c>
      <c r="H24" s="5">
        <f>IF(SUM(B4:$K$4)=0,"",SUMPRODUCT(B19:$K$19,B4:$K$4)/SUM(B4:$K$4))</f>
        <v>0.15245224903367419</v>
      </c>
      <c r="I24" s="5">
        <f>IF(SUM(E4:$K$4)=0,"",SUMPRODUCT(E19:$K$19,E4:$K$4)/SUM(E4:$K$4))</f>
        <v>0.15752349502590168</v>
      </c>
      <c r="J24" s="5">
        <f>IF(SUM(G4:$K$4)=0,"",SUMPRODUCT(G19:$K$19,G4:$K$4)/SUM(G4:$K$4))</f>
        <v>0.19594402452824242</v>
      </c>
      <c r="K24" s="5">
        <f>IF(SUM(I4:$K$4)=0, "", SUMPRODUCT(I19:$K$19,I4:$K$4)/SUM(I4:$K$4))</f>
        <v>0.28662193617531079</v>
      </c>
      <c r="L24" s="5">
        <f>L19</f>
        <v>0.3036753493896775</v>
      </c>
      <c r="M24" s="16">
        <f>MAX(K24:L24)</f>
        <v>0.3036753493896775</v>
      </c>
      <c r="N24" s="16">
        <f>MIN(H24:L24)</f>
        <v>0.15245224903367419</v>
      </c>
    </row>
    <row r="25" spans="1:14">
      <c r="G25" t="s">
        <v>23</v>
      </c>
      <c r="H25" s="6">
        <f>IF(ISERROR(AVERAGEIF(B14:$L14,"&gt;0")),"",AVERAGEIF(B14:$L14,"&gt;0"))</f>
        <v>22.429764786382023</v>
      </c>
      <c r="I25" s="6">
        <f>IF(ISERROR(AVERAGEIF(E14:$L14,"&gt;0")),"",AVERAGEIF(E14:$L14,"&gt;0"))</f>
        <v>25.306037730192429</v>
      </c>
      <c r="J25" s="6">
        <f>IF(ISERROR(AVERAGEIF(G14:$L14,"&gt;0")),"",AVERAGEIF(G14:$L14,"&gt;0"))</f>
        <v>19.760469167098162</v>
      </c>
      <c r="K25" s="6">
        <f>IF(ISERROR(AVERAGEIF(I14:$L14,"&gt;0")),"",AVERAGEIF(I14:$L14,"&gt;0"))</f>
        <v>18.689766887430189</v>
      </c>
      <c r="L25" s="6">
        <f>L14</f>
        <v>19.204239560149187</v>
      </c>
      <c r="M25" s="1">
        <f>MAX(K25:L25)</f>
        <v>19.204239560149187</v>
      </c>
      <c r="N25" s="1">
        <f>MIN(H25:L25)</f>
        <v>18.689766887430189</v>
      </c>
    </row>
    <row r="27" spans="1:14">
      <c r="A27" t="s">
        <v>99</v>
      </c>
      <c r="C27" s="36">
        <f>C4/B4-1</f>
        <v>7.8773560876209903E-2</v>
      </c>
      <c r="D27" s="36">
        <f t="shared" ref="D27:K27" si="6">D4/C4-1</f>
        <v>2.7764665088421792E-2</v>
      </c>
      <c r="E27" s="36">
        <f t="shared" si="6"/>
        <v>2.0058588795073273E-2</v>
      </c>
      <c r="F27" s="36">
        <f t="shared" si="6"/>
        <v>0.15796217485342812</v>
      </c>
      <c r="G27" s="36">
        <f t="shared" si="6"/>
        <v>0.17857495625621267</v>
      </c>
      <c r="H27" s="36">
        <f t="shared" si="6"/>
        <v>5.1003132287241515E-2</v>
      </c>
      <c r="I27" s="36">
        <f t="shared" si="6"/>
        <v>7.0031670208134056E-2</v>
      </c>
      <c r="J27" s="36">
        <f t="shared" si="6"/>
        <v>0.26895274941940772</v>
      </c>
      <c r="K27" s="36">
        <f t="shared" si="6"/>
        <v>0.31758596761573221</v>
      </c>
    </row>
    <row r="28" spans="1:14">
      <c r="A28" t="s">
        <v>100</v>
      </c>
      <c r="B28">
        <f>'Data Sheet'!B17-'Data Sheet'!B21</f>
        <v>53955.72</v>
      </c>
      <c r="C28">
        <f>'Data Sheet'!C17-'Data Sheet'!C21</f>
        <v>58139.68</v>
      </c>
      <c r="D28">
        <f>'Data Sheet'!D17-'Data Sheet'!D21</f>
        <v>59599.57</v>
      </c>
      <c r="E28">
        <f>'Data Sheet'!E17-'Data Sheet'!E21</f>
        <v>60442.01</v>
      </c>
      <c r="F28">
        <f>'Data Sheet'!F17-'Data Sheet'!F21</f>
        <v>70203.09</v>
      </c>
      <c r="G28">
        <f>'Data Sheet'!G17-'Data Sheet'!G21</f>
        <v>82819.77</v>
      </c>
      <c r="H28">
        <f>'Data Sheet'!H17-'Data Sheet'!H21</f>
        <v>86984.14</v>
      </c>
      <c r="I28">
        <f>'Data Sheet'!I17-'Data Sheet'!I21</f>
        <v>92707.4</v>
      </c>
      <c r="J28">
        <f>'Data Sheet'!J17-'Data Sheet'!J21</f>
        <v>117602.39</v>
      </c>
      <c r="K28">
        <f>'Data Sheet'!K17-'Data Sheet'!K21</f>
        <v>155898.75</v>
      </c>
    </row>
    <row r="29" spans="1:14">
      <c r="A29" t="s">
        <v>101</v>
      </c>
      <c r="B29" s="5">
        <f>B28/B4</f>
        <v>0.98165562913907289</v>
      </c>
      <c r="C29" s="5">
        <f t="shared" ref="C29:K29" si="7">C28/C4</f>
        <v>0.98053705865259566</v>
      </c>
      <c r="D29" s="5">
        <f t="shared" si="7"/>
        <v>0.97800442336869808</v>
      </c>
      <c r="E29" s="5">
        <f t="shared" si="7"/>
        <v>0.97232504884387416</v>
      </c>
      <c r="F29" s="5">
        <f t="shared" si="7"/>
        <v>0.97529148053705361</v>
      </c>
      <c r="G29" s="5">
        <f t="shared" si="7"/>
        <v>0.97623643894550616</v>
      </c>
      <c r="H29" s="5">
        <f t="shared" si="7"/>
        <v>0.97556690210902186</v>
      </c>
      <c r="I29" s="5">
        <f t="shared" si="7"/>
        <v>0.97170570630815156</v>
      </c>
      <c r="J29" s="5">
        <f t="shared" si="7"/>
        <v>0.97138422991404505</v>
      </c>
      <c r="K29" s="5">
        <f t="shared" si="7"/>
        <v>0.97732402024048637</v>
      </c>
    </row>
    <row r="30" spans="1:14">
      <c r="A30" t="s">
        <v>103</v>
      </c>
      <c r="B30" s="5">
        <f>B6/B4</f>
        <v>0.29470289644130709</v>
      </c>
      <c r="C30" s="5">
        <f t="shared" ref="C30:K30" si="8">C6/C4</f>
        <v>0.11876183831303526</v>
      </c>
      <c r="D30" s="5">
        <f t="shared" si="8"/>
        <v>-4.7601426846546294E-2</v>
      </c>
      <c r="E30" s="5">
        <f t="shared" si="8"/>
        <v>-0.17123049562958936</v>
      </c>
      <c r="F30" s="5">
        <f t="shared" si="8"/>
        <v>-0.16383633884469176</v>
      </c>
      <c r="G30" s="5">
        <f t="shared" si="8"/>
        <v>-6.1881916083274292E-3</v>
      </c>
      <c r="H30" s="5">
        <f t="shared" si="8"/>
        <v>-2.4071848013506973E-2</v>
      </c>
      <c r="I30" s="5">
        <f t="shared" si="8"/>
        <v>0.15311790440248171</v>
      </c>
      <c r="J30" s="5">
        <f t="shared" si="8"/>
        <v>0.27424882178691246</v>
      </c>
      <c r="K30" s="5">
        <f t="shared" si="8"/>
        <v>0.37586177129770043</v>
      </c>
    </row>
    <row r="31" spans="1:14">
      <c r="A31" t="s">
        <v>105</v>
      </c>
      <c r="B31" s="5">
        <f>(B6-B8)/B4</f>
        <v>0.28018029983261777</v>
      </c>
      <c r="C31" s="5">
        <f t="shared" ref="C31:K31" si="9">(C6-C8)/C4</f>
        <v>0.10454262349244131</v>
      </c>
      <c r="D31" s="5">
        <f t="shared" si="9"/>
        <v>-6.2561064181510959E-2</v>
      </c>
      <c r="E31" s="5">
        <f t="shared" si="9"/>
        <v>-0.18606487689091553</v>
      </c>
      <c r="F31" s="5">
        <f t="shared" si="9"/>
        <v>-0.17697635439032042</v>
      </c>
      <c r="G31" s="5">
        <f t="shared" si="9"/>
        <v>-1.9993924732456557E-2</v>
      </c>
      <c r="H31" s="5">
        <f t="shared" si="9"/>
        <v>-3.9101345787575174E-2</v>
      </c>
      <c r="I31" s="5">
        <f t="shared" si="9"/>
        <v>0.13917750367452575</v>
      </c>
      <c r="J31" s="5">
        <f t="shared" si="9"/>
        <v>0.26173870443930913</v>
      </c>
      <c r="K31" s="5">
        <f t="shared" si="9"/>
        <v>0.36373000489668955</v>
      </c>
    </row>
    <row r="32" spans="1:14">
      <c r="A32" t="s">
        <v>107</v>
      </c>
      <c r="B32" s="5">
        <f>B12/B4</f>
        <v>0.22281620697183613</v>
      </c>
      <c r="C32" s="5">
        <f t="shared" ref="C32:K32" si="10">C12/C4</f>
        <v>0.17168701368155237</v>
      </c>
      <c r="D32" s="5">
        <f t="shared" si="10"/>
        <v>0.16718712411786152</v>
      </c>
      <c r="E32" s="5">
        <f t="shared" si="10"/>
        <v>0.1240652903244488</v>
      </c>
      <c r="F32" s="5">
        <f t="shared" si="10"/>
        <v>5.9101729399089906E-2</v>
      </c>
      <c r="G32" s="5">
        <f t="shared" si="10"/>
        <v>0.11276269432103933</v>
      </c>
      <c r="H32" s="5">
        <f t="shared" si="10"/>
        <v>0.20618855471561748</v>
      </c>
      <c r="I32" s="5">
        <f t="shared" si="10"/>
        <v>0.26318964242302467</v>
      </c>
      <c r="J32" s="5">
        <f t="shared" si="10"/>
        <v>0.28113931473043685</v>
      </c>
      <c r="K32" s="5">
        <f t="shared" si="10"/>
        <v>0.2774416950081412</v>
      </c>
    </row>
    <row r="33" spans="1:11">
      <c r="A33" t="s">
        <v>111</v>
      </c>
      <c r="C33" s="5">
        <f>C13/B13-1</f>
        <v>-0.17126563961458297</v>
      </c>
      <c r="D33" s="5">
        <f t="shared" ref="D33:K33" si="11">D13/C13-1</f>
        <v>-8.4434056075888275E-4</v>
      </c>
      <c r="E33" s="5">
        <f t="shared" si="11"/>
        <v>-0.24552533098051477</v>
      </c>
      <c r="F33" s="5">
        <f t="shared" si="11"/>
        <v>-0.44993202819316702</v>
      </c>
      <c r="G33" s="5">
        <f t="shared" si="11"/>
        <v>1.2394122586130409</v>
      </c>
      <c r="H33" s="5">
        <f t="shared" si="11"/>
        <v>0.79862375141617448</v>
      </c>
      <c r="I33" s="5">
        <f t="shared" si="11"/>
        <v>0.35939617646938449</v>
      </c>
      <c r="J33" s="5">
        <f t="shared" si="11"/>
        <v>0.34889594066420848</v>
      </c>
      <c r="K33" s="5">
        <f t="shared" si="11"/>
        <v>0.2929428602820181</v>
      </c>
    </row>
    <row r="34" spans="1:11">
      <c r="A34" t="s">
        <v>112</v>
      </c>
      <c r="B34" s="32">
        <f>B13*B18</f>
        <v>4.5462599968637285</v>
      </c>
      <c r="C34" s="32">
        <f t="shared" ref="C34:K34" si="12">C13*C18</f>
        <v>4.5463243801006845</v>
      </c>
      <c r="D34" s="32">
        <f t="shared" si="12"/>
        <v>2.2731586258564982</v>
      </c>
      <c r="E34" s="32">
        <f t="shared" si="12"/>
        <v>1.5002489110143127</v>
      </c>
      <c r="F34" s="32">
        <f t="shared" si="12"/>
        <v>1.0001706431696193</v>
      </c>
      <c r="G34" s="32">
        <f t="shared" si="12"/>
        <v>0</v>
      </c>
      <c r="H34" s="32">
        <f t="shared" si="12"/>
        <v>2.0003036437246964</v>
      </c>
      <c r="I34" s="32">
        <f t="shared" si="12"/>
        <v>5.000748330647018</v>
      </c>
      <c r="J34" s="32">
        <f t="shared" si="12"/>
        <v>8.001260239445493</v>
      </c>
      <c r="K34" s="32">
        <f t="shared" si="12"/>
        <v>10.00156643834641</v>
      </c>
    </row>
    <row r="35" spans="1:11">
      <c r="A35" t="s">
        <v>114</v>
      </c>
      <c r="B35" s="5">
        <f>C34/B34-1</f>
        <v>1.4161802668555268E-5</v>
      </c>
      <c r="C35" s="5">
        <f t="shared" ref="C35:K35" si="13">D34/C34-1</f>
        <v>-0.50000078397262193</v>
      </c>
      <c r="D35" s="5">
        <f t="shared" si="13"/>
        <v>-0.34001574111483868</v>
      </c>
      <c r="E35" s="5">
        <f t="shared" si="13"/>
        <v>-0.33333019885786308</v>
      </c>
      <c r="F35" s="5">
        <f t="shared" si="13"/>
        <v>-1</v>
      </c>
      <c r="G35" s="5" t="e">
        <f t="shared" si="13"/>
        <v>#DIV/0!</v>
      </c>
      <c r="H35" s="5">
        <f t="shared" si="13"/>
        <v>1.4999946114857328</v>
      </c>
      <c r="I35" s="5">
        <f t="shared" si="13"/>
        <v>0.6000125801992231</v>
      </c>
      <c r="J35" s="5">
        <f t="shared" si="13"/>
        <v>0.24999889255439878</v>
      </c>
      <c r="K35" s="5">
        <f t="shared" si="13"/>
        <v>-1</v>
      </c>
    </row>
    <row r="39" spans="1:11">
      <c r="A39" t="s">
        <v>79</v>
      </c>
      <c r="B39" s="35">
        <f>'Data Sheet'!B93*'Data Sheet'!B90</f>
        <v>182905.114</v>
      </c>
      <c r="C39" s="35">
        <f>'Data Sheet'!C93*'Data Sheet'!C90</f>
        <v>137607.8468</v>
      </c>
      <c r="D39" s="35">
        <f>'Data Sheet'!D93*'Data Sheet'!D90</f>
        <v>161248.85920000001</v>
      </c>
      <c r="E39" s="35">
        <f>'Data Sheet'!E93*'Data Sheet'!E90</f>
        <v>178923.38</v>
      </c>
      <c r="F39" s="35">
        <f>'Data Sheet'!F93*'Data Sheet'!F90</f>
        <v>258170.31</v>
      </c>
      <c r="G39" s="35">
        <f>'Data Sheet'!G93*'Data Sheet'!G90</f>
        <v>209556.9</v>
      </c>
      <c r="H39" s="35">
        <f>'Data Sheet'!H93*'Data Sheet'!H90</f>
        <v>402580.36000000004</v>
      </c>
      <c r="I39" s="35">
        <f>'Data Sheet'!I93*'Data Sheet'!I90</f>
        <v>507470.86399999994</v>
      </c>
      <c r="J39" s="35">
        <f>'Data Sheet'!J93*'Data Sheet'!J90</f>
        <v>612566.13</v>
      </c>
      <c r="K39" s="35">
        <f>'Data Sheet'!K93*'Data Sheet'!K90</f>
        <v>767748.05900000001</v>
      </c>
    </row>
    <row r="40" spans="1:11">
      <c r="A40" t="s">
        <v>116</v>
      </c>
      <c r="B40" s="32">
        <f>'Balance Sheet'!B6</f>
        <v>597207.25</v>
      </c>
      <c r="C40" s="32">
        <f>'Balance Sheet'!C6</f>
        <v>671455.05</v>
      </c>
      <c r="D40" s="32">
        <f>'Balance Sheet'!D6</f>
        <v>700874.02</v>
      </c>
      <c r="E40" s="32">
        <f>'Balance Sheet'!E6</f>
        <v>815197.94</v>
      </c>
      <c r="F40" s="32">
        <f>'Balance Sheet'!F6</f>
        <v>891641.06</v>
      </c>
      <c r="G40" s="32">
        <f>'Balance Sheet'!G6</f>
        <v>1014636.24</v>
      </c>
      <c r="H40" s="32">
        <f>'Balance Sheet'!H6</f>
        <v>1103839.96</v>
      </c>
      <c r="I40" s="32">
        <f>'Balance Sheet'!I6</f>
        <v>1252968.47</v>
      </c>
      <c r="J40" s="32">
        <f>'Balance Sheet'!J6</f>
        <v>1399893.96</v>
      </c>
      <c r="K40" s="32">
        <f>'Balance Sheet'!K6</f>
        <v>1651007.95</v>
      </c>
    </row>
    <row r="41" spans="1:11">
      <c r="A41" t="s">
        <v>117</v>
      </c>
      <c r="B41">
        <f>'Data Sheet'!B69</f>
        <v>47637.17</v>
      </c>
      <c r="C41">
        <f>'Data Sheet'!C69</f>
        <v>65035.97</v>
      </c>
      <c r="D41">
        <f>'Data Sheet'!D69</f>
        <v>80490.87</v>
      </c>
      <c r="E41">
        <f>'Data Sheet'!E69</f>
        <v>88999.13</v>
      </c>
      <c r="F41">
        <f>'Data Sheet'!F69</f>
        <v>87390.9</v>
      </c>
      <c r="G41">
        <f>'Data Sheet'!G69</f>
        <v>127852.92</v>
      </c>
      <c r="H41">
        <f>'Data Sheet'!H69</f>
        <v>147570.53</v>
      </c>
      <c r="I41">
        <f>'Data Sheet'!I69</f>
        <v>183125.98</v>
      </c>
      <c r="J41">
        <f>'Data Sheet'!J69</f>
        <v>136456.49</v>
      </c>
      <c r="K41">
        <f>'Data Sheet'!K69</f>
        <v>162768.9</v>
      </c>
    </row>
    <row r="42" spans="1:11">
      <c r="A42" t="s">
        <v>118</v>
      </c>
      <c r="B42" s="32">
        <f>B39+B40-B41</f>
        <v>732475.19400000002</v>
      </c>
      <c r="C42" s="32">
        <f t="shared" ref="C42:K42" si="14">C39+C40-C41</f>
        <v>744026.92680000002</v>
      </c>
      <c r="D42" s="32">
        <f t="shared" si="14"/>
        <v>781632.00920000009</v>
      </c>
      <c r="E42" s="32">
        <f t="shared" si="14"/>
        <v>905122.19</v>
      </c>
      <c r="F42" s="32">
        <f t="shared" si="14"/>
        <v>1062420.4700000002</v>
      </c>
      <c r="G42" s="32">
        <f t="shared" si="14"/>
        <v>1096340.22</v>
      </c>
      <c r="H42" s="32">
        <f t="shared" si="14"/>
        <v>1358849.79</v>
      </c>
      <c r="I42" s="32">
        <f t="shared" si="14"/>
        <v>1577313.3539999998</v>
      </c>
      <c r="J42" s="32">
        <f t="shared" si="14"/>
        <v>1876003.5999999999</v>
      </c>
      <c r="K42" s="32">
        <f t="shared" si="14"/>
        <v>2255987.1090000002</v>
      </c>
    </row>
    <row r="43" spans="1:11">
      <c r="A43" t="s">
        <v>119</v>
      </c>
      <c r="B43" s="35">
        <f>B42/B6</f>
        <v>45.219961291636949</v>
      </c>
      <c r="C43" s="35">
        <f t="shared" ref="C43:K43" si="15">C42/C6</f>
        <v>105.65817788841818</v>
      </c>
      <c r="D43" s="35">
        <f t="shared" si="15"/>
        <v>-269.45116025413472</v>
      </c>
      <c r="E43" s="35">
        <f t="shared" si="15"/>
        <v>-85.035187601758309</v>
      </c>
      <c r="F43" s="35">
        <f t="shared" si="15"/>
        <v>-90.087471519628636</v>
      </c>
      <c r="G43" s="35">
        <f t="shared" si="15"/>
        <v>-2088.3466417768459</v>
      </c>
      <c r="H43" s="35">
        <f t="shared" si="15"/>
        <v>-633.10975115430745</v>
      </c>
      <c r="I43" s="35">
        <f t="shared" si="15"/>
        <v>107.97230064688365</v>
      </c>
      <c r="J43" s="35">
        <f t="shared" si="15"/>
        <v>56.501996992388818</v>
      </c>
      <c r="K43" s="35">
        <f t="shared" si="15"/>
        <v>37.627416215974606</v>
      </c>
    </row>
    <row r="44" spans="1:11">
      <c r="A44" t="s">
        <v>120</v>
      </c>
      <c r="B44" s="38">
        <f>B42/B4</f>
        <v>13.3264535696092</v>
      </c>
      <c r="C44" s="38">
        <f t="shared" ref="C44:K44" si="16">C42/C4</f>
        <v>12.548159438834238</v>
      </c>
      <c r="D44" s="38">
        <f t="shared" si="16"/>
        <v>12.826259693554215</v>
      </c>
      <c r="E44" s="38">
        <f t="shared" si="16"/>
        <v>14.560617319004187</v>
      </c>
      <c r="F44" s="38">
        <f t="shared" si="16"/>
        <v>14.759601509551397</v>
      </c>
      <c r="G44" s="38">
        <f t="shared" si="16"/>
        <v>12.923089163922246</v>
      </c>
      <c r="H44" s="38">
        <f t="shared" si="16"/>
        <v>15.240121705655708</v>
      </c>
      <c r="I44" s="38">
        <f t="shared" si="16"/>
        <v>16.532492408565545</v>
      </c>
      <c r="J44" s="38">
        <f t="shared" si="16"/>
        <v>15.495606103770307</v>
      </c>
      <c r="K44" s="38">
        <f t="shared" si="16"/>
        <v>14.142707308292032</v>
      </c>
    </row>
    <row r="45" spans="1:11">
      <c r="A45" t="s">
        <v>122</v>
      </c>
      <c r="B45" s="32">
        <f>B39/'Balance Sheet'!D27</f>
        <v>1.7480800711063538</v>
      </c>
      <c r="C45" s="32">
        <f>C39/'Balance Sheet'!E27</f>
        <v>1.2438598929582201</v>
      </c>
      <c r="D45" s="32">
        <f>D39/'Balance Sheet'!F27</f>
        <v>1.4113264470618427</v>
      </c>
      <c r="E45" s="32">
        <f>E39/'Balance Sheet'!G27</f>
        <v>1.4551341305461303</v>
      </c>
      <c r="F45" s="32">
        <f>F39/'Balance Sheet'!H27</f>
        <v>1.6382664234155628</v>
      </c>
      <c r="G45" s="32">
        <f>G39/'Balance Sheet'!I27</f>
        <v>1.1510795595270353</v>
      </c>
      <c r="H45" s="32">
        <f>H39/'Balance Sheet'!J27</f>
        <v>1.8768508524027219</v>
      </c>
      <c r="I45" s="32">
        <f>I39/'Balance Sheet'!K27</f>
        <v>1.981194878627571</v>
      </c>
      <c r="J45" s="32">
        <f>J39/'Balance Sheet'!J27</f>
        <v>2.8558155774005876</v>
      </c>
      <c r="K45" s="32">
        <f>K39/'Balance Sheet'!K27</f>
        <v>2.9973317297031232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5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customWidth="1"/>
    <col min="2" max="11" width="13.44140625" bestFit="1" customWidth="1"/>
  </cols>
  <sheetData>
    <row r="1" spans="1:11" s="2" customFormat="1">
      <c r="A1" s="2" t="str">
        <f>'Profit &amp; Loss'!A1</f>
        <v>ICICI BANK LTD</v>
      </c>
      <c r="E1" t="str">
        <f>UPDATE</f>
        <v/>
      </c>
      <c r="J1" s="2" t="s">
        <v>1</v>
      </c>
    </row>
    <row r="3" spans="1:11" s="2" customFormat="1">
      <c r="A3" s="11" t="s">
        <v>2</v>
      </c>
      <c r="B3" s="12">
        <f>'Data Sheet'!B41</f>
        <v>44834</v>
      </c>
      <c r="C3" s="12">
        <f>'Data Sheet'!C41</f>
        <v>44926</v>
      </c>
      <c r="D3" s="12">
        <f>'Data Sheet'!D41</f>
        <v>45016</v>
      </c>
      <c r="E3" s="12">
        <f>'Data Sheet'!E41</f>
        <v>45107</v>
      </c>
      <c r="F3" s="12">
        <f>'Data Sheet'!F41</f>
        <v>45199</v>
      </c>
      <c r="G3" s="12">
        <f>'Data Sheet'!G41</f>
        <v>45291</v>
      </c>
      <c r="H3" s="12">
        <f>'Data Sheet'!H41</f>
        <v>45382</v>
      </c>
      <c r="I3" s="12">
        <f>'Data Sheet'!I41</f>
        <v>45473</v>
      </c>
      <c r="J3" s="12">
        <f>'Data Sheet'!J41</f>
        <v>45565</v>
      </c>
      <c r="K3" s="12">
        <f>'Data Sheet'!K41</f>
        <v>45657</v>
      </c>
    </row>
    <row r="4" spans="1:11" s="2" customFormat="1">
      <c r="A4" s="2" t="s">
        <v>6</v>
      </c>
      <c r="B4" s="1">
        <f>'Data Sheet'!B42</f>
        <v>28850.49</v>
      </c>
      <c r="C4" s="1">
        <f>'Data Sheet'!C42</f>
        <v>31618.81</v>
      </c>
      <c r="D4" s="1">
        <f>'Data Sheet'!D42</f>
        <v>34438.910000000003</v>
      </c>
      <c r="E4" s="1">
        <f>'Data Sheet'!E42</f>
        <v>37105.89</v>
      </c>
      <c r="F4" s="1">
        <f>'Data Sheet'!F42</f>
        <v>38938.080000000002</v>
      </c>
      <c r="G4" s="1">
        <f>'Data Sheet'!G42</f>
        <v>40865.230000000003</v>
      </c>
      <c r="H4" s="1">
        <f>'Data Sheet'!H42</f>
        <v>42606.720000000001</v>
      </c>
      <c r="I4" s="1">
        <f>'Data Sheet'!I42</f>
        <v>44581.65</v>
      </c>
      <c r="J4" s="1">
        <f>'Data Sheet'!J42</f>
        <v>46325.78</v>
      </c>
      <c r="K4" s="1">
        <f>'Data Sheet'!K42</f>
        <v>47037.120000000003</v>
      </c>
    </row>
    <row r="5" spans="1:11">
      <c r="A5" t="s">
        <v>7</v>
      </c>
      <c r="B5" s="6">
        <f>'Data Sheet'!B43</f>
        <v>22336.31</v>
      </c>
      <c r="C5" s="6">
        <f>'Data Sheet'!C43</f>
        <v>22946.02</v>
      </c>
      <c r="D5" s="6">
        <f>'Data Sheet'!D43</f>
        <v>25959.14</v>
      </c>
      <c r="E5" s="6">
        <f>'Data Sheet'!E43</f>
        <v>21401.71</v>
      </c>
      <c r="F5" s="6">
        <f>'Data Sheet'!F43</f>
        <v>24560.02</v>
      </c>
      <c r="G5" s="6">
        <f>'Data Sheet'!G43</f>
        <v>24929.14</v>
      </c>
      <c r="H5" s="6">
        <f>'Data Sheet'!H43</f>
        <v>30604.33</v>
      </c>
      <c r="I5" s="6">
        <f>'Data Sheet'!I43</f>
        <v>29387.05</v>
      </c>
      <c r="J5" s="6">
        <f>'Data Sheet'!J43</f>
        <v>32220.79</v>
      </c>
      <c r="K5" s="6">
        <f>'Data Sheet'!K43</f>
        <v>33510.129999999997</v>
      </c>
    </row>
    <row r="6" spans="1:11" s="2" customFormat="1">
      <c r="A6" s="2" t="s">
        <v>8</v>
      </c>
      <c r="B6" s="1">
        <f>'Data Sheet'!B50</f>
        <v>6514.18</v>
      </c>
      <c r="C6" s="1">
        <f>'Data Sheet'!C50</f>
        <v>8672.7900000000009</v>
      </c>
      <c r="D6" s="1">
        <f>'Data Sheet'!D50</f>
        <v>8479.77</v>
      </c>
      <c r="E6" s="1">
        <f>'Data Sheet'!E50</f>
        <v>15704.18</v>
      </c>
      <c r="F6" s="1">
        <f>'Data Sheet'!F50</f>
        <v>14378.06</v>
      </c>
      <c r="G6" s="1">
        <f>'Data Sheet'!G50</f>
        <v>15936.09</v>
      </c>
      <c r="H6" s="1">
        <f>'Data Sheet'!H50</f>
        <v>12002.39</v>
      </c>
      <c r="I6" s="1">
        <f>'Data Sheet'!I50</f>
        <v>15194.6</v>
      </c>
      <c r="J6" s="1">
        <f>'Data Sheet'!J50</f>
        <v>14104.99</v>
      </c>
      <c r="K6" s="1">
        <f>'Data Sheet'!K50</f>
        <v>13526.99</v>
      </c>
    </row>
    <row r="7" spans="1:11">
      <c r="A7" t="s">
        <v>9</v>
      </c>
      <c r="B7" s="6">
        <f>'Data Sheet'!B44</f>
        <v>16634.25</v>
      </c>
      <c r="C7" s="6">
        <f>'Data Sheet'!C44</f>
        <v>16470.13</v>
      </c>
      <c r="D7" s="6">
        <f>'Data Sheet'!D44</f>
        <v>19734.91</v>
      </c>
      <c r="E7" s="6">
        <f>'Data Sheet'!E44</f>
        <v>15229.15</v>
      </c>
      <c r="F7" s="6">
        <f>'Data Sheet'!F44</f>
        <v>18689.63</v>
      </c>
      <c r="G7" s="6">
        <f>'Data Sheet'!G44</f>
        <v>18874.490000000002</v>
      </c>
      <c r="H7" s="6">
        <f>'Data Sheet'!H44</f>
        <v>24802.3</v>
      </c>
      <c r="I7" s="6">
        <f>'Data Sheet'!I44</f>
        <v>22745.279999999999</v>
      </c>
      <c r="J7" s="6">
        <f>'Data Sheet'!J44</f>
        <v>26661.96</v>
      </c>
      <c r="K7" s="6">
        <f>'Data Sheet'!K44</f>
        <v>27589.439999999999</v>
      </c>
    </row>
    <row r="8" spans="1:11">
      <c r="A8" t="s">
        <v>10</v>
      </c>
      <c r="B8" s="6">
        <f>'Data Sheet'!B45</f>
        <v>0</v>
      </c>
      <c r="C8" s="6">
        <f>'Data Sheet'!C45</f>
        <v>0</v>
      </c>
      <c r="D8" s="6">
        <f>'Data Sheet'!D45</f>
        <v>0</v>
      </c>
      <c r="E8" s="6">
        <f>'Data Sheet'!E45</f>
        <v>0</v>
      </c>
      <c r="F8" s="6">
        <f>'Data Sheet'!F45</f>
        <v>0</v>
      </c>
      <c r="G8" s="6">
        <f>'Data Sheet'!G45</f>
        <v>0</v>
      </c>
      <c r="H8" s="6">
        <f>'Data Sheet'!H45</f>
        <v>0</v>
      </c>
      <c r="I8" s="6">
        <f>'Data Sheet'!I45</f>
        <v>0</v>
      </c>
      <c r="J8" s="6">
        <f>'Data Sheet'!J45</f>
        <v>0</v>
      </c>
      <c r="K8" s="6">
        <f>'Data Sheet'!K45</f>
        <v>0</v>
      </c>
    </row>
    <row r="9" spans="1:11">
      <c r="A9" t="s">
        <v>11</v>
      </c>
      <c r="B9" s="6">
        <f>'Data Sheet'!B46</f>
        <v>11996.97</v>
      </c>
      <c r="C9" s="6">
        <f>'Data Sheet'!C46</f>
        <v>12977.89</v>
      </c>
      <c r="D9" s="6">
        <f>'Data Sheet'!D46</f>
        <v>14479.47</v>
      </c>
      <c r="E9" s="6">
        <f>'Data Sheet'!E46</f>
        <v>16367.66</v>
      </c>
      <c r="F9" s="6">
        <f>'Data Sheet'!F46</f>
        <v>17908.009999999998</v>
      </c>
      <c r="G9" s="6">
        <f>'Data Sheet'!G46</f>
        <v>19408.759999999998</v>
      </c>
      <c r="H9" s="6">
        <f>'Data Sheet'!H46</f>
        <v>20423.73</v>
      </c>
      <c r="I9" s="6">
        <f>'Data Sheet'!I46</f>
        <v>21121.62</v>
      </c>
      <c r="J9" s="6">
        <f>'Data Sheet'!J46</f>
        <v>22225.3</v>
      </c>
      <c r="K9" s="6">
        <f>'Data Sheet'!K46</f>
        <v>22633.41</v>
      </c>
    </row>
    <row r="10" spans="1:11">
      <c r="A10" t="s">
        <v>12</v>
      </c>
      <c r="B10" s="6">
        <f>'Data Sheet'!B47</f>
        <v>11151.46</v>
      </c>
      <c r="C10" s="6">
        <f>'Data Sheet'!C47</f>
        <v>12165.03</v>
      </c>
      <c r="D10" s="6">
        <f>'Data Sheet'!D47</f>
        <v>13735.21</v>
      </c>
      <c r="E10" s="6">
        <f>'Data Sheet'!E47</f>
        <v>14565.67</v>
      </c>
      <c r="F10" s="6">
        <f>'Data Sheet'!F47</f>
        <v>15159.68</v>
      </c>
      <c r="G10" s="6">
        <f>'Data Sheet'!G47</f>
        <v>15401.82</v>
      </c>
      <c r="H10" s="6">
        <f>'Data Sheet'!H47</f>
        <v>16380.96</v>
      </c>
      <c r="I10" s="6">
        <f>'Data Sheet'!I47</f>
        <v>16818.259999999998</v>
      </c>
      <c r="J10" s="6">
        <f>'Data Sheet'!J47</f>
        <v>18541.650000000001</v>
      </c>
      <c r="K10" s="6">
        <f>'Data Sheet'!K47</f>
        <v>18483.02</v>
      </c>
    </row>
    <row r="11" spans="1:11">
      <c r="A11" t="s">
        <v>13</v>
      </c>
      <c r="B11" s="6">
        <f>'Data Sheet'!B48</f>
        <v>2790.25</v>
      </c>
      <c r="C11" s="6">
        <f>'Data Sheet'!C48</f>
        <v>2999.41</v>
      </c>
      <c r="D11" s="6">
        <f>'Data Sheet'!D48</f>
        <v>3498.92</v>
      </c>
      <c r="E11" s="6">
        <f>'Data Sheet'!E48</f>
        <v>3551.22</v>
      </c>
      <c r="F11" s="6">
        <f>'Data Sheet'!F48</f>
        <v>3808.82</v>
      </c>
      <c r="G11" s="6">
        <f>'Data Sheet'!G48</f>
        <v>3886.67</v>
      </c>
      <c r="H11" s="6">
        <f>'Data Sheet'!H48</f>
        <v>4180.91</v>
      </c>
      <c r="I11" s="6">
        <f>'Data Sheet'!I48</f>
        <v>4355.45</v>
      </c>
      <c r="J11" s="6">
        <f>'Data Sheet'!J48</f>
        <v>4635.66</v>
      </c>
      <c r="K11" s="6">
        <f>'Data Sheet'!K48</f>
        <v>4654.41</v>
      </c>
    </row>
    <row r="12" spans="1:11" s="2" customFormat="1">
      <c r="A12" s="2" t="s">
        <v>14</v>
      </c>
      <c r="B12" s="1">
        <f>'Data Sheet'!B49</f>
        <v>8006.99</v>
      </c>
      <c r="C12" s="1">
        <f>'Data Sheet'!C49</f>
        <v>8792.42</v>
      </c>
      <c r="D12" s="1">
        <f>'Data Sheet'!D49</f>
        <v>9852.7000000000007</v>
      </c>
      <c r="E12" s="1">
        <f>'Data Sheet'!E49</f>
        <v>10636.12</v>
      </c>
      <c r="F12" s="1">
        <f>'Data Sheet'!F49</f>
        <v>10896.13</v>
      </c>
      <c r="G12" s="1">
        <f>'Data Sheet'!G49</f>
        <v>11052.6</v>
      </c>
      <c r="H12" s="1">
        <f>'Data Sheet'!H49</f>
        <v>11671.52</v>
      </c>
      <c r="I12" s="1">
        <f>'Data Sheet'!I49</f>
        <v>11695.84</v>
      </c>
      <c r="J12" s="1">
        <f>'Data Sheet'!J49</f>
        <v>12947.77</v>
      </c>
      <c r="K12" s="1">
        <f>'Data Sheet'!K49</f>
        <v>12883.37</v>
      </c>
    </row>
    <row r="14" spans="1:11" s="2" customFormat="1">
      <c r="A14" s="2" t="s">
        <v>18</v>
      </c>
      <c r="B14" s="10">
        <f>IF(B4&gt;0,B6/B4,"")</f>
        <v>0.22579096576869231</v>
      </c>
      <c r="C14" s="10">
        <f t="shared" ref="C14:K14" si="0">IF(C4&gt;0,C6/C4,"")</f>
        <v>0.27429210650242691</v>
      </c>
      <c r="D14" s="10">
        <f t="shared" si="0"/>
        <v>0.2462264339957333</v>
      </c>
      <c r="E14" s="10">
        <f t="shared" si="0"/>
        <v>0.42322607003901536</v>
      </c>
      <c r="F14" s="10">
        <f t="shared" si="0"/>
        <v>0.36925446760600417</v>
      </c>
      <c r="G14" s="10">
        <f t="shared" si="0"/>
        <v>0.38996697192209612</v>
      </c>
      <c r="H14" s="10">
        <f t="shared" si="0"/>
        <v>0.28170180666336198</v>
      </c>
      <c r="I14" s="10">
        <f t="shared" si="0"/>
        <v>0.34082632652672118</v>
      </c>
      <c r="J14" s="10">
        <f t="shared" si="0"/>
        <v>0.30447388041820345</v>
      </c>
      <c r="K14" s="10">
        <f t="shared" si="0"/>
        <v>0.28758116993557425</v>
      </c>
    </row>
    <row r="22" s="23" customFormat="1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7"/>
  <sheetViews>
    <sheetView zoomScale="125" workbookViewId="0">
      <pane xSplit="1" ySplit="3" topLeftCell="D15" activePane="bottomRight" state="frozen"/>
      <selection activeCell="C4" sqref="C4"/>
      <selection pane="topRight" activeCell="C4" sqref="C4"/>
      <selection pane="bottomLeft" activeCell="C4" sqref="C4"/>
      <selection pane="bottomRight" activeCell="J27" sqref="J27"/>
    </sheetView>
  </sheetViews>
  <sheetFormatPr defaultColWidth="8.77734375" defaultRowHeight="14.4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>
      <c r="A1" s="2" t="str">
        <f>'Profit &amp; Loss'!A1</f>
        <v>ICICI BANK LTD</v>
      </c>
      <c r="E1" t="str">
        <f>UPDATE</f>
        <v/>
      </c>
      <c r="G1"/>
      <c r="J1" s="2" t="s">
        <v>1</v>
      </c>
    </row>
    <row r="2" spans="1:11">
      <c r="G2" s="2"/>
      <c r="H2" s="2"/>
    </row>
    <row r="3" spans="1:11">
      <c r="A3" s="11" t="s">
        <v>2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>
      <c r="A4" t="s">
        <v>24</v>
      </c>
      <c r="B4" s="14">
        <f>'Data Sheet'!B57</f>
        <v>1159.6600000000001</v>
      </c>
      <c r="C4" s="14">
        <f>'Data Sheet'!C57</f>
        <v>1163.17</v>
      </c>
      <c r="D4" s="14">
        <f>'Data Sheet'!D57</f>
        <v>1165.1099999999999</v>
      </c>
      <c r="E4" s="14">
        <f>'Data Sheet'!E57</f>
        <v>1285.81</v>
      </c>
      <c r="F4" s="14">
        <f>'Data Sheet'!F57</f>
        <v>1289.46</v>
      </c>
      <c r="G4" s="14">
        <f>'Data Sheet'!G57</f>
        <v>1294.76</v>
      </c>
      <c r="H4" s="14">
        <f>'Data Sheet'!H57</f>
        <v>1383.41</v>
      </c>
      <c r="I4" s="14">
        <f>'Data Sheet'!I57</f>
        <v>1389.97</v>
      </c>
      <c r="J4" s="14">
        <f>'Data Sheet'!J57</f>
        <v>1396.78</v>
      </c>
      <c r="K4" s="14">
        <f>'Data Sheet'!K57</f>
        <v>1404.68</v>
      </c>
    </row>
    <row r="5" spans="1:11">
      <c r="A5" t="s">
        <v>25</v>
      </c>
      <c r="B5" s="14">
        <f>'Data Sheet'!B58</f>
        <v>83544.88</v>
      </c>
      <c r="C5" s="14">
        <f>'Data Sheet'!C58</f>
        <v>92947.55</v>
      </c>
      <c r="D5" s="14">
        <f>'Data Sheet'!D58</f>
        <v>103466.89</v>
      </c>
      <c r="E5" s="14">
        <f>'Data Sheet'!E58</f>
        <v>109343.89</v>
      </c>
      <c r="F5" s="14">
        <f>'Data Sheet'!F58</f>
        <v>112963.95</v>
      </c>
      <c r="G5" s="14">
        <f>'Data Sheet'!G58</f>
        <v>121665.3</v>
      </c>
      <c r="H5" s="14">
        <f>'Data Sheet'!H58</f>
        <v>156204.09</v>
      </c>
      <c r="I5" s="14">
        <f>'Data Sheet'!I58</f>
        <v>180662.52</v>
      </c>
      <c r="J5" s="14">
        <f>'Data Sheet'!J58</f>
        <v>213101.01</v>
      </c>
      <c r="K5" s="14">
        <f>'Data Sheet'!K58</f>
        <v>254739.16</v>
      </c>
    </row>
    <row r="6" spans="1:11">
      <c r="A6" t="s">
        <v>71</v>
      </c>
      <c r="B6" s="14">
        <f>'Data Sheet'!B59</f>
        <v>597207.25</v>
      </c>
      <c r="C6" s="14">
        <f>'Data Sheet'!C59</f>
        <v>671455.05</v>
      </c>
      <c r="D6" s="14">
        <f>'Data Sheet'!D59</f>
        <v>700874.02</v>
      </c>
      <c r="E6" s="14">
        <f>'Data Sheet'!E59</f>
        <v>815197.94</v>
      </c>
      <c r="F6" s="14">
        <f>'Data Sheet'!F59</f>
        <v>891641.06</v>
      </c>
      <c r="G6" s="14">
        <f>'Data Sheet'!G59</f>
        <v>1014636.24</v>
      </c>
      <c r="H6" s="14">
        <f>'Data Sheet'!H59</f>
        <v>1103839.96</v>
      </c>
      <c r="I6" s="14">
        <f>'Data Sheet'!I59</f>
        <v>1252968.47</v>
      </c>
      <c r="J6" s="14">
        <f>'Data Sheet'!J59</f>
        <v>1399893.96</v>
      </c>
      <c r="K6" s="14">
        <f>'Data Sheet'!K59</f>
        <v>1651007.95</v>
      </c>
    </row>
    <row r="7" spans="1:11">
      <c r="A7" t="s">
        <v>72</v>
      </c>
      <c r="B7" s="14">
        <f>'Data Sheet'!B60</f>
        <v>144167.38</v>
      </c>
      <c r="C7" s="14">
        <f>'Data Sheet'!C60</f>
        <v>153190.43</v>
      </c>
      <c r="D7" s="14">
        <f>'Data Sheet'!D60</f>
        <v>180218.63</v>
      </c>
      <c r="E7" s="14">
        <f>'Data Sheet'!E60</f>
        <v>198453.41</v>
      </c>
      <c r="F7" s="14">
        <f>'Data Sheet'!F60</f>
        <v>232899.42</v>
      </c>
      <c r="G7" s="14">
        <f>'Data Sheet'!G60</f>
        <v>239695.93</v>
      </c>
      <c r="H7" s="14">
        <f>'Data Sheet'!H60</f>
        <v>312384.78999999998</v>
      </c>
      <c r="I7" s="14">
        <f>'Data Sheet'!I60</f>
        <v>317616.42</v>
      </c>
      <c r="J7" s="14">
        <f>'Data Sheet'!J60</f>
        <v>344098.75</v>
      </c>
      <c r="K7" s="14">
        <f>'Data Sheet'!K60</f>
        <v>456911.23</v>
      </c>
    </row>
    <row r="8" spans="1:11" s="2" customFormat="1">
      <c r="A8" s="2" t="s">
        <v>26</v>
      </c>
      <c r="B8" s="15">
        <f>'Data Sheet'!B61</f>
        <v>826079.17</v>
      </c>
      <c r="C8" s="15">
        <f>'Data Sheet'!C61</f>
        <v>918756.2</v>
      </c>
      <c r="D8" s="15">
        <f>'Data Sheet'!D61</f>
        <v>985724.65</v>
      </c>
      <c r="E8" s="15">
        <f>'Data Sheet'!E61</f>
        <v>1124281.05</v>
      </c>
      <c r="F8" s="15">
        <f>'Data Sheet'!F61</f>
        <v>1238793.8899999999</v>
      </c>
      <c r="G8" s="15">
        <f>'Data Sheet'!G61</f>
        <v>1377292.23</v>
      </c>
      <c r="H8" s="15">
        <f>'Data Sheet'!H61</f>
        <v>1573812.25</v>
      </c>
      <c r="I8" s="15">
        <f>'Data Sheet'!I61</f>
        <v>1752637.38</v>
      </c>
      <c r="J8" s="15">
        <f>'Data Sheet'!J61</f>
        <v>1958490.5</v>
      </c>
      <c r="K8" s="15">
        <f>'Data Sheet'!K61</f>
        <v>2364063.02</v>
      </c>
    </row>
    <row r="9" spans="1:11" s="2" customFormat="1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t="s">
        <v>27</v>
      </c>
      <c r="B10" s="14">
        <f>'Data Sheet'!B62</f>
        <v>5871.21</v>
      </c>
      <c r="C10" s="14">
        <f>'Data Sheet'!C62</f>
        <v>8713.4599999999991</v>
      </c>
      <c r="D10" s="14">
        <f>'Data Sheet'!D62</f>
        <v>9337.9599999999991</v>
      </c>
      <c r="E10" s="14">
        <f>'Data Sheet'!E62</f>
        <v>9465.01</v>
      </c>
      <c r="F10" s="14">
        <f>'Data Sheet'!F62</f>
        <v>9660.42</v>
      </c>
      <c r="G10" s="14">
        <f>'Data Sheet'!G62</f>
        <v>10408.66</v>
      </c>
      <c r="H10" s="14">
        <f>'Data Sheet'!H62</f>
        <v>10809.26</v>
      </c>
      <c r="I10" s="14">
        <f>'Data Sheet'!I62</f>
        <v>10706.74</v>
      </c>
      <c r="J10" s="14">
        <f>'Data Sheet'!J62</f>
        <v>11070.34</v>
      </c>
      <c r="K10" s="14">
        <f>'Data Sheet'!K62</f>
        <v>15714.44</v>
      </c>
    </row>
    <row r="11" spans="1:11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>
      <c r="A12" t="s">
        <v>29</v>
      </c>
      <c r="B12" s="14">
        <f>'Data Sheet'!B64</f>
        <v>274310.81</v>
      </c>
      <c r="C12" s="14">
        <f>'Data Sheet'!C64</f>
        <v>286044.09000000003</v>
      </c>
      <c r="D12" s="14">
        <f>'Data Sheet'!D64</f>
        <v>304373.28999999998</v>
      </c>
      <c r="E12" s="14">
        <f>'Data Sheet'!E64</f>
        <v>372207.68</v>
      </c>
      <c r="F12" s="14">
        <f>'Data Sheet'!F64</f>
        <v>398200.76</v>
      </c>
      <c r="G12" s="14">
        <f>'Data Sheet'!G64</f>
        <v>443472.63</v>
      </c>
      <c r="H12" s="14">
        <f>'Data Sheet'!H64</f>
        <v>536578.62</v>
      </c>
      <c r="I12" s="14">
        <f>'Data Sheet'!I64</f>
        <v>567097.72</v>
      </c>
      <c r="J12" s="14">
        <f>'Data Sheet'!J64</f>
        <v>639551.97</v>
      </c>
      <c r="K12" s="14">
        <f>'Data Sheet'!K64</f>
        <v>827162.51</v>
      </c>
    </row>
    <row r="13" spans="1:11">
      <c r="A13" t="s">
        <v>73</v>
      </c>
      <c r="B13" s="14">
        <f>'Data Sheet'!B65</f>
        <v>545897.15</v>
      </c>
      <c r="C13" s="14">
        <f>'Data Sheet'!C65</f>
        <v>623998.65</v>
      </c>
      <c r="D13" s="14">
        <f>'Data Sheet'!D65</f>
        <v>672013.4</v>
      </c>
      <c r="E13" s="14">
        <f>'Data Sheet'!E65</f>
        <v>742608.36</v>
      </c>
      <c r="F13" s="14">
        <f>'Data Sheet'!F65</f>
        <v>830932.71</v>
      </c>
      <c r="G13" s="14">
        <f>'Data Sheet'!G65</f>
        <v>923410.94</v>
      </c>
      <c r="H13" s="14">
        <f>'Data Sheet'!H65</f>
        <v>1026424.37</v>
      </c>
      <c r="I13" s="14">
        <f>'Data Sheet'!I65</f>
        <v>1174832.92</v>
      </c>
      <c r="J13" s="14">
        <f>'Data Sheet'!J65</f>
        <v>1307868.19</v>
      </c>
      <c r="K13" s="14">
        <f>'Data Sheet'!K65</f>
        <v>1521186.07</v>
      </c>
    </row>
    <row r="14" spans="1:11" s="2" customFormat="1">
      <c r="A14" s="2" t="s">
        <v>26</v>
      </c>
      <c r="B14" s="14">
        <f>'Data Sheet'!B66</f>
        <v>826079.17</v>
      </c>
      <c r="C14" s="14">
        <f>'Data Sheet'!C66</f>
        <v>918756.2</v>
      </c>
      <c r="D14" s="14">
        <f>'Data Sheet'!D66</f>
        <v>985724.65</v>
      </c>
      <c r="E14" s="14">
        <f>'Data Sheet'!E66</f>
        <v>1124281.05</v>
      </c>
      <c r="F14" s="14">
        <f>'Data Sheet'!F66</f>
        <v>1238793.8899999999</v>
      </c>
      <c r="G14" s="14">
        <f>'Data Sheet'!G66</f>
        <v>1377292.23</v>
      </c>
      <c r="H14" s="14">
        <f>'Data Sheet'!H66</f>
        <v>1573812.25</v>
      </c>
      <c r="I14" s="14">
        <f>'Data Sheet'!I66</f>
        <v>1752637.38</v>
      </c>
      <c r="J14" s="14">
        <f>'Data Sheet'!J66</f>
        <v>1958490.5</v>
      </c>
      <c r="K14" s="14">
        <f>'Data Sheet'!K66</f>
        <v>2364063.02</v>
      </c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t="s">
        <v>30</v>
      </c>
      <c r="B16" s="4">
        <f>B13-B7</f>
        <v>401729.77</v>
      </c>
      <c r="C16" s="4">
        <f t="shared" ref="C16:K16" si="0">C13-C7</f>
        <v>470808.22000000003</v>
      </c>
      <c r="D16" s="4">
        <f t="shared" si="0"/>
        <v>491794.77</v>
      </c>
      <c r="E16" s="4">
        <f t="shared" si="0"/>
        <v>544154.94999999995</v>
      </c>
      <c r="F16" s="4">
        <f t="shared" si="0"/>
        <v>598033.28999999992</v>
      </c>
      <c r="G16" s="4">
        <f t="shared" si="0"/>
        <v>683715.01</v>
      </c>
      <c r="H16" s="4">
        <f t="shared" si="0"/>
        <v>714039.58000000007</v>
      </c>
      <c r="I16" s="4">
        <f t="shared" si="0"/>
        <v>857216.5</v>
      </c>
      <c r="J16" s="4">
        <f t="shared" si="0"/>
        <v>963769.44</v>
      </c>
      <c r="K16" s="4">
        <f t="shared" si="0"/>
        <v>1064274.8400000001</v>
      </c>
    </row>
    <row r="17" spans="1:11">
      <c r="A17" t="s">
        <v>44</v>
      </c>
      <c r="B17" s="4">
        <f>'Data Sheet'!B67</f>
        <v>0</v>
      </c>
      <c r="C17" s="4">
        <f>'Data Sheet'!C67</f>
        <v>0</v>
      </c>
      <c r="D17" s="4">
        <f>'Data Sheet'!D67</f>
        <v>0</v>
      </c>
      <c r="E17" s="4">
        <f>'Data Sheet'!E67</f>
        <v>0</v>
      </c>
      <c r="F17" s="4">
        <f>'Data Sheet'!F67</f>
        <v>0</v>
      </c>
      <c r="G17" s="4">
        <f>'Data Sheet'!G67</f>
        <v>0</v>
      </c>
      <c r="H17" s="4">
        <f>'Data Sheet'!H67</f>
        <v>0</v>
      </c>
      <c r="I17" s="4">
        <f>'Data Sheet'!I67</f>
        <v>0</v>
      </c>
      <c r="J17" s="4">
        <f>'Data Sheet'!J67</f>
        <v>0</v>
      </c>
      <c r="K17" s="4">
        <f>'Data Sheet'!K67</f>
        <v>0</v>
      </c>
    </row>
    <row r="18" spans="1:11">
      <c r="A18" t="s">
        <v>45</v>
      </c>
      <c r="B18" s="4">
        <f>'Data Sheet'!B68</f>
        <v>0</v>
      </c>
      <c r="C18" s="4">
        <f>'Data Sheet'!C68</f>
        <v>0</v>
      </c>
      <c r="D18" s="4">
        <f>'Data Sheet'!D68</f>
        <v>0</v>
      </c>
      <c r="E18" s="4">
        <f>'Data Sheet'!E68</f>
        <v>0</v>
      </c>
      <c r="F18" s="4">
        <f>'Data Sheet'!F68</f>
        <v>0</v>
      </c>
      <c r="G18" s="4">
        <f>'Data Sheet'!G68</f>
        <v>0</v>
      </c>
      <c r="H18" s="4">
        <f>'Data Sheet'!H68</f>
        <v>0</v>
      </c>
      <c r="I18" s="4">
        <f>'Data Sheet'!I68</f>
        <v>0</v>
      </c>
      <c r="J18" s="4">
        <f>'Data Sheet'!J68</f>
        <v>0</v>
      </c>
      <c r="K18" s="4">
        <f>'Data Sheet'!K68</f>
        <v>0</v>
      </c>
    </row>
    <row r="20" spans="1:11">
      <c r="A20" t="s">
        <v>46</v>
      </c>
      <c r="B20" s="4">
        <f>IF('Profit &amp; Loss'!B4&gt;0,'Balance Sheet'!B17/('Profit &amp; Loss'!B4/365),0)</f>
        <v>0</v>
      </c>
      <c r="C20" s="4">
        <f>IF('Profit &amp; Loss'!C4&gt;0,'Balance Sheet'!C17/('Profit &amp; Loss'!C4/365),0)</f>
        <v>0</v>
      </c>
      <c r="D20" s="4">
        <f>IF('Profit &amp; Loss'!D4&gt;0,'Balance Sheet'!D17/('Profit &amp; Loss'!D4/365),0)</f>
        <v>0</v>
      </c>
      <c r="E20" s="4">
        <f>IF('Profit &amp; Loss'!E4&gt;0,'Balance Sheet'!E17/('Profit &amp; Loss'!E4/365),0)</f>
        <v>0</v>
      </c>
      <c r="F20" s="4">
        <f>IF('Profit &amp; Loss'!F4&gt;0,'Balance Sheet'!F17/('Profit &amp; Loss'!F4/365),0)</f>
        <v>0</v>
      </c>
      <c r="G20" s="4">
        <f>IF('Profit &amp; Loss'!G4&gt;0,'Balance Sheet'!G17/('Profit &amp; Loss'!G4/365),0)</f>
        <v>0</v>
      </c>
      <c r="H20" s="4">
        <f>IF('Profit &amp; Loss'!H4&gt;0,'Balance Sheet'!H17/('Profit &amp; Loss'!H4/365),0)</f>
        <v>0</v>
      </c>
      <c r="I20" s="4">
        <f>IF('Profit &amp; Loss'!I4&gt;0,'Balance Sheet'!I17/('Profit &amp; Loss'!I4/365),0)</f>
        <v>0</v>
      </c>
      <c r="J20" s="4">
        <f>IF('Profit &amp; Loss'!J4&gt;0,'Balance Sheet'!J17/('Profit &amp; Loss'!J4/365),0)</f>
        <v>0</v>
      </c>
      <c r="K20" s="4">
        <f>IF('Profit &amp; Loss'!K4&gt;0,'Balance Sheet'!K17/('Profit &amp; Loss'!K4/365),0)</f>
        <v>0</v>
      </c>
    </row>
    <row r="21" spans="1:11">
      <c r="A21" t="s">
        <v>47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0</v>
      </c>
      <c r="D21" s="4">
        <f>IF('Balance Sheet'!D18&gt;0,'Profit &amp; Loss'!D4/'Balance Sheet'!D18,0)</f>
        <v>0</v>
      </c>
      <c r="E21" s="4">
        <f>IF('Balance Sheet'!E18&gt;0,'Profit &amp; Loss'!E4/'Balance Sheet'!E18,0)</f>
        <v>0</v>
      </c>
      <c r="F21" s="4">
        <f>IF('Balance Sheet'!F18&gt;0,'Profit &amp; Loss'!F4/'Balance Sheet'!F18,0)</f>
        <v>0</v>
      </c>
      <c r="G21" s="4">
        <f>IF('Balance Sheet'!G18&gt;0,'Profit &amp; Loss'!G4/'Balance Sheet'!G18,0)</f>
        <v>0</v>
      </c>
      <c r="H21" s="4">
        <f>IF('Balance Sheet'!H18&gt;0,'Profit &amp; Loss'!H4/'Balance Sheet'!H18,0)</f>
        <v>0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0</v>
      </c>
    </row>
    <row r="23" spans="1:11" s="2" customFormat="1">
      <c r="A23" s="2" t="s">
        <v>59</v>
      </c>
      <c r="B23" s="10">
        <f>IF(SUM('Balance Sheet'!B4:B5)&gt;0,'Profit &amp; Loss'!B12/SUM('Balance Sheet'!B4:B5),"")</f>
        <v>0.14458339541186341</v>
      </c>
      <c r="C23" s="10">
        <f>IF(SUM('Balance Sheet'!C4:C5)&gt;0,'Profit &amp; Loss'!C12/SUM('Balance Sheet'!C4:C5),"")</f>
        <v>0.10817003631467274</v>
      </c>
      <c r="D23" s="10">
        <f>IF(SUM('Balance Sheet'!D4:D5)&gt;0,'Profit &amp; Loss'!D12/SUM('Balance Sheet'!D4:D5),"")</f>
        <v>9.7373461273797687E-2</v>
      </c>
      <c r="E23" s="10">
        <f>IF(SUM('Balance Sheet'!E4:E5)&gt;0,'Profit &amp; Loss'!E12/SUM('Balance Sheet'!E4:E5),"")</f>
        <v>6.9711750099656786E-2</v>
      </c>
      <c r="F23" s="10">
        <f>IF(SUM('Balance Sheet'!F4:F5)&gt;0,'Profit &amp; Loss'!F12/SUM('Balance Sheet'!F4:F5),"")</f>
        <v>3.723512497351282E-2</v>
      </c>
      <c r="G23" s="10">
        <f>IF(SUM('Balance Sheet'!G4:G5)&gt;0,'Profit &amp; Loss'!G12/SUM('Balance Sheet'!G4:G5),"")</f>
        <v>7.7800140956339803E-2</v>
      </c>
      <c r="H23" s="10">
        <f>IF(SUM('Balance Sheet'!H4:H5)&gt;0,'Profit &amp; Loss'!H12/SUM('Balance Sheet'!H4:H5),"")</f>
        <v>0.11666102958673752</v>
      </c>
      <c r="I23" s="10">
        <f>IF(SUM('Balance Sheet'!I4:I5)&gt;0,'Profit &amp; Loss'!I12/SUM('Balance Sheet'!I4:I5),"")</f>
        <v>0.1379278031297457</v>
      </c>
      <c r="J23" s="10">
        <f>IF(SUM('Balance Sheet'!J4:J5)&gt;0,'Profit &amp; Loss'!J12/SUM('Balance Sheet'!J4:J5),"")</f>
        <v>0.15868060925009997</v>
      </c>
      <c r="K23" s="10">
        <f>IF(SUM('Balance Sheet'!K4:K5)&gt;0,'Profit &amp; Loss'!K12/SUM('Balance Sheet'!K4:K5),"")</f>
        <v>0.17277936490684298</v>
      </c>
    </row>
    <row r="24" spans="1:11" s="2" customFormat="1">
      <c r="A24" s="2" t="s">
        <v>60</v>
      </c>
      <c r="B24" s="10"/>
      <c r="C24" s="10">
        <f>IF((B4+B5+B6+C4+C5+C6)&gt;0,('Profit &amp; Loss'!C10+'Profit &amp; Loss'!C9)*2/(B4+B5+B6+C4+C5+C6),"")</f>
        <v>6.6737974162445729E-2</v>
      </c>
      <c r="D24" s="10">
        <f>IF((C4+C5+C6+D4+D5+D6)&gt;0,('Profit &amp; Loss'!D10+'Profit &amp; Loss'!D9)*2/(C4+C5+C6+D4+D5+D6),"")</f>
        <v>6.1926107144982853E-2</v>
      </c>
      <c r="E24" s="10">
        <f>IF((D4+D5+D6+E4+E5+E6)&gt;0,('Profit &amp; Loss'!E10+'Profit &amp; Loss'!E9)*2/(D4+D5+D6+E4+E5+E6),"")</f>
        <v>5.2260891179115643E-2</v>
      </c>
      <c r="F24" s="10">
        <f>IF((E4+E5+E6+F4+F5+F6)&gt;0,('Profit &amp; Loss'!F10+'Profit &amp; Loss'!F9)*2/(E4+E5+E6+F4+F5+F6),"")</f>
        <v>4.8232403365720142E-2</v>
      </c>
      <c r="G24" s="10">
        <f>IF((F4+F5+F6+G4+G5+G6)&gt;0,('Profit &amp; Loss'!G10+'Profit &amp; Loss'!G9)*2/(F4+F5+F6+G4+G5+G6),"")</f>
        <v>5.9019736296788437E-2</v>
      </c>
      <c r="H24" s="10">
        <f>IF((G4+G5+G6+H4+H5+H6)&gt;0,('Profit &amp; Loss'!H10+'Profit &amp; Loss'!H9)*2/(G4+G5+G6+H4+H5+H6),"")</f>
        <v>5.7262817605441309E-2</v>
      </c>
      <c r="I24" s="10">
        <f>IF((H4+H5+H6+I4+I5+I6)&gt;0,('Profit &amp; Loss'!I10+'Profit &amp; Loss'!I9)*2/(H4+H5+H6+I4+I5+I6),"")</f>
        <v>5.593130537242022E-2</v>
      </c>
      <c r="J24" s="10">
        <f>IF((I4+I5+I6+J4+J5+J6)&gt;0,('Profit &amp; Loss'!J10+'Profit &amp; Loss'!J9)*2/(I4+I5+I6+J4+J5+J6),"")</f>
        <v>6.3487542819351594E-2</v>
      </c>
      <c r="K24" s="10">
        <f>IF((J4+J5+J6+K4+K5+K6)&gt;0,('Profit &amp; Loss'!K10+'Profit &amp; Loss'!K9)*2/(J4+J5+J6+K4+K5+K6),"")</f>
        <v>7.6411112611147775E-2</v>
      </c>
    </row>
    <row r="27" spans="1:11">
      <c r="A27" t="s">
        <v>121</v>
      </c>
      <c r="B27" s="32">
        <f>B4+B5</f>
        <v>84704.540000000008</v>
      </c>
      <c r="C27" s="32">
        <f t="shared" ref="C27:K27" si="1">C4+C5</f>
        <v>94110.720000000001</v>
      </c>
      <c r="D27" s="32">
        <f t="shared" si="1"/>
        <v>104632</v>
      </c>
      <c r="E27" s="32">
        <f t="shared" si="1"/>
        <v>110629.7</v>
      </c>
      <c r="F27" s="32">
        <f t="shared" si="1"/>
        <v>114253.41</v>
      </c>
      <c r="G27" s="32">
        <f t="shared" si="1"/>
        <v>122960.06</v>
      </c>
      <c r="H27" s="32">
        <f t="shared" si="1"/>
        <v>157587.5</v>
      </c>
      <c r="I27" s="32">
        <f t="shared" si="1"/>
        <v>182052.49</v>
      </c>
      <c r="J27" s="32">
        <f t="shared" si="1"/>
        <v>214497.79</v>
      </c>
      <c r="K27" s="32">
        <f t="shared" si="1"/>
        <v>256143.84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>
      <c r="A1" s="2" t="str">
        <f>'Balance Sheet'!A1</f>
        <v>ICICI BANK LTD</v>
      </c>
      <c r="E1" t="str">
        <f>UPDATE</f>
        <v/>
      </c>
      <c r="F1"/>
      <c r="J1" s="2" t="s">
        <v>1</v>
      </c>
    </row>
    <row r="3" spans="1:11" s="2" customFormat="1">
      <c r="A3" s="11" t="s">
        <v>2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>
      <c r="A4" s="2" t="s">
        <v>32</v>
      </c>
      <c r="B4" s="1">
        <f>'Data Sheet'!B82</f>
        <v>-12273.14</v>
      </c>
      <c r="C4" s="1">
        <f>'Data Sheet'!C82</f>
        <v>23645.32</v>
      </c>
      <c r="D4" s="1">
        <f>'Data Sheet'!D82</f>
        <v>52635.53</v>
      </c>
      <c r="E4" s="1">
        <f>'Data Sheet'!E82</f>
        <v>19382.93</v>
      </c>
      <c r="F4" s="1">
        <f>'Data Sheet'!F82</f>
        <v>48671.05</v>
      </c>
      <c r="G4" s="1">
        <f>'Data Sheet'!G82</f>
        <v>79564.75</v>
      </c>
      <c r="H4" s="1">
        <f>'Data Sheet'!H82</f>
        <v>138015.29999999999</v>
      </c>
      <c r="I4" s="1">
        <f>'Data Sheet'!I82</f>
        <v>58111.43</v>
      </c>
      <c r="J4" s="1">
        <f>'Data Sheet'!J82</f>
        <v>-3771.19</v>
      </c>
      <c r="K4" s="1">
        <f>'Data Sheet'!K82</f>
        <v>157284.48000000001</v>
      </c>
    </row>
    <row r="5" spans="1:11">
      <c r="A5" t="s">
        <v>33</v>
      </c>
      <c r="B5" s="6">
        <f>'Data Sheet'!B83</f>
        <v>-13175.12</v>
      </c>
      <c r="C5" s="6">
        <f>'Data Sheet'!C83</f>
        <v>-12060.44</v>
      </c>
      <c r="D5" s="6">
        <f>'Data Sheet'!D83</f>
        <v>-1711.1</v>
      </c>
      <c r="E5" s="6">
        <f>'Data Sheet'!E83</f>
        <v>-50550.64</v>
      </c>
      <c r="F5" s="6">
        <f>'Data Sheet'!F83</f>
        <v>-30281.86</v>
      </c>
      <c r="G5" s="6">
        <f>'Data Sheet'!G83</f>
        <v>-42094.9</v>
      </c>
      <c r="H5" s="6">
        <f>'Data Sheet'!H83</f>
        <v>-63630.92</v>
      </c>
      <c r="I5" s="6">
        <f>'Data Sheet'!I83</f>
        <v>-39448.29</v>
      </c>
      <c r="J5" s="6">
        <f>'Data Sheet'!J83</f>
        <v>-67689.02</v>
      </c>
      <c r="K5" s="6">
        <f>'Data Sheet'!K83</f>
        <v>-144736.57999999999</v>
      </c>
    </row>
    <row r="6" spans="1:11">
      <c r="A6" t="s">
        <v>34</v>
      </c>
      <c r="B6" s="6">
        <f>'Data Sheet'!B84</f>
        <v>24827.200000000001</v>
      </c>
      <c r="C6" s="6">
        <f>'Data Sheet'!C84</f>
        <v>5813.91</v>
      </c>
      <c r="D6" s="6">
        <f>'Data Sheet'!D84</f>
        <v>-35469.54</v>
      </c>
      <c r="E6" s="6">
        <f>'Data Sheet'!E84</f>
        <v>39675.97</v>
      </c>
      <c r="F6" s="6">
        <f>'Data Sheet'!F84</f>
        <v>-19997.43</v>
      </c>
      <c r="G6" s="6">
        <f>'Data Sheet'!G84</f>
        <v>2992.18</v>
      </c>
      <c r="H6" s="6">
        <f>'Data Sheet'!H84</f>
        <v>-54666.77</v>
      </c>
      <c r="I6" s="6">
        <f>'Data Sheet'!I84</f>
        <v>17451</v>
      </c>
      <c r="J6" s="6">
        <f>'Data Sheet'!J84</f>
        <v>24790.720000000001</v>
      </c>
      <c r="K6" s="6">
        <f>'Data Sheet'!K84</f>
        <v>13764.51</v>
      </c>
    </row>
    <row r="7" spans="1:11" s="2" customFormat="1">
      <c r="A7" s="2" t="s">
        <v>35</v>
      </c>
      <c r="B7" s="1">
        <f>'Data Sheet'!B85</f>
        <v>-621.05999999999995</v>
      </c>
      <c r="C7" s="1">
        <f>'Data Sheet'!C85</f>
        <v>17398.8</v>
      </c>
      <c r="D7" s="1">
        <f>'Data Sheet'!D85</f>
        <v>15454.9</v>
      </c>
      <c r="E7" s="1">
        <f>'Data Sheet'!E85</f>
        <v>8508.26</v>
      </c>
      <c r="F7" s="1">
        <f>'Data Sheet'!F85</f>
        <v>-1608.24</v>
      </c>
      <c r="G7" s="1">
        <f>'Data Sheet'!G85</f>
        <v>40462.03</v>
      </c>
      <c r="H7" s="1">
        <f>'Data Sheet'!H85</f>
        <v>19717.61</v>
      </c>
      <c r="I7" s="1">
        <f>'Data Sheet'!I85</f>
        <v>36114.14</v>
      </c>
      <c r="J7" s="1">
        <f>'Data Sheet'!J85</f>
        <v>-46669.49</v>
      </c>
      <c r="K7" s="1">
        <f>'Data Sheet'!K85</f>
        <v>26312.41</v>
      </c>
    </row>
    <row r="8" spans="1:11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C11" sqref="C11"/>
    </sheetView>
  </sheetViews>
  <sheetFormatPr defaultColWidth="8.77734375" defaultRowHeight="14.4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>
      <c r="A1" s="19" t="s">
        <v>56</v>
      </c>
    </row>
    <row r="3" spans="1:7">
      <c r="A3" s="2" t="s">
        <v>48</v>
      </c>
    </row>
    <row r="4" spans="1:7">
      <c r="B4" t="s">
        <v>90</v>
      </c>
    </row>
    <row r="5" spans="1:7">
      <c r="B5" t="s">
        <v>49</v>
      </c>
    </row>
    <row r="7" spans="1:7">
      <c r="A7" s="2" t="s">
        <v>50</v>
      </c>
    </row>
    <row r="8" spans="1:7">
      <c r="B8" t="s">
        <v>51</v>
      </c>
      <c r="C8" s="21" t="s">
        <v>91</v>
      </c>
    </row>
    <row r="10" spans="1:7">
      <c r="A10" s="2" t="s">
        <v>52</v>
      </c>
    </row>
    <row r="11" spans="1:7">
      <c r="B11" t="s">
        <v>53</v>
      </c>
    </row>
    <row r="14" spans="1:7">
      <c r="A14" s="2" t="s">
        <v>54</v>
      </c>
    </row>
    <row r="15" spans="1:7">
      <c r="B15" t="s">
        <v>55</v>
      </c>
    </row>
    <row r="16" spans="1:7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8C39-5064-457E-8591-E2203F7FC224}">
  <dimension ref="A1:B37"/>
  <sheetViews>
    <sheetView workbookViewId="0">
      <selection activeCell="F22" sqref="F22"/>
    </sheetView>
  </sheetViews>
  <sheetFormatPr defaultRowHeight="14.4"/>
  <cols>
    <col min="1" max="1" width="9.88671875" style="37" bestFit="1" customWidth="1"/>
    <col min="2" max="2" width="8.88671875" style="33"/>
  </cols>
  <sheetData>
    <row r="1" spans="1:2">
      <c r="A1" s="37" t="s">
        <v>130</v>
      </c>
      <c r="B1" s="33" t="s">
        <v>58</v>
      </c>
    </row>
    <row r="2" spans="1:2">
      <c r="A2" s="37">
        <v>45717</v>
      </c>
      <c r="B2" s="33">
        <v>1348.35</v>
      </c>
    </row>
    <row r="3" spans="1:2">
      <c r="A3" s="37">
        <v>45689</v>
      </c>
      <c r="B3" s="33">
        <v>1204.0999999999999</v>
      </c>
    </row>
    <row r="4" spans="1:2">
      <c r="A4" s="37">
        <v>45658</v>
      </c>
      <c r="B4" s="33">
        <v>1252.8</v>
      </c>
    </row>
    <row r="5" spans="1:2">
      <c r="A5" s="37">
        <v>45627</v>
      </c>
      <c r="B5" s="33">
        <v>1281.6500000000001</v>
      </c>
    </row>
    <row r="6" spans="1:2">
      <c r="A6" s="37">
        <v>45597</v>
      </c>
      <c r="B6" s="33">
        <v>1300.0999999999999</v>
      </c>
    </row>
    <row r="7" spans="1:2">
      <c r="A7" s="37">
        <v>45566</v>
      </c>
      <c r="B7" s="33">
        <v>1292.25</v>
      </c>
    </row>
    <row r="8" spans="1:2">
      <c r="A8" s="37">
        <v>45536</v>
      </c>
      <c r="B8" s="33">
        <v>1273</v>
      </c>
    </row>
    <row r="9" spans="1:2">
      <c r="A9" s="37">
        <v>45505</v>
      </c>
      <c r="B9" s="33">
        <v>1229.2</v>
      </c>
    </row>
    <row r="10" spans="1:2">
      <c r="A10" s="37">
        <v>45474</v>
      </c>
      <c r="B10" s="33">
        <v>1214.9000000000001</v>
      </c>
    </row>
    <row r="11" spans="1:2">
      <c r="A11" s="37">
        <v>45444</v>
      </c>
      <c r="B11" s="33">
        <v>1199.5999999999999</v>
      </c>
    </row>
    <row r="12" spans="1:2">
      <c r="A12" s="37">
        <v>45413</v>
      </c>
      <c r="B12" s="33">
        <v>1121.05</v>
      </c>
    </row>
    <row r="13" spans="1:2">
      <c r="A13" s="37">
        <v>45383</v>
      </c>
      <c r="B13" s="33">
        <v>1150.4000000000001</v>
      </c>
    </row>
    <row r="14" spans="1:2">
      <c r="A14" s="37">
        <v>45352</v>
      </c>
      <c r="B14" s="33">
        <v>1093.3</v>
      </c>
    </row>
    <row r="15" spans="1:2">
      <c r="A15" s="37">
        <v>45323</v>
      </c>
      <c r="B15" s="33">
        <v>1052.2</v>
      </c>
    </row>
    <row r="16" spans="1:2">
      <c r="A16" s="37">
        <v>45292</v>
      </c>
      <c r="B16" s="33">
        <v>1028.1500000000001</v>
      </c>
    </row>
    <row r="17" spans="1:2">
      <c r="A17" s="37">
        <v>45261</v>
      </c>
      <c r="B17" s="33">
        <v>996.6</v>
      </c>
    </row>
    <row r="18" spans="1:2">
      <c r="A18" s="37">
        <v>45231</v>
      </c>
      <c r="B18" s="33">
        <v>934.95</v>
      </c>
    </row>
    <row r="19" spans="1:2">
      <c r="A19" s="37">
        <v>45200</v>
      </c>
      <c r="B19" s="33">
        <v>915.35</v>
      </c>
    </row>
    <row r="20" spans="1:2">
      <c r="A20" s="37">
        <v>45170</v>
      </c>
      <c r="B20" s="33">
        <v>951.9</v>
      </c>
    </row>
    <row r="21" spans="1:2">
      <c r="A21" s="37">
        <v>45139</v>
      </c>
      <c r="B21" s="33">
        <v>958.75</v>
      </c>
    </row>
    <row r="22" spans="1:2">
      <c r="A22" s="37">
        <v>45108</v>
      </c>
      <c r="B22" s="33">
        <v>998.3</v>
      </c>
    </row>
    <row r="23" spans="1:2">
      <c r="A23" s="37">
        <v>45078</v>
      </c>
      <c r="B23" s="33">
        <v>934.6</v>
      </c>
    </row>
    <row r="24" spans="1:2">
      <c r="A24" s="37">
        <v>45047</v>
      </c>
      <c r="B24" s="33">
        <v>949.15</v>
      </c>
    </row>
    <row r="25" spans="1:2">
      <c r="A25" s="37">
        <v>45017</v>
      </c>
      <c r="B25" s="33">
        <v>917.65</v>
      </c>
    </row>
    <row r="26" spans="1:2">
      <c r="A26" s="37">
        <v>44986</v>
      </c>
      <c r="B26" s="33">
        <v>877.25</v>
      </c>
    </row>
    <row r="27" spans="1:2">
      <c r="A27" s="37">
        <v>44958</v>
      </c>
      <c r="B27" s="33">
        <v>854.85</v>
      </c>
    </row>
    <row r="28" spans="1:2">
      <c r="A28" s="37">
        <v>44927</v>
      </c>
      <c r="B28" s="33">
        <v>831.9</v>
      </c>
    </row>
    <row r="29" spans="1:2">
      <c r="A29" s="37">
        <v>44896</v>
      </c>
      <c r="B29" s="33">
        <v>890.85</v>
      </c>
    </row>
    <row r="30" spans="1:2">
      <c r="A30" s="37">
        <v>44866</v>
      </c>
      <c r="B30" s="33">
        <v>952.9</v>
      </c>
    </row>
    <row r="31" spans="1:2">
      <c r="A31" s="37">
        <v>44835</v>
      </c>
      <c r="B31" s="33">
        <v>908.7</v>
      </c>
    </row>
    <row r="32" spans="1:2">
      <c r="A32" s="37">
        <v>44805</v>
      </c>
      <c r="B32" s="33">
        <v>862</v>
      </c>
    </row>
    <row r="33" spans="1:2">
      <c r="A33" s="37">
        <v>44774</v>
      </c>
      <c r="B33" s="33">
        <v>887.3</v>
      </c>
    </row>
    <row r="34" spans="1:2">
      <c r="A34" s="37">
        <v>44743</v>
      </c>
      <c r="B34" s="33">
        <v>818.6</v>
      </c>
    </row>
    <row r="35" spans="1:2">
      <c r="A35" s="37">
        <v>44713</v>
      </c>
      <c r="B35" s="33">
        <v>707.2</v>
      </c>
    </row>
    <row r="36" spans="1:2">
      <c r="A36" s="37">
        <v>44682</v>
      </c>
      <c r="B36" s="33">
        <v>752.85</v>
      </c>
    </row>
    <row r="37" spans="1:2">
      <c r="A37" s="37">
        <v>44652</v>
      </c>
      <c r="B37" s="33">
        <v>743.3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0AF4-AA1F-4B9D-98C0-8ACAE651CA2A}">
  <dimension ref="A1:M251"/>
  <sheetViews>
    <sheetView topLeftCell="A56" workbookViewId="0">
      <selection activeCell="E85" sqref="E85"/>
    </sheetView>
  </sheetViews>
  <sheetFormatPr defaultRowHeight="14.4"/>
  <cols>
    <col min="1" max="1" width="9.88671875" style="37" bestFit="1" customWidth="1"/>
    <col min="6" max="6" width="9.109375" bestFit="1" customWidth="1"/>
    <col min="7" max="7" width="35.88671875" bestFit="1" customWidth="1"/>
    <col min="8" max="8" width="15.21875" bestFit="1" customWidth="1"/>
    <col min="9" max="9" width="14.5546875" bestFit="1" customWidth="1"/>
    <col min="10" max="10" width="13.21875" bestFit="1" customWidth="1"/>
    <col min="13" max="13" width="9.109375" bestFit="1" customWidth="1"/>
    <col min="16" max="16" width="35.88671875" bestFit="1" customWidth="1"/>
    <col min="17" max="17" width="15.21875" bestFit="1" customWidth="1"/>
    <col min="18" max="18" width="14.5546875" bestFit="1" customWidth="1"/>
    <col min="19" max="19" width="13.21875" bestFit="1" customWidth="1"/>
  </cols>
  <sheetData>
    <row r="1" spans="1:7">
      <c r="A1" s="37" t="s">
        <v>130</v>
      </c>
      <c r="B1" t="s">
        <v>131</v>
      </c>
    </row>
    <row r="2" spans="1:7">
      <c r="A2" s="37">
        <v>45717</v>
      </c>
      <c r="B2" s="35">
        <v>252.81</v>
      </c>
      <c r="D2" s="33"/>
      <c r="E2" s="33"/>
      <c r="F2" s="33"/>
      <c r="G2" s="33"/>
    </row>
    <row r="3" spans="1:7">
      <c r="A3" s="37">
        <v>45689</v>
      </c>
      <c r="B3" s="35">
        <v>183.61</v>
      </c>
      <c r="D3" s="33"/>
      <c r="E3" s="33"/>
      <c r="F3" s="33"/>
      <c r="G3" s="33"/>
    </row>
    <row r="4" spans="1:7">
      <c r="A4" s="37">
        <v>45658</v>
      </c>
      <c r="B4" s="35">
        <v>230.11</v>
      </c>
      <c r="D4" s="33"/>
      <c r="E4" s="33"/>
      <c r="F4" s="33"/>
      <c r="G4" s="33"/>
    </row>
    <row r="5" spans="1:7">
      <c r="A5" s="37">
        <v>45627</v>
      </c>
      <c r="B5" s="35">
        <v>254.02</v>
      </c>
      <c r="D5" s="33"/>
      <c r="E5" s="33"/>
      <c r="F5" s="33"/>
      <c r="G5" s="33"/>
    </row>
    <row r="6" spans="1:7">
      <c r="A6" s="37">
        <v>45597</v>
      </c>
      <c r="B6" s="35">
        <v>233.97</v>
      </c>
      <c r="D6" s="33"/>
      <c r="E6" s="33"/>
      <c r="F6" s="33"/>
      <c r="G6" s="33"/>
    </row>
    <row r="7" spans="1:7">
      <c r="A7" s="37">
        <v>45566</v>
      </c>
      <c r="B7" s="35">
        <v>309.14999999999998</v>
      </c>
      <c r="D7" s="33"/>
      <c r="E7" s="33"/>
      <c r="F7" s="33"/>
      <c r="G7" s="33"/>
    </row>
    <row r="8" spans="1:7">
      <c r="A8" s="37">
        <v>45536</v>
      </c>
      <c r="B8" s="35">
        <v>325.32</v>
      </c>
      <c r="D8" s="33"/>
      <c r="E8" s="33"/>
      <c r="F8" s="33"/>
      <c r="G8" s="33"/>
    </row>
    <row r="9" spans="1:7">
      <c r="A9" s="37">
        <v>45505</v>
      </c>
      <c r="B9" s="35">
        <v>252.92</v>
      </c>
      <c r="D9" s="33"/>
      <c r="E9" s="33"/>
      <c r="F9" s="33"/>
      <c r="G9" s="33"/>
    </row>
    <row r="10" spans="1:7">
      <c r="A10" s="37">
        <v>45474</v>
      </c>
      <c r="B10" s="35">
        <v>338.19</v>
      </c>
      <c r="D10" s="33"/>
      <c r="E10" s="33"/>
      <c r="F10" s="33"/>
      <c r="G10" s="33"/>
    </row>
    <row r="11" spans="1:7">
      <c r="A11" s="37">
        <v>45444</v>
      </c>
      <c r="B11" s="35">
        <v>445.49</v>
      </c>
      <c r="D11" s="33"/>
      <c r="E11" s="33"/>
      <c r="F11" s="33"/>
      <c r="G11" s="33"/>
    </row>
    <row r="12" spans="1:7">
      <c r="A12" s="37">
        <v>45413</v>
      </c>
      <c r="B12" s="35">
        <v>298.17</v>
      </c>
      <c r="D12" s="33"/>
      <c r="E12" s="33"/>
      <c r="F12" s="33"/>
      <c r="G12" s="33"/>
    </row>
    <row r="13" spans="1:7">
      <c r="A13" s="37">
        <v>45383</v>
      </c>
      <c r="B13" s="35">
        <v>288.14999999999998</v>
      </c>
      <c r="D13" s="33"/>
      <c r="E13" s="33"/>
      <c r="F13" s="33"/>
      <c r="G13" s="33"/>
    </row>
    <row r="14" spans="1:7">
      <c r="A14" s="37">
        <v>45352</v>
      </c>
      <c r="B14" s="35">
        <v>351.93</v>
      </c>
      <c r="D14" s="33"/>
      <c r="E14" s="33"/>
      <c r="F14" s="33"/>
      <c r="G14" s="33"/>
    </row>
    <row r="15" spans="1:7">
      <c r="A15" s="37">
        <v>45323</v>
      </c>
      <c r="B15" s="35">
        <v>275.64999999999998</v>
      </c>
      <c r="D15" s="33"/>
      <c r="E15" s="33"/>
      <c r="F15" s="33"/>
      <c r="G15" s="33"/>
    </row>
    <row r="16" spans="1:7">
      <c r="A16" s="37">
        <v>45292</v>
      </c>
      <c r="B16" s="35">
        <v>414.86</v>
      </c>
      <c r="D16" s="33"/>
      <c r="E16" s="33"/>
      <c r="F16" s="33"/>
      <c r="G16" s="33"/>
    </row>
    <row r="17" spans="1:12">
      <c r="A17" s="37">
        <v>45261</v>
      </c>
      <c r="B17" s="35">
        <v>337.5</v>
      </c>
      <c r="D17" s="33"/>
      <c r="E17" s="33"/>
      <c r="F17" s="33"/>
      <c r="G17" s="33"/>
    </row>
    <row r="18" spans="1:12">
      <c r="A18" s="37">
        <v>45231</v>
      </c>
      <c r="B18" s="35">
        <v>250.22</v>
      </c>
      <c r="D18" s="33"/>
      <c r="E18" s="33"/>
      <c r="F18" s="33"/>
      <c r="G18" s="33"/>
    </row>
    <row r="19" spans="1:12">
      <c r="A19" s="37">
        <v>45200</v>
      </c>
      <c r="B19" s="35">
        <v>210.6</v>
      </c>
      <c r="D19" s="33"/>
      <c r="E19" s="33"/>
      <c r="F19" s="33"/>
      <c r="G19" s="33"/>
    </row>
    <row r="20" spans="1:12">
      <c r="A20" s="37">
        <v>45170</v>
      </c>
      <c r="B20" s="35">
        <v>321.39</v>
      </c>
      <c r="D20" s="33"/>
      <c r="E20" s="33"/>
      <c r="F20" s="33"/>
      <c r="G20" s="33"/>
    </row>
    <row r="21" spans="1:12">
      <c r="A21" s="37">
        <v>45139</v>
      </c>
      <c r="B21" s="35">
        <v>419.88</v>
      </c>
      <c r="D21" s="33"/>
      <c r="E21" s="33"/>
      <c r="F21" s="33"/>
      <c r="G21" s="33"/>
    </row>
    <row r="22" spans="1:12">
      <c r="A22" s="37">
        <v>45108</v>
      </c>
      <c r="B22" s="35">
        <v>373.79</v>
      </c>
      <c r="D22" s="33"/>
      <c r="E22" s="33"/>
      <c r="F22" s="33"/>
      <c r="G22" s="33"/>
    </row>
    <row r="23" spans="1:12">
      <c r="A23" s="37">
        <v>45078</v>
      </c>
      <c r="B23" s="35">
        <v>315.85000000000002</v>
      </c>
      <c r="D23" s="33"/>
      <c r="E23" s="33"/>
      <c r="F23" s="33"/>
      <c r="G23" s="33"/>
    </row>
    <row r="24" spans="1:12">
      <c r="A24" s="37">
        <v>45047</v>
      </c>
      <c r="B24" s="35">
        <v>400.25</v>
      </c>
      <c r="D24" s="33"/>
      <c r="E24" s="33"/>
      <c r="F24" s="33"/>
      <c r="G24" s="33"/>
    </row>
    <row r="25" spans="1:12">
      <c r="A25" s="37">
        <v>45017</v>
      </c>
      <c r="B25" s="35">
        <v>477.53</v>
      </c>
      <c r="D25" s="33"/>
      <c r="E25" s="33"/>
      <c r="F25" s="33"/>
      <c r="G25" s="33"/>
    </row>
    <row r="26" spans="1:12">
      <c r="A26" s="37">
        <v>44986</v>
      </c>
      <c r="B26" s="35">
        <v>353.37</v>
      </c>
      <c r="D26" s="33"/>
      <c r="E26" s="33"/>
      <c r="F26" s="33"/>
      <c r="G26" s="33"/>
    </row>
    <row r="27" spans="1:12">
      <c r="A27" s="37">
        <v>44958</v>
      </c>
      <c r="B27" s="35">
        <v>255.98</v>
      </c>
      <c r="D27" s="33"/>
      <c r="E27" s="33"/>
      <c r="F27" s="33"/>
      <c r="G27" s="33"/>
    </row>
    <row r="28" spans="1:12">
      <c r="A28" s="37">
        <v>44927</v>
      </c>
      <c r="B28" s="35">
        <v>321.39</v>
      </c>
      <c r="D28" s="33"/>
      <c r="E28" s="33"/>
      <c r="F28" s="33"/>
      <c r="G28" s="33"/>
    </row>
    <row r="29" spans="1:12">
      <c r="A29" s="37">
        <v>44896</v>
      </c>
      <c r="B29" s="35">
        <v>232.25</v>
      </c>
      <c r="D29" s="33"/>
      <c r="E29" s="33"/>
      <c r="F29" s="33"/>
      <c r="G29" s="33"/>
    </row>
    <row r="30" spans="1:12">
      <c r="A30" s="37">
        <v>44866</v>
      </c>
      <c r="B30" s="35">
        <v>244</v>
      </c>
      <c r="D30" s="33"/>
      <c r="E30" s="33"/>
      <c r="F30" s="33"/>
      <c r="G30" s="33"/>
    </row>
    <row r="31" spans="1:12">
      <c r="A31" s="37">
        <v>44835</v>
      </c>
      <c r="B31" s="35">
        <v>194.7</v>
      </c>
      <c r="D31" s="33"/>
      <c r="E31" s="33"/>
      <c r="F31" s="33"/>
      <c r="G31" s="33"/>
      <c r="L31" s="33">
        <v>1348.35</v>
      </c>
    </row>
    <row r="32" spans="1:12">
      <c r="A32" s="37">
        <v>44805</v>
      </c>
      <c r="B32" s="35">
        <v>257.56</v>
      </c>
      <c r="D32" s="33"/>
      <c r="E32" s="33"/>
      <c r="F32" s="33"/>
      <c r="G32" s="33"/>
      <c r="J32">
        <v>10000000</v>
      </c>
    </row>
    <row r="33" spans="1:12">
      <c r="A33" s="37">
        <v>44774</v>
      </c>
      <c r="B33" s="35">
        <v>247.2</v>
      </c>
      <c r="D33" s="33"/>
      <c r="E33" s="33"/>
      <c r="F33" s="33"/>
      <c r="G33" s="33"/>
      <c r="K33">
        <v>100</v>
      </c>
    </row>
    <row r="34" spans="1:12">
      <c r="A34" s="37">
        <v>44743</v>
      </c>
      <c r="B34" s="35">
        <v>216.49</v>
      </c>
      <c r="D34" s="33"/>
      <c r="E34" s="33"/>
      <c r="F34" s="33"/>
      <c r="G34" t="s">
        <v>132</v>
      </c>
      <c r="H34" t="s">
        <v>145</v>
      </c>
      <c r="I34" t="s">
        <v>133</v>
      </c>
      <c r="J34" t="s">
        <v>146</v>
      </c>
    </row>
    <row r="35" spans="1:12">
      <c r="A35" s="37">
        <v>44713</v>
      </c>
      <c r="B35" s="35">
        <v>237.33</v>
      </c>
      <c r="D35" s="33"/>
      <c r="E35" s="33"/>
      <c r="F35" s="33"/>
      <c r="G35" t="s">
        <v>134</v>
      </c>
      <c r="H35" s="49">
        <v>40.986946099999997</v>
      </c>
      <c r="I35" s="36">
        <v>7.1399999999999991E-2</v>
      </c>
      <c r="J35" s="49">
        <f>1348.35*H35</f>
        <v>55264.748773934989</v>
      </c>
    </row>
    <row r="36" spans="1:12">
      <c r="A36" s="37">
        <v>44682</v>
      </c>
      <c r="B36" s="35">
        <v>270.16000000000003</v>
      </c>
      <c r="D36" s="33"/>
      <c r="E36" s="33"/>
      <c r="F36" s="33"/>
      <c r="G36" t="s">
        <v>135</v>
      </c>
      <c r="H36" s="49">
        <v>37.4629957</v>
      </c>
      <c r="I36" s="36">
        <v>6.5299999999999997E-2</v>
      </c>
      <c r="J36" s="49">
        <f t="shared" ref="J36:J44" si="0">1348.35*H36</f>
        <v>50513.230252094996</v>
      </c>
    </row>
    <row r="37" spans="1:12">
      <c r="A37" s="37">
        <v>44652</v>
      </c>
      <c r="B37" s="35">
        <v>331.47</v>
      </c>
      <c r="D37" s="33"/>
      <c r="E37" s="33"/>
      <c r="F37" s="33"/>
      <c r="G37" t="s">
        <v>136</v>
      </c>
      <c r="H37" s="49">
        <v>25.647107599999998</v>
      </c>
      <c r="I37" s="36">
        <v>4.4699999999999997E-2</v>
      </c>
      <c r="J37" s="49">
        <f t="shared" si="0"/>
        <v>34581.277532459993</v>
      </c>
    </row>
    <row r="38" spans="1:12" ht="15" thickBot="1">
      <c r="B38" s="35"/>
      <c r="D38" s="33"/>
      <c r="E38" s="33"/>
      <c r="F38" s="33"/>
      <c r="G38" t="s">
        <v>137</v>
      </c>
      <c r="H38" s="49">
        <v>21.072475600000001</v>
      </c>
      <c r="I38" s="36">
        <v>3.6699999999999997E-2</v>
      </c>
      <c r="J38" s="49">
        <f t="shared" si="0"/>
        <v>28413.07247526</v>
      </c>
    </row>
    <row r="39" spans="1:12" ht="15" thickBot="1">
      <c r="B39" s="35"/>
      <c r="D39" s="33"/>
      <c r="E39" s="33"/>
      <c r="F39" s="40"/>
      <c r="G39" t="s">
        <v>138</v>
      </c>
      <c r="H39" s="49">
        <v>14.577775600000001</v>
      </c>
      <c r="I39" s="36">
        <v>2.5399999999999999E-2</v>
      </c>
      <c r="J39" s="49">
        <f t="shared" si="0"/>
        <v>19655.943730259998</v>
      </c>
    </row>
    <row r="40" spans="1:12" ht="15" thickBot="1">
      <c r="B40" s="35"/>
      <c r="D40" s="33"/>
      <c r="E40" s="33"/>
      <c r="F40" s="42"/>
      <c r="G40" t="s">
        <v>139</v>
      </c>
      <c r="H40" s="49">
        <v>14.3901866</v>
      </c>
      <c r="I40" s="36">
        <v>2.5099999999999997E-2</v>
      </c>
      <c r="J40" s="49">
        <f t="shared" si="0"/>
        <v>19403.008102109998</v>
      </c>
    </row>
    <row r="41" spans="1:12" ht="15" thickBot="1">
      <c r="B41" s="35"/>
      <c r="D41" s="33"/>
      <c r="E41" s="33"/>
      <c r="F41" s="42"/>
      <c r="G41" t="s">
        <v>140</v>
      </c>
      <c r="H41" s="49">
        <v>13.9374018</v>
      </c>
      <c r="I41" s="36">
        <v>2.4300000000000002E-2</v>
      </c>
      <c r="J41" s="49">
        <f t="shared" si="0"/>
        <v>18792.49571703</v>
      </c>
    </row>
    <row r="42" spans="1:12" ht="15" thickBot="1">
      <c r="D42" s="33"/>
      <c r="E42" s="33"/>
      <c r="F42" s="42"/>
      <c r="G42" t="s">
        <v>141</v>
      </c>
      <c r="H42" s="49">
        <v>12.394101300000001</v>
      </c>
      <c r="I42" s="36">
        <v>2.1600000000000001E-2</v>
      </c>
      <c r="J42" s="49">
        <f t="shared" si="0"/>
        <v>16711.586487854998</v>
      </c>
    </row>
    <row r="43" spans="1:12" ht="15" thickBot="1">
      <c r="D43" s="33"/>
      <c r="E43" s="33"/>
      <c r="F43" s="42"/>
      <c r="G43" t="s">
        <v>142</v>
      </c>
      <c r="H43" s="49">
        <v>9.6604183999999993</v>
      </c>
      <c r="I43" s="36">
        <v>1.6799999999999999E-2</v>
      </c>
      <c r="J43" s="49">
        <f t="shared" si="0"/>
        <v>13025.625149639998</v>
      </c>
      <c r="K43" s="41"/>
      <c r="L43" s="45"/>
    </row>
    <row r="44" spans="1:12" ht="15" thickBot="1">
      <c r="D44" s="33"/>
      <c r="E44" s="33"/>
      <c r="F44" s="42"/>
      <c r="G44" t="s">
        <v>143</v>
      </c>
      <c r="H44" s="49">
        <v>8.8322649999999996</v>
      </c>
      <c r="I44" s="36">
        <v>1.54E-2</v>
      </c>
      <c r="J44" s="49">
        <f t="shared" si="0"/>
        <v>11908.984512749999</v>
      </c>
      <c r="K44" s="44"/>
      <c r="L44" s="46"/>
    </row>
    <row r="45" spans="1:12" ht="15" thickBot="1">
      <c r="D45" s="33"/>
      <c r="E45" s="33"/>
      <c r="F45" s="42"/>
      <c r="G45" s="43"/>
      <c r="H45" s="44"/>
      <c r="I45" s="46"/>
      <c r="J45" s="43"/>
      <c r="K45" s="44"/>
      <c r="L45" s="46"/>
    </row>
    <row r="46" spans="1:12" ht="15" thickBot="1">
      <c r="D46" s="33"/>
      <c r="E46" s="33"/>
      <c r="F46" s="42"/>
      <c r="G46" s="43"/>
      <c r="H46" s="44"/>
      <c r="I46" s="46"/>
      <c r="J46" s="43"/>
      <c r="K46" s="44"/>
      <c r="L46" s="46"/>
    </row>
    <row r="47" spans="1:12" ht="15" thickBot="1">
      <c r="D47" s="33"/>
      <c r="E47" s="33"/>
      <c r="F47" s="42"/>
      <c r="G47" s="43"/>
      <c r="H47" s="44"/>
      <c r="I47" s="46"/>
      <c r="J47" s="43"/>
      <c r="K47" s="44"/>
      <c r="L47" s="46"/>
    </row>
    <row r="48" spans="1:12" ht="15" thickBot="1">
      <c r="D48" s="33"/>
      <c r="E48" s="33"/>
      <c r="F48" s="42"/>
      <c r="G48" s="43"/>
      <c r="H48" s="44"/>
      <c r="I48" s="46"/>
      <c r="J48" s="43"/>
      <c r="K48" s="44"/>
      <c r="L48" s="46"/>
    </row>
    <row r="49" spans="4:12" ht="15" thickBot="1">
      <c r="D49" s="33"/>
      <c r="E49" s="33"/>
      <c r="F49" s="42"/>
      <c r="G49" s="43"/>
      <c r="H49" s="44"/>
      <c r="I49" s="46"/>
      <c r="J49" s="43"/>
      <c r="K49" s="44"/>
      <c r="L49" s="46"/>
    </row>
    <row r="50" spans="4:12" ht="15" thickBot="1">
      <c r="D50" s="33"/>
      <c r="E50" s="33"/>
      <c r="F50" s="33"/>
      <c r="G50" s="33"/>
      <c r="I50" s="42"/>
      <c r="J50" s="43"/>
      <c r="K50" s="44"/>
      <c r="L50" s="46"/>
    </row>
    <row r="51" spans="4:12" ht="15" thickBot="1">
      <c r="D51" s="33"/>
      <c r="E51" s="33"/>
      <c r="F51" s="33"/>
      <c r="G51" s="33"/>
      <c r="I51" s="42"/>
      <c r="J51" s="43"/>
      <c r="K51" s="44"/>
      <c r="L51" s="46"/>
    </row>
    <row r="52" spans="4:12" ht="15" thickBot="1">
      <c r="D52" s="33"/>
      <c r="E52" s="33"/>
      <c r="F52" s="33"/>
      <c r="G52" s="33" t="s">
        <v>147</v>
      </c>
      <c r="H52" s="5">
        <v>0.45700000000000002</v>
      </c>
      <c r="I52" s="42"/>
      <c r="J52" s="43"/>
      <c r="K52" s="44"/>
      <c r="L52" s="46"/>
    </row>
    <row r="53" spans="4:12" ht="15" thickBot="1">
      <c r="D53" s="33"/>
      <c r="E53" s="33"/>
      <c r="F53" s="33"/>
      <c r="G53" s="33" t="s">
        <v>148</v>
      </c>
      <c r="H53" s="5">
        <v>0.44950000000000001</v>
      </c>
      <c r="I53" s="42"/>
      <c r="J53" s="43"/>
      <c r="K53" s="44"/>
      <c r="L53" s="46"/>
    </row>
    <row r="54" spans="4:12">
      <c r="D54" s="33"/>
      <c r="E54" s="33"/>
      <c r="F54" s="33"/>
      <c r="G54" s="33" t="s">
        <v>149</v>
      </c>
      <c r="H54" s="5">
        <v>9.35E-2</v>
      </c>
    </row>
    <row r="55" spans="4:12">
      <c r="D55" s="33"/>
      <c r="E55" s="33"/>
      <c r="F55" s="33"/>
      <c r="G55" s="33"/>
      <c r="H55" s="5"/>
    </row>
    <row r="56" spans="4:12">
      <c r="D56" s="33"/>
      <c r="E56" s="33"/>
      <c r="F56" s="33"/>
      <c r="G56" s="33"/>
    </row>
    <row r="57" spans="4:12">
      <c r="D57" s="33"/>
      <c r="E57" s="33"/>
      <c r="F57" s="33"/>
      <c r="G57" s="33"/>
    </row>
    <row r="58" spans="4:12">
      <c r="D58" s="33"/>
      <c r="E58" s="33"/>
      <c r="F58" s="33"/>
      <c r="G58" s="33"/>
    </row>
    <row r="59" spans="4:12">
      <c r="D59" s="33"/>
      <c r="E59" s="33"/>
      <c r="F59" s="33"/>
      <c r="G59" s="33"/>
    </row>
    <row r="60" spans="4:12">
      <c r="D60" s="33"/>
      <c r="E60" s="33"/>
      <c r="F60" s="33"/>
      <c r="G60" s="33"/>
    </row>
    <row r="61" spans="4:12">
      <c r="D61" s="33"/>
      <c r="E61" s="33"/>
      <c r="F61" s="33"/>
      <c r="G61" s="33"/>
    </row>
    <row r="62" spans="4:12">
      <c r="D62" s="33"/>
      <c r="E62" s="33"/>
      <c r="F62" s="33"/>
      <c r="G62" s="33"/>
    </row>
    <row r="63" spans="4:12">
      <c r="D63" s="33"/>
      <c r="E63" s="33"/>
      <c r="F63" s="33"/>
      <c r="G63" s="33"/>
    </row>
    <row r="64" spans="4:12">
      <c r="D64" s="33"/>
      <c r="F64" s="59"/>
      <c r="G64" s="33"/>
    </row>
    <row r="65" spans="4:13">
      <c r="D65" s="33"/>
      <c r="F65" s="33"/>
      <c r="G65" s="33"/>
    </row>
    <row r="66" spans="4:13">
      <c r="D66" s="33"/>
      <c r="F66" s="33"/>
      <c r="G66" s="33"/>
    </row>
    <row r="67" spans="4:13">
      <c r="D67" s="33"/>
      <c r="F67" s="33"/>
      <c r="G67" s="33"/>
    </row>
    <row r="68" spans="4:13">
      <c r="D68" s="33"/>
      <c r="E68" s="33"/>
      <c r="F68" s="33"/>
      <c r="G68" s="33"/>
    </row>
    <row r="69" spans="4:13">
      <c r="D69" s="33"/>
      <c r="E69" s="33"/>
      <c r="F69" s="33"/>
      <c r="G69" s="33"/>
    </row>
    <row r="70" spans="4:13">
      <c r="D70" s="33"/>
      <c r="E70" s="33"/>
      <c r="F70" s="33"/>
      <c r="G70" s="33"/>
    </row>
    <row r="71" spans="4:13">
      <c r="D71" s="33"/>
      <c r="E71" s="33"/>
      <c r="F71" s="33"/>
      <c r="G71" s="33"/>
    </row>
    <row r="72" spans="4:13">
      <c r="D72" s="33"/>
      <c r="E72" s="33"/>
      <c r="F72" s="33"/>
      <c r="G72" s="33"/>
    </row>
    <row r="73" spans="4:13">
      <c r="D73" s="33"/>
      <c r="E73" s="33"/>
      <c r="F73" s="33"/>
      <c r="G73" s="33"/>
      <c r="L73" t="s">
        <v>161</v>
      </c>
      <c r="M73" s="60" t="s">
        <v>163</v>
      </c>
    </row>
    <row r="74" spans="4:13">
      <c r="D74" s="33"/>
      <c r="E74" s="33"/>
      <c r="F74" s="33"/>
      <c r="G74" s="33"/>
      <c r="L74" s="33" t="s">
        <v>158</v>
      </c>
      <c r="M74" s="60" t="s">
        <v>162</v>
      </c>
    </row>
    <row r="75" spans="4:13">
      <c r="D75" s="33"/>
      <c r="E75" s="33"/>
      <c r="F75" s="33"/>
      <c r="G75" s="33"/>
      <c r="L75" s="33" t="s">
        <v>159</v>
      </c>
      <c r="M75" s="60" t="s">
        <v>162</v>
      </c>
    </row>
    <row r="76" spans="4:13">
      <c r="D76" s="33"/>
      <c r="E76" s="33"/>
      <c r="F76" s="33"/>
      <c r="G76" s="33"/>
      <c r="L76" s="33" t="s">
        <v>160</v>
      </c>
      <c r="M76" s="60" t="s">
        <v>162</v>
      </c>
    </row>
    <row r="77" spans="4:13">
      <c r="D77" s="33"/>
      <c r="E77" s="33"/>
      <c r="F77" s="33"/>
      <c r="G77" s="33"/>
    </row>
    <row r="78" spans="4:13">
      <c r="D78" s="33"/>
      <c r="E78" s="33"/>
      <c r="F78" s="33"/>
      <c r="G78" s="33"/>
    </row>
    <row r="79" spans="4:13">
      <c r="D79" s="33"/>
      <c r="E79" s="33"/>
      <c r="F79" s="33"/>
      <c r="G79" s="33"/>
    </row>
    <row r="80" spans="4:13">
      <c r="D80" s="33"/>
      <c r="E80" s="33"/>
      <c r="F80" s="33"/>
      <c r="G80" s="33"/>
    </row>
    <row r="81" spans="4:7">
      <c r="D81" s="33"/>
      <c r="E81" s="33"/>
      <c r="F81" s="33"/>
      <c r="G81" s="33"/>
    </row>
    <row r="82" spans="4:7">
      <c r="D82" s="33"/>
      <c r="E82" s="33"/>
      <c r="F82" s="33"/>
      <c r="G82" s="33"/>
    </row>
    <row r="83" spans="4:7">
      <c r="D83" s="33"/>
      <c r="E83" s="33"/>
      <c r="F83" s="33"/>
      <c r="G83" s="33"/>
    </row>
    <row r="84" spans="4:7">
      <c r="D84" s="33"/>
      <c r="E84" s="33"/>
      <c r="F84" s="33"/>
      <c r="G84" s="33"/>
    </row>
    <row r="85" spans="4:7">
      <c r="D85" s="33"/>
      <c r="E85" s="33"/>
      <c r="F85" s="33"/>
      <c r="G85" s="33"/>
    </row>
    <row r="86" spans="4:7">
      <c r="D86" s="33"/>
      <c r="E86" s="33"/>
      <c r="F86" s="33"/>
      <c r="G86" s="33"/>
    </row>
    <row r="87" spans="4:7">
      <c r="D87" s="33"/>
      <c r="E87" s="33"/>
      <c r="F87" s="33"/>
      <c r="G87" s="33"/>
    </row>
    <row r="88" spans="4:7">
      <c r="D88" s="33"/>
      <c r="E88" s="33"/>
      <c r="F88" s="33"/>
      <c r="G88" s="33"/>
    </row>
    <row r="89" spans="4:7">
      <c r="D89" s="33"/>
      <c r="E89" s="33"/>
      <c r="F89" s="33"/>
      <c r="G89" s="33"/>
    </row>
    <row r="90" spans="4:7">
      <c r="D90" s="33"/>
      <c r="E90" s="33"/>
      <c r="F90" s="33"/>
      <c r="G90" s="33"/>
    </row>
    <row r="91" spans="4:7">
      <c r="D91" s="33"/>
      <c r="E91" s="33"/>
      <c r="F91" s="33"/>
      <c r="G91" s="33"/>
    </row>
    <row r="92" spans="4:7">
      <c r="D92" s="33"/>
      <c r="E92" s="33"/>
      <c r="F92" s="33"/>
      <c r="G92" s="33"/>
    </row>
    <row r="93" spans="4:7">
      <c r="D93" s="33"/>
      <c r="E93" s="33"/>
      <c r="F93" s="33"/>
      <c r="G93" s="33"/>
    </row>
    <row r="94" spans="4:7">
      <c r="D94" s="33"/>
      <c r="E94" s="33"/>
      <c r="F94" s="33"/>
      <c r="G94" s="33"/>
    </row>
    <row r="95" spans="4:7">
      <c r="D95" s="33"/>
      <c r="E95" s="33"/>
      <c r="F95" s="33"/>
      <c r="G95" s="33"/>
    </row>
    <row r="96" spans="4:7">
      <c r="D96" s="33"/>
      <c r="E96" s="33"/>
      <c r="F96" s="33"/>
      <c r="G96" s="33"/>
    </row>
    <row r="97" spans="4:7">
      <c r="D97" s="33"/>
      <c r="E97" s="33"/>
      <c r="F97" s="33"/>
      <c r="G97" s="33"/>
    </row>
    <row r="98" spans="4:7">
      <c r="D98" s="33"/>
      <c r="E98" s="33"/>
      <c r="F98" s="33"/>
      <c r="G98" s="33"/>
    </row>
    <row r="99" spans="4:7">
      <c r="D99" s="33"/>
      <c r="E99" s="33"/>
      <c r="F99" s="33"/>
      <c r="G99" s="33"/>
    </row>
    <row r="100" spans="4:7">
      <c r="D100" s="33"/>
      <c r="E100" s="33"/>
      <c r="F100" s="33"/>
      <c r="G100" s="33"/>
    </row>
    <row r="101" spans="4:7">
      <c r="D101" s="33"/>
      <c r="E101" s="33"/>
      <c r="F101" s="33"/>
      <c r="G101" s="33"/>
    </row>
    <row r="102" spans="4:7">
      <c r="D102" s="33"/>
      <c r="E102" s="33"/>
      <c r="F102" s="33"/>
      <c r="G102" s="33"/>
    </row>
    <row r="103" spans="4:7">
      <c r="D103" s="33"/>
      <c r="E103" s="33"/>
      <c r="F103" s="33"/>
      <c r="G103" s="33"/>
    </row>
    <row r="104" spans="4:7">
      <c r="D104" s="33"/>
      <c r="E104" s="33"/>
      <c r="F104" s="33"/>
      <c r="G104" s="33"/>
    </row>
    <row r="105" spans="4:7">
      <c r="D105" s="33"/>
      <c r="E105" s="33"/>
      <c r="F105" s="33"/>
      <c r="G105" s="33"/>
    </row>
    <row r="106" spans="4:7">
      <c r="D106" s="33"/>
      <c r="E106" s="33"/>
      <c r="F106" s="33"/>
      <c r="G106" s="33"/>
    </row>
    <row r="107" spans="4:7">
      <c r="D107" s="33"/>
      <c r="E107" s="33"/>
      <c r="F107" s="33"/>
      <c r="G107" s="33"/>
    </row>
    <row r="108" spans="4:7">
      <c r="D108" s="33"/>
      <c r="E108" s="33"/>
      <c r="F108" s="33"/>
      <c r="G108" s="33"/>
    </row>
    <row r="109" spans="4:7">
      <c r="D109" s="33"/>
      <c r="E109" s="33"/>
      <c r="F109" s="33"/>
      <c r="G109" s="33"/>
    </row>
    <row r="110" spans="4:7">
      <c r="D110" s="33"/>
      <c r="E110" s="33"/>
      <c r="F110" s="33"/>
      <c r="G110" s="33"/>
    </row>
    <row r="111" spans="4:7">
      <c r="D111" s="33"/>
      <c r="E111" s="33"/>
      <c r="F111" s="33"/>
      <c r="G111" s="33"/>
    </row>
    <row r="112" spans="4:7">
      <c r="D112" s="33"/>
      <c r="E112" s="33"/>
      <c r="F112" s="33"/>
      <c r="G112" s="33"/>
    </row>
    <row r="113" spans="4:7">
      <c r="D113" s="33"/>
      <c r="E113" s="33"/>
      <c r="F113" s="33"/>
      <c r="G113" s="33"/>
    </row>
    <row r="114" spans="4:7">
      <c r="D114" s="33"/>
      <c r="E114" s="33"/>
      <c r="F114" s="33"/>
      <c r="G114" s="33"/>
    </row>
    <row r="115" spans="4:7">
      <c r="D115" s="33"/>
      <c r="E115" s="33"/>
      <c r="F115" s="33"/>
      <c r="G115" s="33"/>
    </row>
    <row r="116" spans="4:7">
      <c r="D116" s="33"/>
      <c r="E116" s="33"/>
      <c r="F116" s="33"/>
      <c r="G116" s="33"/>
    </row>
    <row r="117" spans="4:7">
      <c r="D117" s="33"/>
      <c r="E117" s="33"/>
      <c r="F117" s="33"/>
      <c r="G117" s="33"/>
    </row>
    <row r="118" spans="4:7">
      <c r="D118" s="33"/>
      <c r="E118" s="33"/>
      <c r="F118" s="33"/>
      <c r="G118" s="33"/>
    </row>
    <row r="119" spans="4:7">
      <c r="D119" s="33"/>
      <c r="E119" s="33"/>
      <c r="F119" s="33"/>
      <c r="G119" s="33"/>
    </row>
    <row r="120" spans="4:7">
      <c r="D120" s="33"/>
      <c r="E120" s="33"/>
      <c r="F120" s="33"/>
      <c r="G120" s="33"/>
    </row>
    <row r="121" spans="4:7">
      <c r="D121" s="33"/>
      <c r="E121" s="33"/>
      <c r="F121" s="33"/>
      <c r="G121" s="33"/>
    </row>
    <row r="122" spans="4:7">
      <c r="D122" s="33"/>
      <c r="E122" s="33"/>
      <c r="F122" s="33"/>
      <c r="G122" s="33"/>
    </row>
    <row r="123" spans="4:7">
      <c r="D123" s="33"/>
      <c r="E123" s="33"/>
      <c r="F123" s="33"/>
      <c r="G123" s="33"/>
    </row>
    <row r="124" spans="4:7">
      <c r="D124" s="33"/>
      <c r="E124" s="33"/>
      <c r="F124" s="33"/>
      <c r="G124" s="33"/>
    </row>
    <row r="125" spans="4:7">
      <c r="D125" s="33"/>
      <c r="E125" s="33"/>
      <c r="F125" s="33"/>
      <c r="G125" s="33"/>
    </row>
    <row r="126" spans="4:7">
      <c r="D126" s="33"/>
      <c r="E126" s="33"/>
      <c r="F126" s="33"/>
      <c r="G126" s="33"/>
    </row>
    <row r="127" spans="4:7">
      <c r="D127" s="33"/>
      <c r="E127" s="33"/>
      <c r="F127" s="33"/>
      <c r="G127" s="33"/>
    </row>
    <row r="128" spans="4:7">
      <c r="D128" s="33"/>
      <c r="E128" s="33"/>
      <c r="F128" s="33"/>
      <c r="G128" s="33"/>
    </row>
    <row r="129" spans="4:7">
      <c r="D129" s="33"/>
      <c r="E129" s="33"/>
      <c r="F129" s="33"/>
      <c r="G129" s="33"/>
    </row>
    <row r="130" spans="4:7">
      <c r="D130" s="33"/>
      <c r="E130" s="33"/>
      <c r="F130" s="33"/>
      <c r="G130" s="33"/>
    </row>
    <row r="131" spans="4:7">
      <c r="D131" s="33"/>
      <c r="E131" s="33"/>
      <c r="F131" s="33"/>
      <c r="G131" s="33"/>
    </row>
    <row r="132" spans="4:7">
      <c r="D132" s="33"/>
      <c r="E132" s="33"/>
      <c r="F132" s="33"/>
      <c r="G132" s="33"/>
    </row>
    <row r="133" spans="4:7">
      <c r="D133" s="33"/>
      <c r="E133" s="33"/>
      <c r="F133" s="33"/>
      <c r="G133" s="33"/>
    </row>
    <row r="134" spans="4:7">
      <c r="D134" s="33"/>
      <c r="E134" s="33"/>
      <c r="F134" s="33"/>
      <c r="G134" s="33"/>
    </row>
    <row r="135" spans="4:7">
      <c r="D135" s="33"/>
      <c r="E135" s="33"/>
      <c r="F135" s="33"/>
      <c r="G135" s="33"/>
    </row>
    <row r="136" spans="4:7">
      <c r="D136" s="33"/>
      <c r="E136" s="33"/>
      <c r="F136" s="33"/>
      <c r="G136" s="33"/>
    </row>
    <row r="137" spans="4:7">
      <c r="D137" s="33"/>
      <c r="E137" s="33"/>
      <c r="F137" s="33"/>
      <c r="G137" s="33"/>
    </row>
    <row r="138" spans="4:7">
      <c r="D138" s="33"/>
      <c r="E138" s="33"/>
      <c r="F138" s="33"/>
      <c r="G138" s="33"/>
    </row>
    <row r="139" spans="4:7">
      <c r="D139" s="33"/>
      <c r="E139" s="33"/>
      <c r="F139" s="33"/>
      <c r="G139" s="33"/>
    </row>
    <row r="140" spans="4:7">
      <c r="D140" s="33"/>
      <c r="E140" s="33"/>
      <c r="F140" s="33"/>
      <c r="G140" s="33"/>
    </row>
    <row r="141" spans="4:7">
      <c r="D141" s="33"/>
      <c r="E141" s="33"/>
      <c r="F141" s="33"/>
      <c r="G141" s="33"/>
    </row>
    <row r="142" spans="4:7">
      <c r="D142" s="33"/>
      <c r="E142" s="33"/>
      <c r="F142" s="33"/>
      <c r="G142" s="33"/>
    </row>
    <row r="143" spans="4:7">
      <c r="D143" s="33"/>
      <c r="E143" s="33"/>
      <c r="F143" s="33"/>
      <c r="G143" s="33"/>
    </row>
    <row r="144" spans="4:7">
      <c r="D144" s="33"/>
      <c r="E144" s="33"/>
      <c r="F144" s="33"/>
      <c r="G144" s="33"/>
    </row>
    <row r="145" spans="4:7">
      <c r="D145" s="33"/>
      <c r="E145" s="33"/>
      <c r="F145" s="33"/>
      <c r="G145" s="33"/>
    </row>
    <row r="146" spans="4:7">
      <c r="D146" s="33"/>
      <c r="E146" s="33"/>
      <c r="F146" s="33"/>
      <c r="G146" s="33"/>
    </row>
    <row r="147" spans="4:7">
      <c r="D147" s="33"/>
      <c r="E147" s="33"/>
      <c r="F147" s="33"/>
      <c r="G147" s="33"/>
    </row>
    <row r="148" spans="4:7">
      <c r="D148" s="33"/>
      <c r="E148" s="33"/>
      <c r="F148" s="33"/>
      <c r="G148" s="33"/>
    </row>
    <row r="149" spans="4:7">
      <c r="D149" s="33"/>
      <c r="E149" s="33"/>
      <c r="F149" s="33"/>
      <c r="G149" s="33"/>
    </row>
    <row r="150" spans="4:7">
      <c r="D150" s="33"/>
      <c r="E150" s="33"/>
      <c r="F150" s="33"/>
      <c r="G150" s="33"/>
    </row>
    <row r="151" spans="4:7">
      <c r="D151" s="33"/>
      <c r="E151" s="33"/>
      <c r="F151" s="33"/>
      <c r="G151" s="33"/>
    </row>
    <row r="152" spans="4:7">
      <c r="D152" s="33"/>
      <c r="E152" s="33"/>
      <c r="F152" s="33"/>
      <c r="G152" s="33"/>
    </row>
    <row r="153" spans="4:7">
      <c r="D153" s="33"/>
      <c r="E153" s="33"/>
      <c r="F153" s="33"/>
      <c r="G153" s="33"/>
    </row>
    <row r="154" spans="4:7">
      <c r="D154" s="33"/>
      <c r="E154" s="33"/>
      <c r="F154" s="33"/>
      <c r="G154" s="33"/>
    </row>
    <row r="155" spans="4:7">
      <c r="D155" s="33"/>
      <c r="E155" s="33"/>
      <c r="F155" s="33"/>
      <c r="G155" s="33"/>
    </row>
    <row r="156" spans="4:7">
      <c r="D156" s="33"/>
      <c r="E156" s="33"/>
      <c r="F156" s="33"/>
      <c r="G156" s="33"/>
    </row>
    <row r="157" spans="4:7">
      <c r="D157" s="33"/>
      <c r="E157" s="33"/>
      <c r="F157" s="33"/>
      <c r="G157" s="33"/>
    </row>
    <row r="158" spans="4:7">
      <c r="D158" s="33"/>
      <c r="E158" s="33"/>
      <c r="F158" s="33"/>
      <c r="G158" s="33"/>
    </row>
    <row r="159" spans="4:7">
      <c r="D159" s="33"/>
      <c r="E159" s="33"/>
      <c r="F159" s="33"/>
      <c r="G159" s="33"/>
    </row>
    <row r="160" spans="4:7">
      <c r="D160" s="33"/>
      <c r="E160" s="33"/>
      <c r="F160" s="33"/>
      <c r="G160" s="33"/>
    </row>
    <row r="161" spans="4:7">
      <c r="D161" s="33"/>
      <c r="E161" s="33"/>
      <c r="F161" s="33"/>
      <c r="G161" s="33"/>
    </row>
    <row r="162" spans="4:7">
      <c r="D162" s="33"/>
      <c r="E162" s="33"/>
      <c r="F162" s="33"/>
      <c r="G162" s="33"/>
    </row>
    <row r="163" spans="4:7">
      <c r="D163" s="33"/>
      <c r="E163" s="33"/>
      <c r="F163" s="33"/>
      <c r="G163" s="33"/>
    </row>
    <row r="164" spans="4:7">
      <c r="D164" s="33"/>
      <c r="E164" s="33"/>
      <c r="F164" s="33"/>
      <c r="G164" s="33"/>
    </row>
    <row r="165" spans="4:7">
      <c r="D165" s="33"/>
      <c r="E165" s="33"/>
      <c r="F165" s="33"/>
      <c r="G165" s="33"/>
    </row>
    <row r="166" spans="4:7">
      <c r="D166" s="33"/>
      <c r="E166" s="33"/>
      <c r="F166" s="33"/>
      <c r="G166" s="33"/>
    </row>
    <row r="167" spans="4:7">
      <c r="D167" s="33"/>
      <c r="E167" s="33"/>
      <c r="F167" s="33"/>
      <c r="G167" s="33"/>
    </row>
    <row r="168" spans="4:7">
      <c r="D168" s="33"/>
      <c r="E168" s="33"/>
      <c r="F168" s="33"/>
      <c r="G168" s="33"/>
    </row>
    <row r="169" spans="4:7">
      <c r="D169" s="33"/>
      <c r="E169" s="33"/>
      <c r="F169" s="33"/>
      <c r="G169" s="33"/>
    </row>
    <row r="170" spans="4:7">
      <c r="D170" s="33"/>
      <c r="E170" s="33"/>
      <c r="F170" s="33"/>
      <c r="G170" s="33"/>
    </row>
    <row r="171" spans="4:7">
      <c r="D171" s="33"/>
      <c r="E171" s="33"/>
      <c r="F171" s="33"/>
      <c r="G171" s="33"/>
    </row>
    <row r="172" spans="4:7">
      <c r="D172" s="33"/>
      <c r="E172" s="33"/>
      <c r="F172" s="33"/>
      <c r="G172" s="33"/>
    </row>
    <row r="173" spans="4:7">
      <c r="D173" s="33"/>
      <c r="E173" s="33"/>
      <c r="F173" s="33"/>
      <c r="G173" s="33"/>
    </row>
    <row r="174" spans="4:7">
      <c r="D174" s="33"/>
      <c r="E174" s="33"/>
      <c r="F174" s="33"/>
      <c r="G174" s="33"/>
    </row>
    <row r="175" spans="4:7">
      <c r="D175" s="33"/>
      <c r="E175" s="33"/>
      <c r="F175" s="33"/>
      <c r="G175" s="33"/>
    </row>
    <row r="176" spans="4:7">
      <c r="D176" s="33"/>
      <c r="E176" s="33"/>
      <c r="F176" s="33"/>
      <c r="G176" s="33"/>
    </row>
    <row r="177" spans="4:7">
      <c r="D177" s="33"/>
      <c r="E177" s="33"/>
      <c r="F177" s="33"/>
      <c r="G177" s="33"/>
    </row>
    <row r="178" spans="4:7">
      <c r="D178" s="33"/>
      <c r="E178" s="33"/>
      <c r="F178" s="33"/>
      <c r="G178" s="33"/>
    </row>
    <row r="179" spans="4:7">
      <c r="D179" s="33"/>
      <c r="E179" s="33"/>
      <c r="F179" s="33"/>
      <c r="G179" s="33"/>
    </row>
    <row r="180" spans="4:7">
      <c r="D180" s="33"/>
      <c r="E180" s="33"/>
      <c r="F180" s="33"/>
      <c r="G180" s="33"/>
    </row>
    <row r="181" spans="4:7">
      <c r="D181" s="33"/>
      <c r="E181" s="33"/>
      <c r="F181" s="33"/>
      <c r="G181" s="33"/>
    </row>
    <row r="182" spans="4:7">
      <c r="D182" s="33"/>
      <c r="E182" s="33"/>
      <c r="F182" s="33"/>
      <c r="G182" s="33"/>
    </row>
    <row r="183" spans="4:7">
      <c r="D183" s="33"/>
      <c r="E183" s="33"/>
      <c r="F183" s="33"/>
      <c r="G183" s="33"/>
    </row>
    <row r="184" spans="4:7">
      <c r="D184" s="33"/>
      <c r="E184" s="33"/>
      <c r="F184" s="33"/>
      <c r="G184" s="33"/>
    </row>
    <row r="185" spans="4:7">
      <c r="D185" s="33"/>
      <c r="E185" s="33"/>
      <c r="F185" s="33"/>
      <c r="G185" s="33"/>
    </row>
    <row r="186" spans="4:7">
      <c r="D186" s="33"/>
      <c r="E186" s="33"/>
      <c r="F186" s="33"/>
      <c r="G186" s="33"/>
    </row>
    <row r="187" spans="4:7">
      <c r="D187" s="33"/>
      <c r="E187" s="33"/>
      <c r="F187" s="33"/>
      <c r="G187" s="33"/>
    </row>
    <row r="188" spans="4:7">
      <c r="D188" s="33"/>
      <c r="E188" s="33"/>
      <c r="F188" s="33"/>
      <c r="G188" s="33"/>
    </row>
    <row r="189" spans="4:7">
      <c r="D189" s="33"/>
      <c r="E189" s="33"/>
      <c r="F189" s="33"/>
      <c r="G189" s="33"/>
    </row>
    <row r="190" spans="4:7">
      <c r="D190" s="33"/>
      <c r="E190" s="33"/>
      <c r="F190" s="33"/>
      <c r="G190" s="33"/>
    </row>
    <row r="191" spans="4:7">
      <c r="D191" s="33"/>
      <c r="E191" s="33"/>
      <c r="F191" s="33"/>
      <c r="G191" s="33"/>
    </row>
    <row r="192" spans="4:7">
      <c r="D192" s="33"/>
      <c r="E192" s="33"/>
      <c r="F192" s="33"/>
      <c r="G192" s="33"/>
    </row>
    <row r="193" spans="4:7">
      <c r="D193" s="33"/>
      <c r="E193" s="33"/>
      <c r="F193" s="33"/>
      <c r="G193" s="33"/>
    </row>
    <row r="194" spans="4:7">
      <c r="D194" s="33"/>
      <c r="E194" s="33"/>
      <c r="F194" s="33"/>
      <c r="G194" s="33"/>
    </row>
    <row r="195" spans="4:7">
      <c r="D195" s="33"/>
      <c r="E195" s="33"/>
      <c r="F195" s="33"/>
      <c r="G195" s="33"/>
    </row>
    <row r="196" spans="4:7">
      <c r="D196" s="33"/>
      <c r="E196" s="33"/>
      <c r="F196" s="33"/>
      <c r="G196" s="33"/>
    </row>
    <row r="197" spans="4:7">
      <c r="D197" s="33"/>
      <c r="E197" s="33"/>
      <c r="F197" s="33"/>
      <c r="G197" s="33"/>
    </row>
    <row r="198" spans="4:7">
      <c r="D198" s="33"/>
      <c r="E198" s="33"/>
      <c r="F198" s="33"/>
      <c r="G198" s="33"/>
    </row>
    <row r="199" spans="4:7">
      <c r="D199" s="33"/>
      <c r="E199" s="33"/>
      <c r="F199" s="33"/>
      <c r="G199" s="33"/>
    </row>
    <row r="200" spans="4:7">
      <c r="D200" s="33"/>
      <c r="E200" s="33"/>
      <c r="F200" s="33"/>
      <c r="G200" s="33"/>
    </row>
    <row r="201" spans="4:7">
      <c r="D201" s="33"/>
      <c r="E201" s="33"/>
      <c r="F201" s="33"/>
      <c r="G201" s="33"/>
    </row>
    <row r="202" spans="4:7">
      <c r="D202" s="33"/>
      <c r="E202" s="33"/>
      <c r="F202" s="33"/>
      <c r="G202" s="33"/>
    </row>
    <row r="203" spans="4:7">
      <c r="D203" s="33"/>
      <c r="E203" s="33"/>
      <c r="F203" s="33"/>
      <c r="G203" s="33"/>
    </row>
    <row r="204" spans="4:7">
      <c r="D204" s="33"/>
      <c r="E204" s="33"/>
      <c r="F204" s="33"/>
      <c r="G204" s="33"/>
    </row>
    <row r="205" spans="4:7">
      <c r="D205" s="33"/>
      <c r="E205" s="33"/>
      <c r="F205" s="33"/>
      <c r="G205" s="33"/>
    </row>
    <row r="206" spans="4:7">
      <c r="D206" s="33"/>
      <c r="E206" s="33"/>
      <c r="F206" s="33"/>
      <c r="G206" s="33"/>
    </row>
    <row r="207" spans="4:7">
      <c r="D207" s="33"/>
      <c r="E207" s="33"/>
      <c r="F207" s="33"/>
      <c r="G207" s="33"/>
    </row>
    <row r="208" spans="4:7">
      <c r="D208" s="33"/>
      <c r="E208" s="33"/>
      <c r="F208" s="33"/>
      <c r="G208" s="33"/>
    </row>
    <row r="209" spans="4:7">
      <c r="D209" s="33"/>
      <c r="E209" s="33"/>
      <c r="F209" s="33"/>
      <c r="G209" s="33"/>
    </row>
    <row r="210" spans="4:7">
      <c r="D210" s="33"/>
      <c r="E210" s="33"/>
      <c r="F210" s="33"/>
      <c r="G210" s="33"/>
    </row>
    <row r="211" spans="4:7">
      <c r="D211" s="33"/>
      <c r="E211" s="33"/>
      <c r="F211" s="33"/>
      <c r="G211" s="33"/>
    </row>
    <row r="212" spans="4:7">
      <c r="D212" s="33"/>
      <c r="E212" s="33"/>
      <c r="F212" s="33"/>
      <c r="G212" s="33"/>
    </row>
    <row r="213" spans="4:7">
      <c r="D213" s="33"/>
      <c r="E213" s="33"/>
      <c r="F213" s="33"/>
      <c r="G213" s="33"/>
    </row>
    <row r="214" spans="4:7">
      <c r="D214" s="33"/>
      <c r="E214" s="33"/>
      <c r="F214" s="33"/>
      <c r="G214" s="33"/>
    </row>
    <row r="215" spans="4:7">
      <c r="D215" s="33"/>
      <c r="E215" s="33"/>
      <c r="F215" s="33"/>
      <c r="G215" s="33"/>
    </row>
    <row r="216" spans="4:7">
      <c r="D216" s="33"/>
      <c r="E216" s="33"/>
      <c r="F216" s="33"/>
      <c r="G216" s="33"/>
    </row>
    <row r="217" spans="4:7">
      <c r="D217" s="33"/>
      <c r="E217" s="33"/>
      <c r="F217" s="33"/>
      <c r="G217" s="33"/>
    </row>
    <row r="218" spans="4:7">
      <c r="D218" s="33"/>
      <c r="E218" s="33"/>
      <c r="F218" s="33"/>
      <c r="G218" s="33"/>
    </row>
    <row r="219" spans="4:7">
      <c r="D219" s="33"/>
      <c r="E219" s="33"/>
      <c r="F219" s="33"/>
      <c r="G219" s="33"/>
    </row>
    <row r="220" spans="4:7">
      <c r="D220" s="33"/>
      <c r="E220" s="33"/>
      <c r="F220" s="33"/>
      <c r="G220" s="33"/>
    </row>
    <row r="221" spans="4:7">
      <c r="D221" s="33"/>
      <c r="E221" s="33"/>
      <c r="F221" s="33"/>
      <c r="G221" s="33"/>
    </row>
    <row r="222" spans="4:7">
      <c r="D222" s="33"/>
      <c r="E222" s="33"/>
      <c r="F222" s="33"/>
      <c r="G222" s="33"/>
    </row>
    <row r="223" spans="4:7">
      <c r="D223" s="33"/>
      <c r="E223" s="33"/>
      <c r="F223" s="33"/>
      <c r="G223" s="33"/>
    </row>
    <row r="224" spans="4:7">
      <c r="D224" s="33"/>
      <c r="E224" s="33"/>
      <c r="F224" s="33"/>
      <c r="G224" s="33"/>
    </row>
    <row r="225" spans="4:7">
      <c r="D225" s="33"/>
      <c r="E225" s="33"/>
      <c r="F225" s="33"/>
      <c r="G225" s="33"/>
    </row>
    <row r="226" spans="4:7">
      <c r="D226" s="33"/>
      <c r="E226" s="33"/>
      <c r="F226" s="33"/>
      <c r="G226" s="33"/>
    </row>
    <row r="227" spans="4:7">
      <c r="D227" s="33"/>
      <c r="E227" s="33"/>
      <c r="F227" s="33"/>
      <c r="G227" s="33"/>
    </row>
    <row r="228" spans="4:7">
      <c r="D228" s="33"/>
      <c r="E228" s="33"/>
      <c r="F228" s="33"/>
      <c r="G228" s="33"/>
    </row>
    <row r="229" spans="4:7">
      <c r="D229" s="33"/>
      <c r="E229" s="33"/>
      <c r="F229" s="33"/>
      <c r="G229" s="33"/>
    </row>
    <row r="230" spans="4:7">
      <c r="D230" s="33"/>
      <c r="E230" s="33"/>
      <c r="F230" s="33"/>
      <c r="G230" s="33"/>
    </row>
    <row r="231" spans="4:7">
      <c r="D231" s="33"/>
      <c r="E231" s="33"/>
      <c r="F231" s="33"/>
      <c r="G231" s="33"/>
    </row>
    <row r="232" spans="4:7">
      <c r="D232" s="33"/>
      <c r="E232" s="33"/>
      <c r="F232" s="33"/>
      <c r="G232" s="33"/>
    </row>
    <row r="233" spans="4:7">
      <c r="D233" s="33"/>
      <c r="E233" s="33"/>
      <c r="F233" s="33"/>
      <c r="G233" s="33"/>
    </row>
    <row r="234" spans="4:7">
      <c r="D234" s="33"/>
      <c r="E234" s="33"/>
      <c r="F234" s="33"/>
      <c r="G234" s="33"/>
    </row>
    <row r="235" spans="4:7">
      <c r="D235" s="33"/>
      <c r="E235" s="33"/>
      <c r="F235" s="33"/>
      <c r="G235" s="33"/>
    </row>
    <row r="236" spans="4:7">
      <c r="D236" s="33"/>
      <c r="E236" s="33"/>
      <c r="F236" s="33"/>
      <c r="G236" s="33"/>
    </row>
    <row r="237" spans="4:7">
      <c r="D237" s="33"/>
      <c r="E237" s="33"/>
      <c r="F237" s="33"/>
      <c r="G237" s="33"/>
    </row>
    <row r="238" spans="4:7">
      <c r="D238" s="33"/>
      <c r="E238" s="33"/>
      <c r="F238" s="33"/>
      <c r="G238" s="33"/>
    </row>
    <row r="239" spans="4:7">
      <c r="D239" s="33"/>
      <c r="E239" s="33"/>
      <c r="F239" s="33"/>
      <c r="G239" s="33"/>
    </row>
    <row r="240" spans="4:7">
      <c r="D240" s="33"/>
      <c r="E240" s="33"/>
      <c r="F240" s="33"/>
      <c r="G240" s="33"/>
    </row>
    <row r="241" spans="4:7">
      <c r="D241" s="33"/>
      <c r="E241" s="33"/>
      <c r="F241" s="33"/>
      <c r="G241" s="33"/>
    </row>
    <row r="242" spans="4:7">
      <c r="D242" s="33"/>
      <c r="E242" s="33"/>
      <c r="F242" s="33"/>
      <c r="G242" s="33"/>
    </row>
    <row r="243" spans="4:7">
      <c r="D243" s="33"/>
      <c r="E243" s="33"/>
      <c r="F243" s="33"/>
      <c r="G243" s="33"/>
    </row>
    <row r="244" spans="4:7">
      <c r="D244" s="33"/>
      <c r="E244" s="33"/>
      <c r="F244" s="33"/>
      <c r="G244" s="33"/>
    </row>
    <row r="245" spans="4:7">
      <c r="D245" s="33"/>
      <c r="E245" s="33"/>
      <c r="F245" s="33"/>
      <c r="G245" s="33"/>
    </row>
    <row r="246" spans="4:7">
      <c r="D246" s="33"/>
      <c r="E246" s="33"/>
      <c r="F246" s="33"/>
      <c r="G246" s="33"/>
    </row>
    <row r="247" spans="4:7">
      <c r="D247" s="33"/>
      <c r="E247" s="33"/>
      <c r="F247" s="33"/>
      <c r="G247" s="33"/>
    </row>
    <row r="248" spans="4:7">
      <c r="D248" s="33"/>
      <c r="E248" s="33"/>
      <c r="F248" s="33"/>
      <c r="G248" s="33"/>
    </row>
    <row r="249" spans="4:7">
      <c r="D249" s="33"/>
      <c r="E249" s="33"/>
      <c r="F249" s="33"/>
      <c r="G249" s="33"/>
    </row>
    <row r="250" spans="4:7">
      <c r="D250" s="33"/>
      <c r="E250" s="33"/>
      <c r="F250" s="33"/>
      <c r="G250" s="33"/>
    </row>
    <row r="251" spans="4:7">
      <c r="D251" s="33"/>
      <c r="E251" s="33"/>
      <c r="F251" s="33"/>
      <c r="G251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7588-6D13-436F-8EAE-6FBEBB83E0D2}">
  <dimension ref="A5:B47"/>
  <sheetViews>
    <sheetView workbookViewId="0">
      <selection activeCell="C6" sqref="C6"/>
    </sheetView>
  </sheetViews>
  <sheetFormatPr defaultRowHeight="14.4"/>
  <cols>
    <col min="1" max="1" width="20" customWidth="1"/>
    <col min="2" max="2" width="106.33203125" customWidth="1"/>
  </cols>
  <sheetData>
    <row r="5" spans="1:2" ht="61.2" customHeight="1">
      <c r="A5" s="26" t="s">
        <v>94</v>
      </c>
      <c r="B5" s="27" t="s">
        <v>93</v>
      </c>
    </row>
    <row r="6" spans="1:2">
      <c r="B6" s="25"/>
    </row>
    <row r="7" spans="1:2">
      <c r="B7" s="25"/>
    </row>
    <row r="8" spans="1:2">
      <c r="B8" s="25"/>
    </row>
    <row r="9" spans="1:2">
      <c r="B9" s="25"/>
    </row>
    <row r="10" spans="1:2">
      <c r="B10" s="25"/>
    </row>
    <row r="11" spans="1:2">
      <c r="B11" s="25"/>
    </row>
    <row r="12" spans="1:2">
      <c r="B12" s="25"/>
    </row>
    <row r="13" spans="1:2">
      <c r="B13" s="25"/>
    </row>
    <row r="14" spans="1:2">
      <c r="B14" s="25"/>
    </row>
    <row r="15" spans="1:2">
      <c r="B15" s="25"/>
    </row>
    <row r="16" spans="1:2">
      <c r="B16" s="25"/>
    </row>
    <row r="17" spans="2:2">
      <c r="B17" s="25"/>
    </row>
    <row r="18" spans="2:2">
      <c r="B18" s="25"/>
    </row>
    <row r="19" spans="2:2">
      <c r="B19" s="25"/>
    </row>
    <row r="20" spans="2:2">
      <c r="B20" s="25"/>
    </row>
    <row r="21" spans="2:2">
      <c r="B21" s="25"/>
    </row>
    <row r="22" spans="2:2">
      <c r="B22" s="25"/>
    </row>
    <row r="23" spans="2:2">
      <c r="B23" s="25"/>
    </row>
    <row r="24" spans="2:2">
      <c r="B24" s="25"/>
    </row>
    <row r="25" spans="2:2">
      <c r="B25" s="25"/>
    </row>
    <row r="26" spans="2:2">
      <c r="B26" s="25"/>
    </row>
    <row r="27" spans="2:2">
      <c r="B27" s="25"/>
    </row>
    <row r="28" spans="2:2">
      <c r="B28" s="25"/>
    </row>
    <row r="29" spans="2:2">
      <c r="B29" s="25"/>
    </row>
    <row r="30" spans="2:2">
      <c r="B30" s="25"/>
    </row>
    <row r="31" spans="2:2">
      <c r="B31" s="25"/>
    </row>
    <row r="32" spans="2:2">
      <c r="B32" s="25"/>
    </row>
    <row r="33" spans="2:2">
      <c r="B33" s="25"/>
    </row>
    <row r="34" spans="2:2">
      <c r="B34" s="25"/>
    </row>
    <row r="35" spans="2:2">
      <c r="B35" s="25"/>
    </row>
    <row r="36" spans="2:2">
      <c r="B36" s="25"/>
    </row>
    <row r="37" spans="2:2">
      <c r="B37" s="25"/>
    </row>
    <row r="38" spans="2:2">
      <c r="B38" s="25"/>
    </row>
    <row r="39" spans="2:2">
      <c r="B39" s="25"/>
    </row>
    <row r="40" spans="2:2">
      <c r="B40" s="25"/>
    </row>
    <row r="41" spans="2:2">
      <c r="B41" s="25"/>
    </row>
    <row r="42" spans="2:2">
      <c r="B42" s="25"/>
    </row>
    <row r="43" spans="2:2">
      <c r="B43" s="25"/>
    </row>
    <row r="44" spans="2:2">
      <c r="B44" s="25"/>
    </row>
    <row r="45" spans="2:2">
      <c r="B45" s="25"/>
    </row>
    <row r="46" spans="2:2">
      <c r="B46" s="25"/>
    </row>
    <row r="47" spans="2:2">
      <c r="B4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One page Profile</vt:lpstr>
      <vt:lpstr>Profit &amp; Loss</vt:lpstr>
      <vt:lpstr>Quarters</vt:lpstr>
      <vt:lpstr>Balance Sheet</vt:lpstr>
      <vt:lpstr>Cash Flow</vt:lpstr>
      <vt:lpstr>Customization</vt:lpstr>
      <vt:lpstr>Rough</vt:lpstr>
      <vt:lpstr>Sheet3</vt:lpstr>
      <vt:lpstr>Input Sheet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Anisha Khawale</cp:lastModifiedBy>
  <cp:lastPrinted>2012-12-06T18:14:13Z</cp:lastPrinted>
  <dcterms:created xsi:type="dcterms:W3CDTF">2012-08-17T09:55:37Z</dcterms:created>
  <dcterms:modified xsi:type="dcterms:W3CDTF">2025-03-29T15:08:04Z</dcterms:modified>
</cp:coreProperties>
</file>