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Facultate\ANMB\Anu 3\MDN\"/>
    </mc:Choice>
  </mc:AlternateContent>
  <xr:revisionPtr revIDLastSave="0" documentId="13_ncr:1_{C4727F37-81A5-45BE-9978-8BBADF55BD59}" xr6:coauthVersionLast="45" xr6:coauthVersionMax="45" xr10:uidLastSave="{00000000-0000-0000-0000-000000000000}"/>
  <bookViews>
    <workbookView xWindow="13815" yWindow="6015" windowWidth="13575" windowHeight="9165" xr2:uid="{46531FB4-BB63-4E85-9C60-C34868854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3" i="1" l="1"/>
  <c r="CU3" i="1"/>
  <c r="CS7" i="1"/>
  <c r="CS3" i="1"/>
  <c r="CR3" i="1"/>
  <c r="CN5" i="1"/>
  <c r="BV3" i="1"/>
  <c r="CP3" i="1"/>
  <c r="CM3" i="1"/>
  <c r="CO3" i="1"/>
  <c r="CN3" i="1"/>
  <c r="CL5" i="1"/>
  <c r="CK3" i="1"/>
  <c r="CI3" i="1"/>
  <c r="CH3" i="1"/>
  <c r="CG3" i="1"/>
  <c r="CE3" i="1"/>
  <c r="CD3" i="1"/>
  <c r="CC3" i="1"/>
  <c r="CL3" i="1" s="1"/>
  <c r="C9" i="1"/>
  <c r="CB3" i="1"/>
  <c r="BZ3" i="1"/>
  <c r="CA3" i="1" s="1"/>
  <c r="BX3" i="1"/>
  <c r="BY3" i="1" s="1"/>
  <c r="BU3" i="1"/>
  <c r="B7" i="1"/>
  <c r="B6" i="1"/>
  <c r="BT3" i="1"/>
  <c r="BS3" i="1"/>
  <c r="BO8" i="1"/>
  <c r="BR10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Q22" i="1"/>
  <c r="BQ14" i="1"/>
  <c r="BQ10" i="1"/>
  <c r="BW6" i="1"/>
  <c r="BV6" i="1"/>
  <c r="BU6" i="1"/>
  <c r="BT6" i="1"/>
  <c r="BS6" i="1"/>
  <c r="BL9" i="1"/>
  <c r="BR6" i="1"/>
  <c r="BQ6" i="1"/>
  <c r="BP6" i="1"/>
  <c r="BO6" i="1"/>
  <c r="BN6" i="1"/>
  <c r="BM6" i="1"/>
  <c r="BL6" i="1"/>
  <c r="BR3" i="1"/>
  <c r="BQ3" i="1"/>
  <c r="BP3" i="1"/>
  <c r="BO3" i="1"/>
  <c r="BN3" i="1"/>
  <c r="BM3" i="1"/>
  <c r="BL3" i="1"/>
  <c r="BJ15" i="1"/>
  <c r="BJ14" i="1"/>
  <c r="BJ13" i="1"/>
  <c r="BJ12" i="1"/>
  <c r="BJ11" i="1"/>
  <c r="BJ10" i="1"/>
  <c r="BJ9" i="1"/>
  <c r="BI15" i="1"/>
  <c r="BI10" i="1"/>
  <c r="BI11" i="1"/>
  <c r="BI12" i="1"/>
  <c r="BI13" i="1"/>
  <c r="BI14" i="1"/>
  <c r="BI9" i="1"/>
  <c r="BK3" i="1"/>
  <c r="BJ3" i="1"/>
  <c r="BG3" i="1"/>
  <c r="BH3" i="1"/>
  <c r="BI3" i="1" s="1"/>
  <c r="BF3" i="1"/>
  <c r="BE3" i="1"/>
  <c r="BD3" i="1"/>
  <c r="BE13" i="1"/>
  <c r="BD13" i="1"/>
  <c r="BC13" i="1"/>
  <c r="BB13" i="1"/>
  <c r="BA13" i="1"/>
  <c r="AZ13" i="1"/>
  <c r="BC3" i="1"/>
  <c r="BB3" i="1"/>
  <c r="L23" i="1"/>
  <c r="J23" i="1"/>
  <c r="N22" i="1"/>
  <c r="N23" i="1"/>
  <c r="K23" i="1"/>
  <c r="M23" i="1"/>
  <c r="L14" i="1"/>
  <c r="L20" i="1"/>
  <c r="L22" i="1"/>
  <c r="M22" i="1"/>
  <c r="K22" i="1"/>
  <c r="J22" i="1"/>
  <c r="BA3" i="1"/>
  <c r="AZ3" i="1"/>
  <c r="AX3" i="1"/>
  <c r="AY3" i="1"/>
  <c r="AW3" i="1"/>
  <c r="AW13" i="1"/>
  <c r="AV13" i="1"/>
  <c r="AU13" i="1"/>
  <c r="AT13" i="1"/>
  <c r="AS13" i="1"/>
  <c r="AR13" i="1"/>
  <c r="AQ13" i="1"/>
  <c r="AP13" i="1"/>
  <c r="AV3" i="1"/>
  <c r="AU3" i="1"/>
  <c r="N19" i="1"/>
  <c r="M17" i="1"/>
  <c r="L17" i="1"/>
  <c r="J7" i="1"/>
  <c r="K20" i="1"/>
  <c r="J20" i="1"/>
  <c r="K19" i="1"/>
  <c r="L19" i="1"/>
  <c r="M19" i="1"/>
  <c r="M20" i="1" s="1"/>
  <c r="J19" i="1"/>
  <c r="N17" i="1"/>
  <c r="K17" i="1"/>
  <c r="J17" i="1"/>
  <c r="AT3" i="1"/>
  <c r="AS3" i="1"/>
  <c r="AR3" i="1"/>
  <c r="AQ3" i="1"/>
  <c r="AQ4" i="1"/>
  <c r="AQ6" i="1"/>
  <c r="AQ5" i="1"/>
  <c r="AQ8" i="1"/>
  <c r="AQ7" i="1"/>
  <c r="AO3" i="1"/>
  <c r="AN3" i="1"/>
  <c r="AM3" i="1"/>
  <c r="AL3" i="1"/>
  <c r="AK3" i="1"/>
  <c r="AJ3" i="1"/>
  <c r="AE14" i="1"/>
  <c r="AE13" i="1"/>
  <c r="AE12" i="1"/>
  <c r="AE11" i="1"/>
  <c r="AE10" i="1"/>
  <c r="AE9" i="1"/>
  <c r="AD14" i="1"/>
  <c r="AD13" i="1"/>
  <c r="AD12" i="1"/>
  <c r="AD11" i="1"/>
  <c r="AD10" i="1"/>
  <c r="AD9" i="1"/>
  <c r="AE8" i="1"/>
  <c r="AD8" i="1"/>
  <c r="AE7" i="1"/>
  <c r="AD7" i="1"/>
  <c r="AH3" i="1"/>
  <c r="AI3" i="1"/>
  <c r="N7" i="1"/>
  <c r="N10" i="1"/>
  <c r="AG3" i="1"/>
  <c r="AF3" i="1"/>
  <c r="AD3" i="1"/>
  <c r="AC3" i="1"/>
  <c r="AB3" i="1"/>
  <c r="AA3" i="1"/>
  <c r="Z3" i="1"/>
  <c r="T4" i="1"/>
  <c r="T5" i="1"/>
  <c r="T3" i="1"/>
  <c r="Y3" i="1"/>
  <c r="X3" i="1"/>
  <c r="W3" i="1"/>
  <c r="V3" i="1"/>
  <c r="U3" i="1"/>
  <c r="Q11" i="1"/>
  <c r="Q10" i="1"/>
  <c r="P13" i="1"/>
  <c r="P12" i="1"/>
  <c r="P11" i="1"/>
  <c r="P10" i="1"/>
  <c r="Q3" i="1"/>
  <c r="P3" i="1"/>
  <c r="M14" i="1"/>
  <c r="K14" i="1"/>
  <c r="J14" i="1"/>
  <c r="N13" i="1"/>
  <c r="BW3" i="1" l="1"/>
  <c r="CJ3" i="1"/>
  <c r="CM5" i="1"/>
  <c r="N20" i="1"/>
  <c r="K10" i="1"/>
  <c r="L10" i="1"/>
  <c r="M10" i="1"/>
  <c r="J10" i="1"/>
  <c r="K7" i="1"/>
  <c r="M7" i="1"/>
  <c r="L7" i="1"/>
  <c r="O3" i="1"/>
  <c r="N3" i="1"/>
  <c r="M3" i="1"/>
  <c r="I3" i="1" l="1"/>
</calcChain>
</file>

<file path=xl/sharedStrings.xml><?xml version="1.0" encoding="utf-8"?>
<sst xmlns="http://schemas.openxmlformats.org/spreadsheetml/2006/main" count="166" uniqueCount="154">
  <si>
    <t>Proiect MDN</t>
  </si>
  <si>
    <t>D(mm)</t>
  </si>
  <si>
    <t>S(mm)</t>
  </si>
  <si>
    <r>
      <t>v</t>
    </r>
    <r>
      <rPr>
        <vertAlign val="subscript"/>
        <sz val="11"/>
        <color theme="1"/>
        <rFont val="Calibri"/>
        <family val="2"/>
        <scheme val="minor"/>
      </rPr>
      <t>mp</t>
    </r>
    <r>
      <rPr>
        <sz val="11"/>
        <color theme="1"/>
        <rFont val="Calibri"/>
        <family val="2"/>
        <scheme val="minor"/>
      </rPr>
      <t>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</si>
  <si>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e</t>
    </r>
  </si>
  <si>
    <r>
      <t>P</t>
    </r>
    <r>
      <rPr>
        <vertAlign val="subscript"/>
        <sz val="11"/>
        <color theme="1"/>
        <rFont val="Calibri"/>
        <family val="2"/>
        <scheme val="minor"/>
      </rPr>
      <t>cil</t>
    </r>
    <r>
      <rPr>
        <sz val="11"/>
        <color theme="1"/>
        <rFont val="Calibri"/>
        <family val="2"/>
        <scheme val="minor"/>
      </rPr>
      <t>(KW)</t>
    </r>
  </si>
  <si>
    <r>
      <t>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(KW)</t>
    </r>
  </si>
  <si>
    <t>cilindri(i)</t>
  </si>
  <si>
    <t>timpi(t)</t>
  </si>
  <si>
    <t>n(rpm)</t>
  </si>
  <si>
    <t>carbon ©</t>
  </si>
  <si>
    <t>hidrogen (h)</t>
  </si>
  <si>
    <t>oxigen (o)</t>
  </si>
  <si>
    <r>
      <t>O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</si>
  <si>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t</t>
    </r>
  </si>
  <si>
    <t>L</t>
  </si>
  <si>
    <t>CO2</t>
  </si>
  <si>
    <t>H2O</t>
  </si>
  <si>
    <t>O2</t>
  </si>
  <si>
    <t>N2</t>
  </si>
  <si>
    <t>sum</t>
  </si>
  <si>
    <t>Gaze arse</t>
  </si>
  <si>
    <t>gaze arse reziduale</t>
  </si>
  <si>
    <r>
      <t>m</t>
    </r>
    <r>
      <rPr>
        <vertAlign val="subscript"/>
        <sz val="11"/>
        <color theme="1"/>
        <rFont val="Calibri"/>
        <family val="2"/>
        <scheme val="minor"/>
      </rPr>
      <t>a m "a"</t>
    </r>
  </si>
  <si>
    <t>Maer</t>
  </si>
  <si>
    <t>Mco2</t>
  </si>
  <si>
    <t>Mh2o</t>
  </si>
  <si>
    <t>Mo2</t>
  </si>
  <si>
    <t>Mn2</t>
  </si>
  <si>
    <t>Sum</t>
  </si>
  <si>
    <r>
      <t>R</t>
    </r>
    <r>
      <rPr>
        <vertAlign val="subscript"/>
        <sz val="11"/>
        <color theme="1"/>
        <rFont val="Calibri"/>
        <family val="2"/>
        <scheme val="minor"/>
      </rPr>
      <t>a m "a"</t>
    </r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</si>
  <si>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</si>
  <si>
    <t>Taer</t>
  </si>
  <si>
    <t>IaerTaer</t>
  </si>
  <si>
    <t>Ico2Tr</t>
  </si>
  <si>
    <t>Ih2oTr</t>
  </si>
  <si>
    <t>Io2Tr</t>
  </si>
  <si>
    <t>In2Tr</t>
  </si>
  <si>
    <t>Iam"a"</t>
  </si>
  <si>
    <t>IamT1</t>
  </si>
  <si>
    <t>IamT2</t>
  </si>
  <si>
    <t>Ta GR</t>
  </si>
  <si>
    <t>Ta</t>
  </si>
  <si>
    <t>Delta Ta</t>
  </si>
  <si>
    <t>Pa</t>
  </si>
  <si>
    <t>Va</t>
  </si>
  <si>
    <t>landa v</t>
  </si>
  <si>
    <t>aam</t>
  </si>
  <si>
    <t>bam</t>
  </si>
  <si>
    <t>Pc</t>
  </si>
  <si>
    <t>Vc</t>
  </si>
  <si>
    <t>Tc</t>
  </si>
  <si>
    <t>Vinj</t>
  </si>
  <si>
    <t>nc</t>
  </si>
  <si>
    <t>Pinj</t>
  </si>
  <si>
    <t>Tinj</t>
  </si>
  <si>
    <t>Pinj kgf/cm2</t>
  </si>
  <si>
    <t>tau aa</t>
  </si>
  <si>
    <t>0v</t>
  </si>
  <si>
    <t>gv</t>
  </si>
  <si>
    <t>VvCO2</t>
  </si>
  <si>
    <t>VvH20</t>
  </si>
  <si>
    <t>VvO2</t>
  </si>
  <si>
    <t>VvN2</t>
  </si>
  <si>
    <t xml:space="preserve">Vv </t>
  </si>
  <si>
    <t>V'</t>
  </si>
  <si>
    <t>&lt;-Mam"y"</t>
  </si>
  <si>
    <t>mam"y"</t>
  </si>
  <si>
    <t>Ram"y"</t>
  </si>
  <si>
    <t>Uco2Tc</t>
  </si>
  <si>
    <t>Uh2oTc</t>
  </si>
  <si>
    <t>Uo2Tc</t>
  </si>
  <si>
    <t>Un2Tc</t>
  </si>
  <si>
    <t>Uam"c"</t>
  </si>
  <si>
    <t>Uam"y"</t>
  </si>
  <si>
    <t>T1</t>
  </si>
  <si>
    <t>T2</t>
  </si>
  <si>
    <t>Ty</t>
  </si>
  <si>
    <t>Py</t>
  </si>
  <si>
    <t>Vy</t>
  </si>
  <si>
    <t>landa p</t>
  </si>
  <si>
    <t>gp</t>
  </si>
  <si>
    <t>V''</t>
  </si>
  <si>
    <t>Mam"z"</t>
  </si>
  <si>
    <t>mam"z"</t>
  </si>
  <si>
    <t>Ram"z"</t>
  </si>
  <si>
    <t>Ico2Ty</t>
  </si>
  <si>
    <t>Ih2oTy</t>
  </si>
  <si>
    <t>Io2Ty</t>
  </si>
  <si>
    <t>In2Ty</t>
  </si>
  <si>
    <t>Iam"y"</t>
  </si>
  <si>
    <t>Iam"z"</t>
  </si>
  <si>
    <t>Iam1</t>
  </si>
  <si>
    <t>Iam2</t>
  </si>
  <si>
    <t>Tz</t>
  </si>
  <si>
    <t>Pz=Py</t>
  </si>
  <si>
    <t>Vz</t>
  </si>
  <si>
    <t>raport destindere</t>
  </si>
  <si>
    <t xml:space="preserve"> </t>
  </si>
  <si>
    <t>a'am</t>
  </si>
  <si>
    <t>b'am</t>
  </si>
  <si>
    <t>Nd</t>
  </si>
  <si>
    <t>Mg</t>
  </si>
  <si>
    <t>Md</t>
  </si>
  <si>
    <t>Vd</t>
  </si>
  <si>
    <t>Pd</t>
  </si>
  <si>
    <t>Td</t>
  </si>
  <si>
    <t>rap destindere</t>
  </si>
  <si>
    <t>rap de scadere a presiunii</t>
  </si>
  <si>
    <t>T'r</t>
  </si>
  <si>
    <t>delta Tr</t>
  </si>
  <si>
    <t>L'i</t>
  </si>
  <si>
    <t>Pi</t>
  </si>
  <si>
    <t>ni</t>
  </si>
  <si>
    <t>Ci</t>
  </si>
  <si>
    <t>Pe</t>
  </si>
  <si>
    <t>ne</t>
  </si>
  <si>
    <t>Ce</t>
  </si>
  <si>
    <t>Lic</t>
  </si>
  <si>
    <t>k</t>
  </si>
  <si>
    <t>V'a=V'b</t>
  </si>
  <si>
    <t>V'c=V'y</t>
  </si>
  <si>
    <t>V'z</t>
  </si>
  <si>
    <t>Vj</t>
  </si>
  <si>
    <t>Pjc</t>
  </si>
  <si>
    <t>Pjd</t>
  </si>
  <si>
    <t>Li</t>
  </si>
  <si>
    <t>Nc</t>
  </si>
  <si>
    <t>delta Li</t>
  </si>
  <si>
    <t>D</t>
  </si>
  <si>
    <t>S</t>
  </si>
  <si>
    <t>Su</t>
  </si>
  <si>
    <t>R</t>
  </si>
  <si>
    <t>Lb</t>
  </si>
  <si>
    <t>Vs</t>
  </si>
  <si>
    <t>Vt</t>
  </si>
  <si>
    <t>delta D</t>
  </si>
  <si>
    <t>dens aer</t>
  </si>
  <si>
    <t>Pcil</t>
  </si>
  <si>
    <t>Psa</t>
  </si>
  <si>
    <t>Psv</t>
  </si>
  <si>
    <t>IB</t>
  </si>
  <si>
    <t>Vsol</t>
  </si>
  <si>
    <t>Lmot</t>
  </si>
  <si>
    <t>H</t>
  </si>
  <si>
    <t>B</t>
  </si>
  <si>
    <t>E</t>
  </si>
  <si>
    <t>w</t>
  </si>
  <si>
    <t>vmp</t>
  </si>
  <si>
    <t>Qintr</t>
  </si>
  <si>
    <t>Qu</t>
  </si>
  <si>
    <t>Q</t>
  </si>
  <si>
    <t>Qrez</t>
  </si>
  <si>
    <t>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</si>
</sst>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739F-BCD1-45B9-A3C7-F97C5774708F}">
  <dimension ref="A1:CV23"/>
  <sheetViews>
    <sheetView tabSelected="1" topLeftCell="CK1" zoomScaleNormal="100" workbookViewId="0">
      <selection activeCell="CS6" sqref="CS6"/>
    </sheetView>
  </sheetViews>
  <sheetFormatPr defaultRowHeight="15" x14ac:dyDescent="0.25"/>
  <cols>
    <col min="10" max="10" width="15.42578125" customWidth="1"/>
    <col min="11" max="11" width="15.28515625" customWidth="1"/>
    <col min="12" max="12" width="15" customWidth="1"/>
    <col min="13" max="13" width="19.140625" customWidth="1"/>
    <col min="14" max="14" width="14.7109375" customWidth="1"/>
    <col min="15" max="15" width="12.42578125" customWidth="1"/>
    <col min="16" max="16" width="17.5703125" customWidth="1"/>
    <col min="17" max="17" width="20.28515625" customWidth="1"/>
    <col min="18" max="18" width="13.7109375" customWidth="1"/>
    <col min="19" max="19" width="16.140625" customWidth="1"/>
    <col min="20" max="20" width="16.42578125" customWidth="1"/>
    <col min="21" max="21" width="11.5703125" customWidth="1"/>
    <col min="23" max="23" width="10.85546875" customWidth="1"/>
    <col min="24" max="24" width="11.42578125" customWidth="1"/>
    <col min="25" max="25" width="13.140625" customWidth="1"/>
    <col min="26" max="26" width="14.28515625" customWidth="1"/>
    <col min="27" max="27" width="13.7109375" customWidth="1"/>
    <col min="28" max="28" width="14.140625" customWidth="1"/>
    <col min="29" max="29" width="15.140625" customWidth="1"/>
    <col min="30" max="30" width="13.42578125" customWidth="1"/>
    <col min="31" max="31" width="13.7109375" customWidth="1"/>
    <col min="32" max="32" width="13.85546875" customWidth="1"/>
    <col min="33" max="33" width="12.85546875" customWidth="1"/>
    <col min="34" max="34" width="14.42578125" customWidth="1"/>
    <col min="36" max="36" width="12.85546875" customWidth="1"/>
    <col min="37" max="37" width="12.5703125" customWidth="1"/>
    <col min="38" max="38" width="14" customWidth="1"/>
    <col min="39" max="39" width="13.28515625" customWidth="1"/>
    <col min="40" max="40" width="11.85546875" customWidth="1"/>
    <col min="41" max="41" width="14.7109375" customWidth="1"/>
    <col min="42" max="42" width="14.85546875" customWidth="1"/>
    <col min="43" max="43" width="13.140625" customWidth="1"/>
    <col min="44" max="44" width="12.85546875" customWidth="1"/>
    <col min="45" max="45" width="13.140625" customWidth="1"/>
    <col min="46" max="46" width="14" customWidth="1"/>
    <col min="47" max="47" width="15.85546875" customWidth="1"/>
    <col min="48" max="48" width="13.42578125" customWidth="1"/>
    <col min="49" max="49" width="13.5703125" customWidth="1"/>
    <col min="50" max="50" width="15.42578125" customWidth="1"/>
    <col min="51" max="51" width="12.7109375" customWidth="1"/>
    <col min="52" max="52" width="14.140625" customWidth="1"/>
    <col min="53" max="53" width="14.85546875" customWidth="1"/>
    <col min="54" max="54" width="13.5703125" customWidth="1"/>
    <col min="55" max="55" width="17.140625" customWidth="1"/>
    <col min="56" max="56" width="15.28515625" customWidth="1"/>
    <col min="57" max="57" width="13.42578125" customWidth="1"/>
    <col min="58" max="58" width="15.28515625" customWidth="1"/>
    <col min="59" max="59" width="14.7109375" customWidth="1"/>
    <col min="60" max="60" width="12.28515625" customWidth="1"/>
    <col min="61" max="61" width="12.42578125" customWidth="1"/>
    <col min="62" max="63" width="14.140625" customWidth="1"/>
    <col min="64" max="65" width="10.5703125" customWidth="1"/>
    <col min="90" max="90" width="11.140625" customWidth="1"/>
    <col min="96" max="96" width="11.85546875" customWidth="1"/>
    <col min="97" max="97" width="10.5703125" customWidth="1"/>
    <col min="100" max="100" width="11" bestFit="1" customWidth="1"/>
  </cols>
  <sheetData>
    <row r="1" spans="1:100" s="15" customFormat="1" x14ac:dyDescent="0.25">
      <c r="A1" s="15" t="s">
        <v>0</v>
      </c>
    </row>
    <row r="2" spans="1:100" s="1" customFormat="1" ht="18.75" thickBot="1" x14ac:dyDescent="0.4">
      <c r="A2" s="1" t="s">
        <v>1</v>
      </c>
      <c r="B2" s="1" t="s">
        <v>2</v>
      </c>
      <c r="C2" s="1" t="s">
        <v>8</v>
      </c>
      <c r="D2" s="1" t="s">
        <v>7</v>
      </c>
      <c r="E2" s="1" t="s">
        <v>3</v>
      </c>
      <c r="F2" s="1" t="s">
        <v>4</v>
      </c>
      <c r="G2" s="1" t="s">
        <v>9</v>
      </c>
      <c r="H2" s="1" t="s">
        <v>5</v>
      </c>
      <c r="I2" s="1" t="s">
        <v>6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23</v>
      </c>
      <c r="Q2" s="16" t="s">
        <v>30</v>
      </c>
      <c r="R2" s="16" t="s">
        <v>31</v>
      </c>
      <c r="S2" s="16" t="s">
        <v>32</v>
      </c>
      <c r="T2" s="16" t="s">
        <v>33</v>
      </c>
      <c r="U2" s="16" t="s">
        <v>34</v>
      </c>
      <c r="V2" s="16" t="s">
        <v>35</v>
      </c>
      <c r="W2" s="16" t="s">
        <v>36</v>
      </c>
      <c r="X2" s="16" t="s">
        <v>37</v>
      </c>
      <c r="Y2" s="16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54</v>
      </c>
      <c r="AO2" s="1" t="s">
        <v>55</v>
      </c>
      <c r="AP2" s="1" t="s">
        <v>56</v>
      </c>
      <c r="AQ2" s="1" t="s">
        <v>57</v>
      </c>
      <c r="AR2" s="1" t="s">
        <v>58</v>
      </c>
      <c r="AS2" s="1">
        <v>0</v>
      </c>
      <c r="AT2" s="1" t="s">
        <v>59</v>
      </c>
      <c r="AU2" s="1" t="s">
        <v>67</v>
      </c>
      <c r="AV2" s="1" t="s">
        <v>68</v>
      </c>
      <c r="AW2" s="1" t="s">
        <v>77</v>
      </c>
      <c r="AX2" s="1" t="s">
        <v>78</v>
      </c>
      <c r="AY2" s="1" t="s">
        <v>79</v>
      </c>
      <c r="AZ2" s="1" t="s">
        <v>80</v>
      </c>
      <c r="BA2" s="1" t="s">
        <v>81</v>
      </c>
      <c r="BB2" s="1" t="s">
        <v>84</v>
      </c>
      <c r="BC2" s="1" t="s">
        <v>85</v>
      </c>
      <c r="BD2" s="1" t="s">
        <v>92</v>
      </c>
      <c r="BE2" s="1" t="s">
        <v>93</v>
      </c>
      <c r="BF2" s="1" t="s">
        <v>94</v>
      </c>
      <c r="BG2" s="1" t="s">
        <v>95</v>
      </c>
      <c r="BH2" s="1" t="s">
        <v>96</v>
      </c>
      <c r="BI2" s="1" t="s">
        <v>97</v>
      </c>
      <c r="BJ2" s="1" t="s">
        <v>99</v>
      </c>
      <c r="BK2" s="1" t="s">
        <v>100</v>
      </c>
      <c r="BL2" s="1" t="s">
        <v>104</v>
      </c>
      <c r="BM2" s="1" t="s">
        <v>105</v>
      </c>
      <c r="BN2" s="1" t="s">
        <v>106</v>
      </c>
      <c r="BO2" s="1" t="s">
        <v>107</v>
      </c>
      <c r="BP2" s="1" t="s">
        <v>108</v>
      </c>
      <c r="BQ2" s="1" t="s">
        <v>109</v>
      </c>
      <c r="BR2" s="1" t="s">
        <v>110</v>
      </c>
      <c r="BS2" s="1" t="s">
        <v>126</v>
      </c>
      <c r="BT2" s="1" t="s">
        <v>128</v>
      </c>
      <c r="BU2" s="1" t="s">
        <v>129</v>
      </c>
      <c r="BV2" s="1" t="s">
        <v>130</v>
      </c>
      <c r="BW2" s="1" t="s">
        <v>131</v>
      </c>
      <c r="BX2" s="1" t="s">
        <v>132</v>
      </c>
      <c r="BY2" s="1" t="s">
        <v>133</v>
      </c>
      <c r="BZ2" s="1" t="s">
        <v>134</v>
      </c>
      <c r="CA2" s="1" t="s">
        <v>135</v>
      </c>
      <c r="CB2" s="1" t="s">
        <v>136</v>
      </c>
      <c r="CC2" s="1" t="s">
        <v>115</v>
      </c>
      <c r="CD2" s="1" t="s">
        <v>115</v>
      </c>
      <c r="CE2" s="1" t="s">
        <v>137</v>
      </c>
      <c r="CF2" s="1" t="s">
        <v>115</v>
      </c>
      <c r="CG2" s="1" t="s">
        <v>112</v>
      </c>
      <c r="CH2" s="1" t="s">
        <v>138</v>
      </c>
      <c r="CI2" s="1" t="s">
        <v>139</v>
      </c>
      <c r="CJ2" s="1" t="s">
        <v>140</v>
      </c>
      <c r="CK2" s="1" t="s">
        <v>141</v>
      </c>
      <c r="CL2" s="1" t="s">
        <v>142</v>
      </c>
      <c r="CM2" s="1" t="s">
        <v>143</v>
      </c>
      <c r="CN2" s="1" t="s">
        <v>144</v>
      </c>
      <c r="CO2" s="1" t="s">
        <v>146</v>
      </c>
      <c r="CP2" s="1" t="s">
        <v>145</v>
      </c>
      <c r="CR2" s="1" t="s">
        <v>149</v>
      </c>
      <c r="CS2" s="1" t="s">
        <v>150</v>
      </c>
      <c r="CT2" s="1" t="s">
        <v>151</v>
      </c>
      <c r="CU2" s="1" t="s">
        <v>151</v>
      </c>
      <c r="CV2" s="1" t="s">
        <v>152</v>
      </c>
    </row>
    <row r="3" spans="1:100" s="1" customFormat="1" ht="15.75" thickBot="1" x14ac:dyDescent="0.3">
      <c r="A3" s="1">
        <v>600</v>
      </c>
      <c r="B3" s="1">
        <v>1944</v>
      </c>
      <c r="C3" s="1">
        <v>2</v>
      </c>
      <c r="D3" s="1">
        <v>6</v>
      </c>
      <c r="E3" s="1">
        <v>8</v>
      </c>
      <c r="F3" s="1">
        <v>17</v>
      </c>
      <c r="G3" s="1">
        <v>123</v>
      </c>
      <c r="H3" s="1">
        <v>1920</v>
      </c>
      <c r="I3" s="1">
        <f>H3*D3</f>
        <v>11520</v>
      </c>
      <c r="J3" s="9">
        <v>0.85699999999999998</v>
      </c>
      <c r="K3" s="9">
        <v>0.13300000000000001</v>
      </c>
      <c r="L3" s="10">
        <v>0.01</v>
      </c>
      <c r="M3" s="1">
        <f>(J3/12)+(K3/4)+(0-L3/32)</f>
        <v>0.10435416666666668</v>
      </c>
      <c r="N3" s="1">
        <f>M3/0.21</f>
        <v>0.49692460317460324</v>
      </c>
      <c r="O3" s="1">
        <f>N3*2</f>
        <v>0.99384920634920648</v>
      </c>
      <c r="P3" s="1">
        <f>(I13*O3)+(J10*J14+K10*K14+L10*L14+M10*M14)</f>
        <v>28.675462222572722</v>
      </c>
      <c r="Q3" s="1">
        <f>(8314.34*(O3+N10))/P3</f>
        <v>291.73748441589066</v>
      </c>
      <c r="R3" s="1">
        <v>409.08004529999999</v>
      </c>
      <c r="S3" s="1">
        <v>364.08004529999999</v>
      </c>
      <c r="T3" s="1">
        <f>10174.9+((S3-350)/50)*(11627.3-10174.9)</f>
        <v>10583.8971558744</v>
      </c>
      <c r="U3" s="1">
        <f>29633.3+(10/50)*(32178.1-29633.3)</f>
        <v>30142.26</v>
      </c>
      <c r="V3" s="1">
        <f>26058.9+(10/50)*(27984.3-26058.9)</f>
        <v>26443.98</v>
      </c>
      <c r="W3" s="1">
        <f>22794.2+(10/50)*(24472.6-22794.2)</f>
        <v>23129.88</v>
      </c>
      <c r="X3" s="1">
        <f>22141.3+(10/50)*(23702.5-22141.3)</f>
        <v>22453.54</v>
      </c>
      <c r="Y3" s="1">
        <f>T3*O3+U3*J10+K10*V3+W3*L10+M10*X3</f>
        <v>10806.246697512159</v>
      </c>
      <c r="Z3" s="1">
        <f>O3*10174.9+J10*11401.3+K10*11723.6+L10*10174.9+M10*10170.8</f>
        <v>10240.010284602778</v>
      </c>
      <c r="AA3" s="1">
        <f>O3*11627.3+J10*13410.3+K10*13431.3+L10*11677.5+M10*11627.3</f>
        <v>11702.165652532938</v>
      </c>
      <c r="AB3" s="1">
        <f>350+(((400-350)*(Y3-Z3))/(AA3-Z3))</f>
        <v>369.36307267096208</v>
      </c>
      <c r="AC3" s="1">
        <f>(S3+0.012*760)/1.012</f>
        <v>368.7747483201581</v>
      </c>
      <c r="AD3" s="1">
        <f>((AB3-AC3)/AC3)*100</f>
        <v>0.15953487962066834</v>
      </c>
      <c r="AE3" s="1">
        <v>270000</v>
      </c>
      <c r="AF3" s="1">
        <f>(AC3*Q3*P3)/AE3</f>
        <v>11.426153970726252</v>
      </c>
      <c r="AG3" s="1">
        <f>(13*AE3*R3)/((13-1)*(1+0.012)*300000*AC3)</f>
        <v>1.0687379307440295</v>
      </c>
      <c r="AH3" s="1">
        <f>19.67+(0.012*(J10*27.62+K10*23.01+L10*19.25+M10*19.67))/N10</f>
        <v>19.914753668478447</v>
      </c>
      <c r="AI3" s="1">
        <f>(2.51*10^(-3))+(0.012*(J10*(11.72*10^(-3))+K10*(5.44*10^(-3))+L10*(4.6*10^(-3))+M10*(2.51*10^(-3))))/N10</f>
        <v>2.5526255149952055E-3</v>
      </c>
      <c r="AJ3" s="1">
        <f>AE3*13^(1.3624681)</f>
        <v>8893568.3453843389</v>
      </c>
      <c r="AK3" s="1">
        <f>AF3/13</f>
        <v>0.87893492082509639</v>
      </c>
      <c r="AL3" s="1">
        <f>AC3*13^(1.3624691-1)</f>
        <v>934.39653577564729</v>
      </c>
      <c r="AM3" s="1">
        <f>AK3+(AF3*(1-(1/13))*(1-COS(RADIANS(25))+0.5*0.25*SIN(RADIANS(25))^2))/2</f>
        <v>1.4907684840215318</v>
      </c>
      <c r="AN3" s="1">
        <f>AE3*(AF3/AM3)^AJ7</f>
        <v>4329652.0471269498</v>
      </c>
      <c r="AO3" s="1">
        <f>AC3*(AF3/AM3)^(AJ7-1)</f>
        <v>771.54371460585457</v>
      </c>
      <c r="AP3" s="1">
        <v>44.149461000000002</v>
      </c>
      <c r="AQ3" s="1">
        <f>((8.64/AP3)+0.145)*((0.0222*(20.166/AO3))*123+(((1.8*AO3)/1000)*1.45)*((1000-123)/(60+(26631/(AO3-26.66)))))*10^(-3)</f>
        <v>6.3081394556365918E-3</v>
      </c>
      <c r="AR3" s="1">
        <f>6*123*AQ3</f>
        <v>4.6554069182598043</v>
      </c>
      <c r="AS3" s="1">
        <f>AR3+25-2</f>
        <v>27.655406918259803</v>
      </c>
      <c r="AT3" s="1">
        <f>(1*AR3)/AS3</f>
        <v>0.1683362292234441</v>
      </c>
      <c r="AU3" s="35">
        <f>SUM(J20:M20)</f>
        <v>29.197620772936936</v>
      </c>
      <c r="AV3" s="1">
        <f>(8314.34*N19)/AU3</f>
        <v>288.12900576956991</v>
      </c>
      <c r="AW3" s="1">
        <f>1200+(1250-1200)*((AU13-AV13)/(AW13-AV13))</f>
        <v>1167.6722907040839</v>
      </c>
      <c r="AX3" s="1">
        <f>(AU3*AV3*AW3)/AY3</f>
        <v>11176316.676125424</v>
      </c>
      <c r="AY3" s="1">
        <f>AK3</f>
        <v>0.87893492082509639</v>
      </c>
      <c r="AZ3" s="1">
        <f>AX3/AJ3</f>
        <v>1.2566740640078182</v>
      </c>
      <c r="BA3" s="1">
        <f>1-AT3</f>
        <v>0.83166377077655596</v>
      </c>
      <c r="BB3" s="1">
        <f>SUM(J23:M23)</f>
        <v>30.030799114328577</v>
      </c>
      <c r="BC3" s="1">
        <f>(8314.34*N22)/BB3</f>
        <v>287.86304409067833</v>
      </c>
      <c r="BD3">
        <f>J22*88866.5+K22*72739.8+L22*60283.8+M22*57642.7</f>
        <v>63485.038438887314</v>
      </c>
      <c r="BE3">
        <f>J22*91867.5+K22*75238.5+L22*62150.5+M22*59425.7</f>
        <v>65483.929773851996</v>
      </c>
      <c r="BF3" s="1">
        <f>1850+(1900-1850)*((BE13-BD3)/(BE3-BD3))</f>
        <v>1821.4116178435338</v>
      </c>
      <c r="BG3" s="1">
        <f>AX3</f>
        <v>11176316.676125424</v>
      </c>
      <c r="BH3" s="1">
        <f>(BB3*BC3*BF3)/BG3</f>
        <v>1.4088417270208315</v>
      </c>
      <c r="BI3" s="1">
        <f>BH3/AY3</f>
        <v>1.6028965212786033</v>
      </c>
      <c r="BJ3" s="1">
        <f>J22*38.5+K22*23.85+L22*23.02+M22*21.34*1/N22</f>
        <v>23.1265326064308</v>
      </c>
      <c r="BK3" s="1">
        <f>J22*3.35*10^(-3)+K22*5.02*10^(-3)+L22*1.67*10^(-3)+M22*1.67*10^(-3)</f>
        <v>2.0832349401984128E-3</v>
      </c>
      <c r="BL3" s="1">
        <f>AF3</f>
        <v>11.426153970726252</v>
      </c>
      <c r="BM3" s="1">
        <f>BG3*(BH3/BL3)^1.2883932</f>
        <v>753529.90702420194</v>
      </c>
      <c r="BN3" s="1">
        <f>BF3*(BH3/BL3)^(1.2883932-1)</f>
        <v>995.97345427801201</v>
      </c>
      <c r="BO3" s="1">
        <f>BL3/BH3</f>
        <v>8.1103176826599643</v>
      </c>
      <c r="BP3" s="1">
        <f>BM3/BG3</f>
        <v>6.7422025418613474E-2</v>
      </c>
      <c r="BQ3" s="1">
        <f>BF3*(AE3/BG3)^((1.2883932-1)/1.2883932)</f>
        <v>791.54262649648911</v>
      </c>
      <c r="BR3" s="1">
        <f>((BQ3-760)/BQ3)*100</f>
        <v>3.9849561401516018</v>
      </c>
      <c r="BS3" s="1">
        <f>BG3*(BW6-BV6)+((BG3*BW6-BU6*BM3)/(1.2883932-1))+((BU6*AE3-AJ3*BV6)/(BO8-1))</f>
        <v>1061888.1699021081</v>
      </c>
      <c r="BT3" s="1">
        <f>(2505000-BS3)/BS3</f>
        <v>1.3590054687499979</v>
      </c>
      <c r="BU3" s="1">
        <f>(10^3)*(((BU6-BV6)*4)/(PI()*3.24))^(1/3)</f>
        <v>629.89181711301819</v>
      </c>
      <c r="BV3" s="1">
        <f>BU3*3.24</f>
        <v>2040.8494874461792</v>
      </c>
      <c r="BW3" s="1">
        <f>BV3*0.85</f>
        <v>1734.7220643292524</v>
      </c>
      <c r="BX3" s="1">
        <f>BV3/2</f>
        <v>1020.4247437230896</v>
      </c>
      <c r="BY3" s="1">
        <f>BX3/0.25</f>
        <v>4081.6989748923584</v>
      </c>
      <c r="BZ3" s="1">
        <f>((10^(-6))*PI()*(BU3^2)*BV3)/4</f>
        <v>635.96437898437216</v>
      </c>
      <c r="CA3" s="1">
        <f>6*BZ3</f>
        <v>3815.786273906233</v>
      </c>
      <c r="CB3" s="1">
        <f>(BU3-A3)/A3</f>
        <v>4.9819695188363655E-2</v>
      </c>
      <c r="CC3" s="1">
        <f>(BP6*PI()*(BU3^2)*BV3*6*123)/(12*(10)^13*2)</f>
        <v>11519.999999999998</v>
      </c>
      <c r="CD3" s="1">
        <f>(G3*D3*BS3*0.98*0.9)/(30000*2)</f>
        <v>11520.000000000009</v>
      </c>
      <c r="CE3" s="1">
        <f>(3*10^5)/(S3*287)</f>
        <v>2.8710614073508709</v>
      </c>
      <c r="CG3" s="1">
        <f>CD3/0.9</f>
        <v>12800.000000000009</v>
      </c>
      <c r="CH3" s="1">
        <f>CD3/6</f>
        <v>1920.0000000000016</v>
      </c>
      <c r="CI3" s="1">
        <f>(4*(10^6)*CD3)/(6*PI()*BU3^2)</f>
        <v>6161.4001434394113</v>
      </c>
      <c r="CJ3" s="1">
        <f>(4*(10^9)*CD3)/(6*PI()*BV3*BU3^2)</f>
        <v>3019.0370144098633</v>
      </c>
      <c r="CK3" s="1">
        <f>(10^(-3))*123*BU3</f>
        <v>77.476693504901235</v>
      </c>
      <c r="CL3" s="1">
        <f>(2*8*CC3)/2</f>
        <v>92159.999999999985</v>
      </c>
      <c r="CM3" s="1">
        <f>3*BU3*6</f>
        <v>11338.052708034327</v>
      </c>
      <c r="CN3" s="1">
        <f>6.5*BV3</f>
        <v>13265.521668400164</v>
      </c>
      <c r="CO3" s="1">
        <f>1.1*BV3</f>
        <v>2244.9344361907974</v>
      </c>
      <c r="CP3" s="1">
        <f>4.2*BV3</f>
        <v>8571.5678472739528</v>
      </c>
      <c r="CR3" s="1">
        <f>CC3*420000*BR6</f>
        <v>1121826257.2707138</v>
      </c>
      <c r="CS3" s="1">
        <f>3600*CD3</f>
        <v>41472000.00000003</v>
      </c>
      <c r="CU3" s="1">
        <f>0.231859*11520*(1.03974*(23.12653+0.002083*757.98417)*757.98417-(19.91475+0.002553*757.98417)*757.98417)</f>
        <v>7768991.461965085</v>
      </c>
      <c r="CV3" s="1">
        <f>CR3-(CS3+CU3+181440)</f>
        <v>1072403825.8087487</v>
      </c>
    </row>
    <row r="4" spans="1:100" ht="15.75" thickBot="1" x14ac:dyDescent="0.3">
      <c r="S4">
        <v>350</v>
      </c>
      <c r="T4" s="1">
        <f>10174.9+((S4-350)/50)*(11627.3-10174.9)</f>
        <v>10174.9</v>
      </c>
      <c r="AQ4">
        <f>(8.64/AP3)+0.145</f>
        <v>0.34069887840759822</v>
      </c>
      <c r="BG4" t="s">
        <v>98</v>
      </c>
      <c r="CL4" t="s">
        <v>147</v>
      </c>
      <c r="CM4" t="s">
        <v>148</v>
      </c>
    </row>
    <row r="5" spans="1:100" x14ac:dyDescent="0.25">
      <c r="J5" s="12" t="s">
        <v>21</v>
      </c>
      <c r="K5" s="13"/>
      <c r="L5" s="13"/>
      <c r="M5" s="13"/>
      <c r="N5" s="14"/>
      <c r="S5">
        <v>400</v>
      </c>
      <c r="T5" s="1">
        <f t="shared" ref="T4:T5" si="0">10174.9+((S5-350)/50)*(11627.3-10174.9)</f>
        <v>11627.3</v>
      </c>
      <c r="AQ5">
        <f>(0.0222-(20.166/AO3))</f>
        <v>-3.9372098796785111E-3</v>
      </c>
      <c r="BL5" s="1" t="s">
        <v>111</v>
      </c>
      <c r="BM5" s="1" t="s">
        <v>112</v>
      </c>
      <c r="BN5" s="1" t="s">
        <v>113</v>
      </c>
      <c r="BO5" s="1" t="s">
        <v>114</v>
      </c>
      <c r="BP5" s="1" t="s">
        <v>115</v>
      </c>
      <c r="BQ5" s="1" t="s">
        <v>116</v>
      </c>
      <c r="BR5" s="1" t="s">
        <v>117</v>
      </c>
      <c r="BS5" s="1" t="s">
        <v>118</v>
      </c>
      <c r="BT5" s="1" t="s">
        <v>119</v>
      </c>
      <c r="BU5" s="1" t="s">
        <v>120</v>
      </c>
      <c r="BV5" s="1" t="s">
        <v>121</v>
      </c>
      <c r="BW5" s="1" t="s">
        <v>122</v>
      </c>
      <c r="CL5">
        <f>(PI()*123)/30</f>
        <v>12.880529879718152</v>
      </c>
      <c r="CM5">
        <f>10^(-3)*((123*BV3)/30)</f>
        <v>8.3674828985293352</v>
      </c>
      <c r="CN5">
        <f>BU3*3.24</f>
        <v>2040.8494874461792</v>
      </c>
    </row>
    <row r="6" spans="1:100" ht="15.75" thickBot="1" x14ac:dyDescent="0.3">
      <c r="B6">
        <f>B3/A3</f>
        <v>3.24</v>
      </c>
      <c r="J6" s="2" t="s">
        <v>16</v>
      </c>
      <c r="K6" s="1" t="s">
        <v>17</v>
      </c>
      <c r="L6" s="1" t="s">
        <v>18</v>
      </c>
      <c r="M6" s="1" t="s">
        <v>19</v>
      </c>
      <c r="N6" s="3" t="s">
        <v>20</v>
      </c>
      <c r="AJ6" t="s">
        <v>53</v>
      </c>
      <c r="AQ6">
        <f>((1.8*AO3)/1000)-1.45</f>
        <v>-6.1221313709461711E-2</v>
      </c>
      <c r="BL6" s="1">
        <f>BG3*(BH3-AY3)+((BG3*BH3-BM3*BL3)/(1.2883932-1))+((AE3*AF3-AJ3*AK3)/(AJ7-1))</f>
        <v>17610997.572446421</v>
      </c>
      <c r="BM6" s="1">
        <f>(0.98*BL6)/(AF3-AK3)</f>
        <v>1636334.4251543952</v>
      </c>
      <c r="BN6" s="1">
        <f>(8.31434*O3*R3*BM6)/(300000*AG3*42000)</f>
        <v>0.41075879354177197</v>
      </c>
      <c r="BO6" s="1">
        <f>3600/(BN6*42000)</f>
        <v>0.20867303892684413</v>
      </c>
      <c r="BP6" s="1">
        <f>0.9*BM6</f>
        <v>1472700.9826389556</v>
      </c>
      <c r="BQ6" s="1">
        <f>0.9*BN6</f>
        <v>0.3696829141875948</v>
      </c>
      <c r="BR6" s="1">
        <f>BO6/0.9</f>
        <v>0.23185893214093792</v>
      </c>
      <c r="BS6" s="1">
        <f>(30000*2*11520)/(6*123*0.9)</f>
        <v>1040650.4065040649</v>
      </c>
      <c r="BT6" s="1">
        <f>BS6/(BL6*0.98)</f>
        <v>6.0296877876100663E-2</v>
      </c>
      <c r="BU6" s="1">
        <f>BT6*AF3</f>
        <v>0.68896141056640348</v>
      </c>
      <c r="BV6" s="1">
        <f>BT6*AK3</f>
        <v>5.2997031582031041E-2</v>
      </c>
      <c r="BW6" s="1">
        <f>BT6*BH3</f>
        <v>8.494875756092983E-2</v>
      </c>
      <c r="CS6" t="s">
        <v>153</v>
      </c>
    </row>
    <row r="7" spans="1:100" ht="15.75" thickBot="1" x14ac:dyDescent="0.3">
      <c r="B7">
        <f>A3/B3</f>
        <v>0.30864197530864196</v>
      </c>
      <c r="J7" s="6">
        <f>J3/12</f>
        <v>7.141666666666667E-2</v>
      </c>
      <c r="K7" s="7">
        <f>(K3*9)/18</f>
        <v>6.6500000000000004E-2</v>
      </c>
      <c r="L7" s="7">
        <f>0.21*((2-1)/2)*O3</f>
        <v>0.10435416666666668</v>
      </c>
      <c r="M7" s="7">
        <f>0.79*O3</f>
        <v>0.78514087301587321</v>
      </c>
      <c r="N7" s="8">
        <f>J7+K7+L7+M7</f>
        <v>1.0274117063492065</v>
      </c>
      <c r="AD7" s="24">
        <f>8.31434*1.012</f>
        <v>8.4141120799999989</v>
      </c>
      <c r="AE7" s="25">
        <f>(AI3*AC3)</f>
        <v>0.94134383184797088</v>
      </c>
      <c r="AJ7">
        <v>1.3624681000000001</v>
      </c>
      <c r="AQ7">
        <f>(1000-123)/(60+(26631/(AO3-26.66)))</f>
        <v>9.1590882197130696</v>
      </c>
      <c r="BN7" s="1" t="s">
        <v>101</v>
      </c>
      <c r="BO7" s="1" t="s">
        <v>127</v>
      </c>
      <c r="CS7">
        <f>995.9735*(270000/753529.91)^(0.3624881/1.3624881)</f>
        <v>757.98416697346272</v>
      </c>
    </row>
    <row r="8" spans="1:100" ht="15.75" thickBot="1" x14ac:dyDescent="0.3">
      <c r="J8" s="12" t="s">
        <v>22</v>
      </c>
      <c r="K8" s="13"/>
      <c r="L8" s="13"/>
      <c r="M8" s="13"/>
      <c r="N8" s="14"/>
      <c r="AC8" s="21">
        <v>0.32</v>
      </c>
      <c r="AD8" s="17">
        <f>AD7/AC8</f>
        <v>26.294100249999996</v>
      </c>
      <c r="AE8" s="19">
        <f>AH3+AE7*(13^(AC8)+1)</f>
        <v>22.995094394503063</v>
      </c>
      <c r="AQ8">
        <f>1.8*AO3</f>
        <v>1388.7786862905382</v>
      </c>
      <c r="BH8" s="40" t="s">
        <v>101</v>
      </c>
      <c r="BI8" s="24" t="s">
        <v>102</v>
      </c>
      <c r="BJ8" s="25" t="s">
        <v>103</v>
      </c>
      <c r="BN8" s="1">
        <v>1.2883932</v>
      </c>
      <c r="BO8" s="1">
        <f>AJ7</f>
        <v>1.3624681000000001</v>
      </c>
    </row>
    <row r="9" spans="1:100" x14ac:dyDescent="0.25">
      <c r="C9">
        <f>3640*7</f>
        <v>25480</v>
      </c>
      <c r="J9" s="2" t="s">
        <v>16</v>
      </c>
      <c r="K9" s="1" t="s">
        <v>17</v>
      </c>
      <c r="L9" s="1" t="s">
        <v>18</v>
      </c>
      <c r="M9" s="1" t="s">
        <v>19</v>
      </c>
      <c r="N9" s="3" t="s">
        <v>20</v>
      </c>
      <c r="AC9" s="22">
        <v>0.33</v>
      </c>
      <c r="AD9" s="2">
        <f>AD7/AC9</f>
        <v>25.49730933333333</v>
      </c>
      <c r="AE9" s="3">
        <f>AH3+AE7*(13^(AC9)+1)</f>
        <v>23.050668255504295</v>
      </c>
      <c r="BH9" s="21">
        <v>1.26</v>
      </c>
      <c r="BI9" s="17">
        <f>8.31434/(BH9-1)</f>
        <v>31.978230769230766</v>
      </c>
      <c r="BJ9" s="19">
        <f>BJ3+BK3*BF3*((BI3/13)^(BH9-1)+1)</f>
        <v>29.122855437113724</v>
      </c>
      <c r="BL9">
        <f>(30000*(5400/8)*4)/(0.9*8*450)</f>
        <v>25000</v>
      </c>
      <c r="BQ9" s="17" t="s">
        <v>123</v>
      </c>
      <c r="BR9" s="18" t="s">
        <v>124</v>
      </c>
      <c r="BS9" s="19" t="s">
        <v>125</v>
      </c>
    </row>
    <row r="10" spans="1:100" ht="15.75" thickBot="1" x14ac:dyDescent="0.3">
      <c r="J10" s="4">
        <f>0.012*J7</f>
        <v>8.5700000000000001E-4</v>
      </c>
      <c r="K10" s="4">
        <f t="shared" ref="K10:M10" si="1">0.012*K7</f>
        <v>7.980000000000001E-4</v>
      </c>
      <c r="L10" s="4">
        <f t="shared" si="1"/>
        <v>1.2522500000000001E-3</v>
      </c>
      <c r="M10" s="4">
        <f t="shared" si="1"/>
        <v>9.4216904761904793E-3</v>
      </c>
      <c r="N10" s="5">
        <f>J10+K10+L10+M10</f>
        <v>1.2328940476190479E-2</v>
      </c>
      <c r="O10" s="11"/>
      <c r="P10">
        <f>409.0800453/300</f>
        <v>1.363600151</v>
      </c>
      <c r="Q10">
        <f>P10*P13</f>
        <v>36.719079634450686</v>
      </c>
      <c r="AC10" s="22">
        <v>0.34</v>
      </c>
      <c r="AD10" s="2">
        <f>AD7/AC10</f>
        <v>24.747388470588231</v>
      </c>
      <c r="AE10" s="3">
        <f>AH3+AE7*(13^(AC10)+1)</f>
        <v>23.107685996127319</v>
      </c>
      <c r="BH10" s="22">
        <v>1.27</v>
      </c>
      <c r="BI10" s="2">
        <f t="shared" ref="BI10:BI14" si="2">8.31434/(BH10-1)</f>
        <v>30.793851851851848</v>
      </c>
      <c r="BJ10" s="3">
        <f>BJ3+BK3*BF3*((BI3/13)^(BH10-1)+1)</f>
        <v>29.07724576923848</v>
      </c>
      <c r="BQ10" s="2">
        <f>BV6</f>
        <v>5.2997031582031041E-2</v>
      </c>
      <c r="BR10" s="1">
        <f>AE3*(BU6/BQ10)^AJ7</f>
        <v>8893568.3453843389</v>
      </c>
      <c r="BS10" s="3">
        <f>BG3*(BW6/BQ10)^1.2883932</f>
        <v>20525679.065763451</v>
      </c>
    </row>
    <row r="11" spans="1:100" ht="15.75" thickBot="1" x14ac:dyDescent="0.3">
      <c r="P11">
        <f>0.4/1.4</f>
        <v>0.28571428571428575</v>
      </c>
      <c r="Q11">
        <f>Q10^(1/P11)</f>
        <v>299999.99997623701</v>
      </c>
      <c r="AC11" s="22">
        <v>0.35</v>
      </c>
      <c r="AD11" s="2">
        <f>AD7/AC11</f>
        <v>24.040320228571428</v>
      </c>
      <c r="AE11" s="3">
        <f>AH3+AE7*(13^(AC11)+1)</f>
        <v>23.166185130201928</v>
      </c>
      <c r="BH11" s="22">
        <v>1.28</v>
      </c>
      <c r="BI11" s="2">
        <f t="shared" si="2"/>
        <v>29.694071428571423</v>
      </c>
      <c r="BJ11" s="3">
        <f>BJ3+BK3*BF3*((BI3/13)^(BH11-1)+1)</f>
        <v>29.032580852256714</v>
      </c>
      <c r="BQ11" s="2">
        <v>0.06</v>
      </c>
      <c r="BR11" s="1">
        <f>AE3*(BU6/BQ11)^AJ7</f>
        <v>7509991.0200606398</v>
      </c>
      <c r="BS11" s="3">
        <f>BG3*(BW6/BQ11)^1.2883932</f>
        <v>17492565.960426662</v>
      </c>
    </row>
    <row r="12" spans="1:100" x14ac:dyDescent="0.25">
      <c r="I12" s="17" t="s">
        <v>24</v>
      </c>
      <c r="J12" s="18" t="s">
        <v>25</v>
      </c>
      <c r="K12" s="18" t="s">
        <v>26</v>
      </c>
      <c r="L12" s="18" t="s">
        <v>27</v>
      </c>
      <c r="M12" s="18" t="s">
        <v>28</v>
      </c>
      <c r="N12" s="19" t="s">
        <v>29</v>
      </c>
      <c r="P12">
        <f>1.01325*10^5</f>
        <v>101325</v>
      </c>
      <c r="AC12" s="22">
        <v>0.36</v>
      </c>
      <c r="AD12" s="2">
        <f>AD7/AC12</f>
        <v>23.372533555555552</v>
      </c>
      <c r="AE12" s="3">
        <f>AH3+AE7*(13^(AC12)+1)</f>
        <v>23.22620414621494</v>
      </c>
      <c r="AP12" s="17" t="s">
        <v>69</v>
      </c>
      <c r="AQ12" s="18" t="s">
        <v>70</v>
      </c>
      <c r="AR12" s="18" t="s">
        <v>71</v>
      </c>
      <c r="AS12" s="18" t="s">
        <v>72</v>
      </c>
      <c r="AT12" s="38" t="s">
        <v>73</v>
      </c>
      <c r="AU12" s="16" t="s">
        <v>74</v>
      </c>
      <c r="AV12" s="16" t="s">
        <v>75</v>
      </c>
      <c r="AW12" s="16" t="s">
        <v>76</v>
      </c>
      <c r="AZ12" s="17" t="s">
        <v>86</v>
      </c>
      <c r="BA12" s="18" t="s">
        <v>87</v>
      </c>
      <c r="BB12" s="18" t="s">
        <v>88</v>
      </c>
      <c r="BC12" s="18" t="s">
        <v>89</v>
      </c>
      <c r="BD12" s="18" t="s">
        <v>90</v>
      </c>
      <c r="BE12" s="19" t="s">
        <v>91</v>
      </c>
      <c r="BH12" s="22">
        <v>1.29</v>
      </c>
      <c r="BI12" s="2">
        <f t="shared" si="2"/>
        <v>28.670137931034478</v>
      </c>
      <c r="BJ12" s="3">
        <f>BJ3+BK3*BF3*((BI3/13)^(BH12-1)+1)</f>
        <v>28.988841116759303</v>
      </c>
      <c r="BQ12" s="2">
        <v>7.0000000000000007E-2</v>
      </c>
      <c r="BR12" s="1">
        <f>AE3*(BU6/BQ12)^AJ7</f>
        <v>6087325.8864619415</v>
      </c>
      <c r="BS12" s="3">
        <f>BG3*(BW6/BQ12)^1.2883932</f>
        <v>14341670.213644987</v>
      </c>
    </row>
    <row r="13" spans="1:100" ht="15.75" thickBot="1" x14ac:dyDescent="0.3">
      <c r="I13" s="2">
        <v>28.850334</v>
      </c>
      <c r="J13" s="1">
        <v>44.009500000000003</v>
      </c>
      <c r="K13" s="1">
        <v>18.0153</v>
      </c>
      <c r="L13" s="1">
        <v>31.998799999999999</v>
      </c>
      <c r="M13" s="1">
        <v>28.013400000000001</v>
      </c>
      <c r="N13" s="3">
        <f>SUM(J14:M14)</f>
        <v>0.35609643218571441</v>
      </c>
      <c r="P13">
        <f>P12^P11</f>
        <v>26.928040164503244</v>
      </c>
      <c r="AC13" s="22">
        <v>0.37</v>
      </c>
      <c r="AD13" s="2">
        <f>AD7/AC13</f>
        <v>22.740843459459455</v>
      </c>
      <c r="AE13" s="3">
        <f>AH3+AE7*(13^(AC13)+1)</f>
        <v>23.287782532633031</v>
      </c>
      <c r="AP13" s="4">
        <f>29909.6+((AL3-900)/50)*(32161.4-29909.6)</f>
        <v>31458.682385192053</v>
      </c>
      <c r="AQ13" s="20">
        <f>24439.1+((AL3-900)/50)*(26038-24439.1)</f>
        <v>25539.032421033648</v>
      </c>
      <c r="AR13" s="20">
        <f>20391.8+((AL3-900)/50)*(21697.6-20391.8)</f>
        <v>21290.099928316802</v>
      </c>
      <c r="AS13" s="20">
        <f>19387.2+((AL3-900)/50)*(20580.1-19387.2)</f>
        <v>20207.832550535393</v>
      </c>
      <c r="AT13" s="39">
        <f>J19*AP13+AQ13*K19+L19*AR13+AS13*M19</f>
        <v>20863.904654326281</v>
      </c>
      <c r="AU13" s="1">
        <f>AT13+AT3*0.85*42000</f>
        <v>26873.508037603235</v>
      </c>
      <c r="AV13" s="1">
        <f>J19*43868.2+K19*34538.7+L19*28415.4+M19*26791.4</f>
        <v>27733.575417877393</v>
      </c>
      <c r="AW13" s="1">
        <f>J19*46279.1+K19*36334.3+L19*29784+M19*28068</f>
        <v>29063.80790110318</v>
      </c>
      <c r="AZ13" s="4">
        <f>53846.5+((AW3-1200)/(1250-1200))*(56675.9-53846.5)</f>
        <v>52017.139586362704</v>
      </c>
      <c r="BA13" s="20">
        <f>44517+((AW3-1200)/(1250-1200))*(46726.9-44517)</f>
        <v>43088.179904539102</v>
      </c>
      <c r="BB13" s="20">
        <f>38393.6+((AW3-1200)/(1250-1200))*(40176.6-38393.6)</f>
        <v>37240.793886507628</v>
      </c>
      <c r="BC13" s="20">
        <f>36769.6+((AW3-1200)/(1250-1200))*(38460.6-36769.6)</f>
        <v>35676.276871612121</v>
      </c>
      <c r="BD13" s="20">
        <f>AZ13*J22+K22*BA13+BB13*L22+M22*BC13</f>
        <v>38939.118541770644</v>
      </c>
      <c r="BE13" s="5">
        <f>BD13+BA3*42000*0.67</f>
        <v>62342.137051422927</v>
      </c>
      <c r="BH13" s="22">
        <v>1.3</v>
      </c>
      <c r="BI13" s="2">
        <f t="shared" si="2"/>
        <v>27.714466666666663</v>
      </c>
      <c r="BJ13" s="3">
        <f>BJ3+BK3*BF3*((BI3/13)^(BH13-1)+1)</f>
        <v>28.946007398694526</v>
      </c>
      <c r="BQ13" s="2">
        <v>0.08</v>
      </c>
      <c r="BR13" s="1">
        <f>AE3*(BU6/BQ13)^AJ7</f>
        <v>5074746.755998604</v>
      </c>
      <c r="BS13" s="3">
        <f>BG3*(BW6/BQ13)^1.2883932</f>
        <v>12074893.293294081</v>
      </c>
    </row>
    <row r="14" spans="1:100" ht="15.75" thickBot="1" x14ac:dyDescent="0.3">
      <c r="I14" s="4"/>
      <c r="J14" s="20">
        <f>J13*J10</f>
        <v>3.7716141500000001E-2</v>
      </c>
      <c r="K14" s="20">
        <f>K13*K10</f>
        <v>1.4376209400000001E-2</v>
      </c>
      <c r="L14" s="20">
        <f>L13*L10</f>
        <v>4.0070497300000001E-2</v>
      </c>
      <c r="M14" s="20">
        <f>M13*M10</f>
        <v>0.26393358398571437</v>
      </c>
      <c r="N14" s="5"/>
      <c r="AC14" s="23">
        <v>0.38</v>
      </c>
      <c r="AD14" s="4">
        <f>AD7/AC14</f>
        <v>22.142400210526311</v>
      </c>
      <c r="AE14" s="5">
        <f>AH3+AE7*(13^(AC14)+1)</f>
        <v>23.350960803883488</v>
      </c>
      <c r="BH14" s="22">
        <v>1.31</v>
      </c>
      <c r="BI14" s="2">
        <f t="shared" si="2"/>
        <v>26.82045161290322</v>
      </c>
      <c r="BJ14" s="3">
        <f>BJ3+BK3*BF3*((BI3/13)^(BH14-1)+1)</f>
        <v>28.904060930971568</v>
      </c>
      <c r="BQ14" s="2">
        <f>BW6</f>
        <v>8.494875756092983E-2</v>
      </c>
      <c r="BR14" s="1">
        <f>AE3*(BU6/BQ14)^AJ7</f>
        <v>4676262.2424991187</v>
      </c>
      <c r="BS14" s="3">
        <f>BG3*(BW6/BQ14)^1.2883932</f>
        <v>11176316.676125424</v>
      </c>
    </row>
    <row r="15" spans="1:100" ht="15.75" thickBot="1" x14ac:dyDescent="0.3">
      <c r="J15" s="27" t="s">
        <v>64</v>
      </c>
      <c r="K15" s="26"/>
      <c r="L15" s="26"/>
      <c r="M15" s="26"/>
      <c r="N15" s="28"/>
      <c r="BH15" s="23">
        <v>1.288</v>
      </c>
      <c r="BI15" s="4">
        <f>8.31434/(BH15-1)</f>
        <v>28.869236111111107</v>
      </c>
      <c r="BJ15" s="5">
        <f>BJ3+BK3*BF3*((BI3/13)^(BH15-1)+1)</f>
        <v>28.997515974983436</v>
      </c>
      <c r="BQ15" s="2">
        <v>0.09</v>
      </c>
      <c r="BR15" s="1">
        <f>AE3*(BU6/BQ15)^AJ7</f>
        <v>4322357.601943003</v>
      </c>
      <c r="BS15" s="41">
        <f>BG3*(BW6/BQ15)^1.2883932</f>
        <v>10374776.256962746</v>
      </c>
    </row>
    <row r="16" spans="1:100" x14ac:dyDescent="0.25">
      <c r="J16" s="29" t="s">
        <v>60</v>
      </c>
      <c r="K16" s="30" t="s">
        <v>61</v>
      </c>
      <c r="L16" s="30" t="s">
        <v>62</v>
      </c>
      <c r="M16" s="30" t="s">
        <v>63</v>
      </c>
      <c r="N16" s="31" t="s">
        <v>20</v>
      </c>
      <c r="BQ16" s="2">
        <v>0.1</v>
      </c>
      <c r="BR16" s="1">
        <f>AE3*(BU6/BQ16)^AJ7</f>
        <v>3744359.7946653282</v>
      </c>
      <c r="BS16" s="3">
        <f>BG3*(BW6/BQ16)^1.2883932</f>
        <v>9057849.4865859989</v>
      </c>
    </row>
    <row r="17" spans="10:71" ht="15.75" thickBot="1" x14ac:dyDescent="0.3">
      <c r="J17" s="32">
        <f>J7*AT3</f>
        <v>1.2022012370374299E-2</v>
      </c>
      <c r="K17" s="33">
        <f>K7*AT3</f>
        <v>1.1194359243359034E-2</v>
      </c>
      <c r="L17" s="33">
        <f>(0.21*(2-AT3)*O3)/2</f>
        <v>0.19114174641291187</v>
      </c>
      <c r="M17" s="33">
        <f>0.79*O3</f>
        <v>0.78514087301587321</v>
      </c>
      <c r="N17" s="34">
        <f>SUM(J17:M17)</f>
        <v>0.99949899104251838</v>
      </c>
      <c r="BQ17" s="2">
        <v>0.2</v>
      </c>
      <c r="BR17" s="1">
        <f>AE3*(BU6/BQ17)^AJ7</f>
        <v>1456242.8535447614</v>
      </c>
      <c r="BS17" s="3">
        <f>BG3*(BW6/BQ17)^1.2883932</f>
        <v>3708344.7362957583</v>
      </c>
    </row>
    <row r="18" spans="10:71" x14ac:dyDescent="0.25">
      <c r="J18" s="27" t="s">
        <v>65</v>
      </c>
      <c r="K18" s="26"/>
      <c r="L18" s="26"/>
      <c r="M18" s="26"/>
      <c r="N18" s="28"/>
      <c r="BQ18" s="2">
        <v>0.3</v>
      </c>
      <c r="BR18" s="1">
        <f>AE3*(BU6/BQ18)^AJ7</f>
        <v>838137.13644674153</v>
      </c>
      <c r="BS18" s="3">
        <f>BG3*(BW6/BQ18)^1.2883932</f>
        <v>2199405.5651864829</v>
      </c>
    </row>
    <row r="19" spans="10:71" ht="15.75" thickBot="1" x14ac:dyDescent="0.3">
      <c r="J19" s="29">
        <f>J17+J10</f>
        <v>1.2879012370374299E-2</v>
      </c>
      <c r="K19" s="30">
        <f t="shared" ref="K19:M19" si="3">K17+K10</f>
        <v>1.1992359243359034E-2</v>
      </c>
      <c r="L19" s="30">
        <f t="shared" si="3"/>
        <v>0.19239399641291188</v>
      </c>
      <c r="M19" s="30">
        <f t="shared" si="3"/>
        <v>0.79456256349206367</v>
      </c>
      <c r="N19" s="31">
        <f>N17+N10</f>
        <v>1.0118279315187089</v>
      </c>
      <c r="BQ19" s="2">
        <v>0.4</v>
      </c>
      <c r="BR19" s="1">
        <f>AE3*(BU6/BQ19)^AJ7</f>
        <v>566356.69775151298</v>
      </c>
      <c r="BS19" s="3">
        <f>BG3*(BW6/BQ19)^1.2883932</f>
        <v>1518221.3729183606</v>
      </c>
    </row>
    <row r="20" spans="10:71" ht="15.75" thickBot="1" x14ac:dyDescent="0.3">
      <c r="J20" s="24">
        <f>J19*J13</f>
        <v>0.56679889491398772</v>
      </c>
      <c r="K20" s="37">
        <f t="shared" ref="K20:M20" si="4">K19*K13</f>
        <v>0.21604594947688599</v>
      </c>
      <c r="L20" s="37">
        <f>L19*L13</f>
        <v>6.1563770124174848</v>
      </c>
      <c r="M20" s="37">
        <f t="shared" si="4"/>
        <v>22.258398916128577</v>
      </c>
      <c r="N20" s="37">
        <f>SUM(J20:M20)</f>
        <v>29.197620772936936</v>
      </c>
      <c r="O20" s="36" t="s">
        <v>66</v>
      </c>
      <c r="BQ20" s="2">
        <v>0.5</v>
      </c>
      <c r="BR20" s="1">
        <f>AE3*(BU6/BQ20)^AJ7</f>
        <v>417881.59103574656</v>
      </c>
      <c r="BS20" s="3">
        <f>BG3*(BW6/BQ20)^1.2883932</f>
        <v>1138877.2015773985</v>
      </c>
    </row>
    <row r="21" spans="10:71" x14ac:dyDescent="0.25">
      <c r="J21" s="12" t="s">
        <v>82</v>
      </c>
      <c r="K21" s="13"/>
      <c r="L21" s="13"/>
      <c r="M21" s="13"/>
      <c r="N21" s="14"/>
      <c r="BQ21" s="2">
        <v>0.6</v>
      </c>
      <c r="BR21" s="1">
        <f>AE3*(BU6/BQ21)^AJ7</f>
        <v>325965.26033100655</v>
      </c>
      <c r="BS21" s="3">
        <f>BG3*(BW6/BQ21)^1.2883932</f>
        <v>900451.48826082237</v>
      </c>
    </row>
    <row r="22" spans="10:71" ht="15.75" thickBot="1" x14ac:dyDescent="0.3">
      <c r="J22" s="6">
        <f>J7+J10</f>
        <v>7.2273666666666667E-2</v>
      </c>
      <c r="K22" s="7">
        <f>K7+K10</f>
        <v>6.7297999999999997E-2</v>
      </c>
      <c r="L22" s="7">
        <f t="shared" ref="L22:M22" si="5">L7+L10</f>
        <v>0.10560641666666667</v>
      </c>
      <c r="M22" s="7">
        <f t="shared" si="5"/>
        <v>0.79456256349206367</v>
      </c>
      <c r="N22" s="8">
        <f>N7+N10</f>
        <v>1.0397406468253969</v>
      </c>
      <c r="BQ22" s="4">
        <f>BU6</f>
        <v>0.68896141056640348</v>
      </c>
      <c r="BR22" s="20">
        <f>AE3*(BU6/BQ22)^AJ7</f>
        <v>270000</v>
      </c>
      <c r="BS22" s="5">
        <f>BG3*(BW6/BQ22)^1.2883932</f>
        <v>753529.90702420194</v>
      </c>
    </row>
    <row r="23" spans="10:71" ht="15.75" thickBot="1" x14ac:dyDescent="0.3">
      <c r="J23" s="4">
        <f>J22*J13</f>
        <v>3.1807279331666667</v>
      </c>
      <c r="K23" s="20">
        <f t="shared" ref="K23:M23" si="6">K22*K13</f>
        <v>1.2123936594</v>
      </c>
      <c r="L23" s="20">
        <f>L22*L13</f>
        <v>3.3792786056333335</v>
      </c>
      <c r="M23" s="20">
        <f t="shared" si="6"/>
        <v>22.258398916128577</v>
      </c>
      <c r="N23" s="5">
        <f>SUM(J23:M23)</f>
        <v>30.030799114328577</v>
      </c>
      <c r="O23" t="s">
        <v>83</v>
      </c>
    </row>
  </sheetData>
  <mergeCells count="6">
    <mergeCell ref="J21:N21"/>
    <mergeCell ref="A1:XFD1"/>
    <mergeCell ref="J5:N5"/>
    <mergeCell ref="J8:N8"/>
    <mergeCell ref="J15:N15"/>
    <mergeCell ref="J18:N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Bucel Sebastian</dc:creator>
  <cp:lastModifiedBy>Bucel Sebastian</cp:lastModifiedBy>
  <dcterms:created xsi:type="dcterms:W3CDTF">2020-11-26T12:53:17Z</dcterms:created>
  <dcterms:modified xsi:type="dcterms:W3CDTF">2020-12-09T19:08:22Z</dcterms:modified>
</cp:coreProperties>
</file>